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plata partial oct" sheetId="1" r:id="rId1"/>
  </sheets>
  <definedNames>
    <definedName name="_xlnm._FilterDatabase" localSheetId="0" hidden="1">'plata partial oct'!$A$10:$O$90</definedName>
    <definedName name="_xlfn._FV" hidden="1">#NAME?</definedName>
    <definedName name="_xlnm.Print_Area" localSheetId="0">'plata partial oct'!$A$1:$L$93</definedName>
    <definedName name="_xlnm.Print_Titles" localSheetId="0">'plata partial oct'!$10:$11</definedName>
  </definedNames>
  <calcPr fullCalcOnLoad="1"/>
</workbook>
</file>

<file path=xl/sharedStrings.xml><?xml version="1.0" encoding="utf-8"?>
<sst xmlns="http://schemas.openxmlformats.org/spreadsheetml/2006/main" count="185" uniqueCount="139">
  <si>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</si>
  <si>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</si>
  <si>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</si>
  <si>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</si>
  <si>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Nr.
 Crt.</t>
  </si>
  <si>
    <t>Denumire furnizor</t>
  </si>
  <si>
    <t>Cod fiscal</t>
  </si>
  <si>
    <t>Cont</t>
  </si>
  <si>
    <t>Explicații factura</t>
  </si>
  <si>
    <t>VALOARE FACTURA</t>
  </si>
  <si>
    <t>TOTAL
DE
PLATA</t>
  </si>
  <si>
    <t>Data
 OP</t>
  </si>
  <si>
    <t>Nr. 
OP</t>
  </si>
  <si>
    <t>CARDIOMED SRL</t>
  </si>
  <si>
    <t>RO28TREZ2165069XXX023849</t>
  </si>
  <si>
    <t>CENTRUL MEDICAL TRANSILVANIA</t>
  </si>
  <si>
    <t>RO90TREZ2165069XXX025934</t>
  </si>
  <si>
    <t>CLINIC MED DIAGNOSIS SRL</t>
  </si>
  <si>
    <t>RO43TREZ2195069XXX006321</t>
  </si>
  <si>
    <t>RO29TREZ1665069XXX001129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</si>
  <si>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</si>
  <si>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</si>
  <si>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</si>
  <si>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</si>
  <si>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</si>
  <si>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</si>
  <si>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LABORATOARELE SYNLAB</t>
  </si>
  <si>
    <t>RO63TREZ7005069XXX005336</t>
  </si>
  <si>
    <t>MED LIFE SA</t>
  </si>
  <si>
    <t>RO12TREZ7005069XXX006060</t>
  </si>
  <si>
    <t>OMNIMEDICAL CLINIC SRL</t>
  </si>
  <si>
    <t>RO14TREZ2165069XXX038263</t>
  </si>
  <si>
    <t>POLARIS MEDICAL SA</t>
  </si>
  <si>
    <t>RO22TREZ2165069XXX032202</t>
  </si>
  <si>
    <t>RIVMED</t>
  </si>
  <si>
    <t>RO05TREZ2165069XXX014369</t>
  </si>
  <si>
    <t>SC HIPERDIA SA</t>
  </si>
  <si>
    <t>RO05TREZ1315069XXX003634</t>
  </si>
  <si>
    <t>SC MEDSTAR SRL</t>
  </si>
  <si>
    <t>RO84TREZ2165069XXX014111</t>
  </si>
  <si>
    <t>SC PROMEDICAL CENTER</t>
  </si>
  <si>
    <t>RO46TREZ2165069XXX008781</t>
  </si>
  <si>
    <t>RO89TREZ2165069XXX026146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</si>
  <si>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</si>
  <si>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</si>
  <si>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</si>
  <si>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</si>
  <si>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</si>
  <si>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</si>
  <si>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LABORATOARELE BIOCLINICA SRL</t>
  </si>
  <si>
    <t>RO89TREZ6215069XXX016071</t>
  </si>
  <si>
    <t>SC MEDISPROF SRL</t>
  </si>
  <si>
    <t>RO77TREZ2165069XXX009096</t>
  </si>
  <si>
    <t>SC PEDIPAT SRL</t>
  </si>
  <si>
    <t>RO91TREZ2165069XXX009523</t>
  </si>
  <si>
    <t>SC SALVOSAN CIOBANCA SRL</t>
  </si>
  <si>
    <t>RO50TREZ5615069XXX000705</t>
  </si>
  <si>
    <t>SOCIETATEA CIVILA MEDICALA RADUSAN</t>
  </si>
  <si>
    <t>RO88TREZ2165069XXX009480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</si>
  <si>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</si>
  <si>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</si>
  <si>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</si>
  <si>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</si>
  <si>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</si>
  <si>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</si>
  <si>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</si>
  <si>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</si>
  <si>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</si>
  <si>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</si>
  <si>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</si>
  <si>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</si>
  <si>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</si>
  <si>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</si>
  <si>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</si>
  <si>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Director ,Direcţia Relaţii Contractuale</t>
  </si>
  <si>
    <t>Sef Serviciu</t>
  </si>
  <si>
    <t>Ec. Florina Filipas</t>
  </si>
  <si>
    <t>Ec. Mascasan Anicuta</t>
  </si>
  <si>
    <t>Intocmit, (3ex)</t>
  </si>
  <si>
    <t>SC CLINICA SANTE SRL</t>
  </si>
  <si>
    <t>SC SYNEVO ROMANIA SRL</t>
  </si>
  <si>
    <t>RO95TREZ7005069XXX001656</t>
  </si>
  <si>
    <t>SC MULTIMEDICA SRL</t>
  </si>
  <si>
    <t>RO65TREZ2195069XXX000493</t>
  </si>
  <si>
    <t>RADIOTHERAPY CENTER CLUJ</t>
  </si>
  <si>
    <t>RO15TREZ4215069XXX019036</t>
  </si>
  <si>
    <t>Ec. Bruck Kinga</t>
  </si>
  <si>
    <t>ONCOPAT DIAGNOSTIC</t>
  </si>
  <si>
    <t>RO71TREZ2165069XXX043348</t>
  </si>
  <si>
    <t>SC INTERMED SERVICE LAB SRL</t>
  </si>
  <si>
    <t>SUMA DE PLATA</t>
  </si>
  <si>
    <t>REST DE PLATA</t>
  </si>
  <si>
    <t>TOTAL</t>
  </si>
  <si>
    <t>lab</t>
  </si>
  <si>
    <t xml:space="preserve">rad </t>
  </si>
  <si>
    <t>ap</t>
  </si>
  <si>
    <t>CENTRALIZATORUL PLATILOR PENTRU SERVICII PARACLINICE AFERENTE LUNII OCTOMBRIE 2023</t>
  </si>
  <si>
    <t>Cap 6605 04 Paraclinice cval fact 5473/15.11.2023</t>
  </si>
  <si>
    <t>Cap 6605 04 Paraclinice cval fact 2300166/17.11.2023</t>
  </si>
  <si>
    <t>Cap 6605 04 Paraclinice cval fact 11060/15.11.2023</t>
  </si>
  <si>
    <t>Cap 660404 Paraclinice cval fact 5116/20.11.2023</t>
  </si>
  <si>
    <t>Cap 6605 04 Paraclinice cval fact 151/15.11.2023</t>
  </si>
  <si>
    <t>Cap 6605 04 Paraclinice cval fact 390/20.11.2023</t>
  </si>
  <si>
    <t>Cap 6605 04 Paraclinice cval fact 121012/17.11.2023</t>
  </si>
  <si>
    <t>Cap 6605 04 Paraclinice cval fact 2023012/15.11.2023</t>
  </si>
  <si>
    <t>Cap 660404 Paraclinice cval fact  3033/17.11.2023</t>
  </si>
  <si>
    <t>Cap 6605 04 Paraclinice cval fact 20232073/16.11.2023</t>
  </si>
  <si>
    <t>Cap 6605 04 Paraclinice cval fact 566/16.11.2023</t>
  </si>
  <si>
    <t>Cap 6605 04 Paraclinice cval fact 1348/15.11.2023</t>
  </si>
  <si>
    <t>Cap 660404 Paraclinice cval fact 4/15.11.2023</t>
  </si>
  <si>
    <t>Cap 6605 04 Paraclinice cval fact 261/16.11.2023</t>
  </si>
  <si>
    <t>Cap 6605 04 Paraclinice cval fact 854/16.11.2023</t>
  </si>
  <si>
    <t>Cap 660404 Paraclinice cval fact 20230127/16.11.2023</t>
  </si>
  <si>
    <t>Cap 6605 04 Paraclinice cval fact 1257/16.11.2023</t>
  </si>
  <si>
    <t>Cap 6605 04 Paraclinice cval fact 407559/15.11.2023</t>
  </si>
  <si>
    <t>Cap 6605 04 Paraclinice cval fact 3204/16.11.2023</t>
  </si>
  <si>
    <t>Cap 6605 04 Paraclinice cval fact 142/16.11.2023</t>
  </si>
  <si>
    <t>Cap 6605 04 Paraclinice cval fact 12211/16.11.2023</t>
  </si>
  <si>
    <t>Cap 6605 04 Paraclinice cval fact  697/16.11.2023</t>
  </si>
  <si>
    <t>Cap 6605 04 Paraclinice cval fact 10740/15.11.2023</t>
  </si>
  <si>
    <t>Cap 6605 04 Paraclinice cval fact 2023133/15.11.2023</t>
  </si>
  <si>
    <t>Cap 660404 Paraclinice cval fact 6006538/16.11.2023</t>
  </si>
  <si>
    <t>Cap 6605 04 Paraclinice cval fact 2009018/16.11.2023</t>
  </si>
  <si>
    <t>Cap 6605 04 Paraclinice cval fact  220235/15.11.2023</t>
  </si>
  <si>
    <t>Cap 660404 Paraclinice cval fact 3/15.11.2023</t>
  </si>
  <si>
    <t>Cap 6605 04 Paraclinice cval fact  892/17.11.2023</t>
  </si>
  <si>
    <t>Cap 6605 04 Paraclinice cval fact 1296/20.11.2023</t>
  </si>
  <si>
    <t>Cap 6605 04 Paraclinice cval fact 254/15.11.2023</t>
  </si>
  <si>
    <t>Cap 6605 04 Paraclinice cval fact 848/17.11.2023</t>
  </si>
  <si>
    <t>Cap 6605 04 Paraclinice cval fact 46/16.11.2023</t>
  </si>
  <si>
    <t>Cap 6605 04 Paraclinice cval fact 110/15.11.2023</t>
  </si>
  <si>
    <t>Cap 6605 04 Paraclinice cval fact 2509858/17.11.2023</t>
  </si>
  <si>
    <t>Cap 6605 04 Paraclinice cval fact 00129/15.11.2023</t>
  </si>
  <si>
    <t>Cap 6605 04 Paraclinice cval fact 10510/15.11.2023</t>
  </si>
  <si>
    <t>Cap 6605 04 Paraclinice cval fact2945/20.11.2023</t>
  </si>
  <si>
    <t>Cap 6605 04 Paraclinice cval fact 5458/21.11.2023</t>
  </si>
  <si>
    <t>de specialitate-  servicii OCTOMBRIE 2023-rest</t>
  </si>
  <si>
    <t>suma platita in 23.11.23</t>
  </si>
  <si>
    <t xml:space="preserve">La ordonantarea de plata nr.3121/15.12.2023 a sumei reprezentand servicii de investigatii medicale paraclinice in asistenta medicala de specialitate din ambulatoriu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</si>
</sst>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l_e_i_-;\-* #,##0.00\ _l_e_i_-;_-* &quot;-&quot;??\ _l_e_i_-;_-@_-"/>
    <numFmt numFmtId="177" formatCode="_-* #,##0\ _l_e_i_-;\-* #,##0\ _l_e_i_-;_-* &quot;-&quot;??\ _l_e_i_-;_-@_-"/>
    <numFmt numFmtId="178" formatCode="_(* #,##0.00000_);_(* \(#,##0.00000\);_(* &quot;-&quot;?????_);_(@_)"/>
    <numFmt numFmtId="179" formatCode="_(* #,##0.0000_);_(* \(#,##0.0000\);_(* &quot;-&quot;??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20" fillId="17" borderId="0" applyNumberFormat="0" applyBorder="0" applyAlignment="0" applyProtection="0"/>
    <xf numFmtId="0" fontId="8" fillId="9" borderId="1" applyNumberFormat="0" applyAlignment="0" applyProtection="0"/>
    <xf numFmtId="0" fontId="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0" borderId="3" applyNumberFormat="0" applyFill="0" applyAlignment="0" applyProtection="0"/>
    <xf numFmtId="0" fontId="6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5" applyNumberFormat="0" applyFill="0" applyAlignment="0" applyProtection="0"/>
    <xf numFmtId="0" fontId="4" fillId="10" borderId="0" applyNumberFormat="0" applyBorder="0" applyAlignment="0" applyProtection="0"/>
    <xf numFmtId="0" fontId="26" fillId="0" borderId="0">
      <alignment/>
      <protection/>
    </xf>
    <xf numFmtId="0" fontId="1" fillId="5" borderId="6" applyNumberFormat="0" applyFont="0" applyAlignment="0" applyProtection="0"/>
    <xf numFmtId="0" fontId="19" fillId="9" borderId="7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3" fontId="0" fillId="0" borderId="0" xfId="42" applyFont="1" applyFill="1" applyAlignment="1">
      <alignment/>
    </xf>
    <xf numFmtId="176" fontId="0" fillId="0" borderId="0" xfId="42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76" fontId="2" fillId="0" borderId="0" xfId="42" applyNumberFormat="1" applyFont="1" applyAlignment="1">
      <alignment horizontal="right"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76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3" fontId="21" fillId="0" borderId="0" xfId="42" applyFont="1" applyFill="1" applyAlignment="1">
      <alignment/>
    </xf>
    <xf numFmtId="176" fontId="22" fillId="0" borderId="0" xfId="42" applyNumberFormat="1" applyFont="1" applyAlignment="1">
      <alignment/>
    </xf>
    <xf numFmtId="176" fontId="21" fillId="0" borderId="0" xfId="42" applyNumberFormat="1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left" wrapText="1"/>
    </xf>
    <xf numFmtId="0" fontId="22" fillId="0" borderId="9" xfId="0" applyFont="1" applyFill="1" applyBorder="1" applyAlignment="1">
      <alignment horizontal="center"/>
    </xf>
    <xf numFmtId="43" fontId="22" fillId="0" borderId="9" xfId="42" applyFont="1" applyFill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176" fontId="22" fillId="0" borderId="9" xfId="42" applyNumberFormat="1" applyFont="1" applyBorder="1" applyAlignment="1">
      <alignment wrapText="1"/>
    </xf>
    <xf numFmtId="43" fontId="22" fillId="0" borderId="9" xfId="42" applyFont="1" applyFill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177" fontId="22" fillId="0" borderId="9" xfId="42" applyNumberFormat="1" applyFont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9" xfId="0" applyFont="1" applyFill="1" applyBorder="1" applyAlignment="1">
      <alignment/>
    </xf>
    <xf numFmtId="43" fontId="21" fillId="0" borderId="9" xfId="42" applyFont="1" applyFill="1" applyBorder="1" applyAlignment="1">
      <alignment/>
    </xf>
    <xf numFmtId="4" fontId="22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 horizontal="right" wrapText="1"/>
    </xf>
    <xf numFmtId="43" fontId="22" fillId="0" borderId="9" xfId="42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9" xfId="0" applyFont="1" applyFill="1" applyBorder="1" applyAlignment="1">
      <alignment/>
    </xf>
    <xf numFmtId="2" fontId="21" fillId="0" borderId="9" xfId="0" applyNumberFormat="1" applyFont="1" applyFill="1" applyBorder="1" applyAlignment="1">
      <alignment wrapText="1"/>
    </xf>
    <xf numFmtId="43" fontId="2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Alignment="1">
      <alignment/>
    </xf>
    <xf numFmtId="43" fontId="22" fillId="0" borderId="9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 outlineLevelRow="2"/>
  <cols>
    <col min="1" max="1" width="6.28125" style="0" customWidth="1"/>
    <col min="2" max="2" width="32.140625" style="19" customWidth="1"/>
    <col min="3" max="3" width="11.57421875" style="13" bestFit="1" customWidth="1"/>
    <col min="4" max="4" width="35.57421875" style="0" bestFit="1" customWidth="1"/>
    <col min="5" max="5" width="46.28125" style="0" customWidth="1"/>
    <col min="6" max="6" width="16.140625" style="9" bestFit="1" customWidth="1"/>
    <col min="7" max="7" width="16.140625" style="9" customWidth="1"/>
    <col min="8" max="8" width="16.421875" style="16" hidden="1" customWidth="1"/>
    <col min="9" max="10" width="16.28125" style="0" customWidth="1"/>
    <col min="11" max="11" width="12.7109375" style="0" bestFit="1" customWidth="1"/>
    <col min="12" max="12" width="11.57421875" style="0" customWidth="1"/>
    <col min="13" max="14" width="16.140625" style="0" bestFit="1" customWidth="1"/>
    <col min="15" max="15" width="12.8515625" style="0" bestFit="1" customWidth="1"/>
    <col min="16" max="16" width="13.421875" style="0" customWidth="1"/>
  </cols>
  <sheetData>
    <row r="1" spans="1:13" s="1" customFormat="1" ht="12.75">
      <c r="A1" s="2" t="s">
        <v>0</v>
      </c>
      <c r="B1" s="17"/>
      <c r="C1" s="12"/>
      <c r="F1" s="3"/>
      <c r="G1" s="3"/>
      <c r="H1" s="15"/>
      <c r="I1" s="4"/>
      <c r="J1" s="4"/>
      <c r="M1" s="3"/>
    </row>
    <row r="2" spans="1:13" s="1" customFormat="1" ht="12.75">
      <c r="A2" s="2" t="s">
        <v>1</v>
      </c>
      <c r="B2" s="17"/>
      <c r="C2" s="12"/>
      <c r="F2" s="3"/>
      <c r="G2" s="3"/>
      <c r="H2" s="15"/>
      <c r="I2" s="4"/>
      <c r="J2" s="4"/>
      <c r="M2" s="3"/>
    </row>
    <row r="3" spans="1:13" s="1" customFormat="1" ht="12.75">
      <c r="A3" s="2" t="s">
        <v>2</v>
      </c>
      <c r="B3" s="17"/>
      <c r="C3" s="12"/>
      <c r="F3" s="3"/>
      <c r="G3" s="3"/>
      <c r="H3" s="15"/>
      <c r="I3" s="4"/>
      <c r="J3" s="4"/>
      <c r="M3" s="3"/>
    </row>
    <row r="4" spans="1:13" s="1" customFormat="1" ht="12.75">
      <c r="A4" s="2" t="s">
        <v>3</v>
      </c>
      <c r="B4" s="17"/>
      <c r="C4" s="12"/>
      <c r="F4" s="3"/>
      <c r="G4" s="3"/>
      <c r="H4" s="15"/>
      <c r="I4" s="4"/>
      <c r="J4" s="4"/>
      <c r="M4" s="3"/>
    </row>
    <row r="5" spans="1:13" s="1" customFormat="1" ht="12.75">
      <c r="A5" s="5"/>
      <c r="B5" s="17"/>
      <c r="C5" s="12"/>
      <c r="F5" s="3"/>
      <c r="G5" s="3"/>
      <c r="H5" s="15"/>
      <c r="I5" s="4"/>
      <c r="J5" s="4"/>
      <c r="M5" s="3"/>
    </row>
    <row r="6" spans="1:13" s="1" customFormat="1" ht="12.75">
      <c r="A6" s="2"/>
      <c r="B6" s="56" t="s">
        <v>96</v>
      </c>
      <c r="C6" s="57"/>
      <c r="D6" s="57"/>
      <c r="E6" s="57"/>
      <c r="F6" s="3"/>
      <c r="G6" s="3"/>
      <c r="H6" s="15"/>
      <c r="I6" s="4"/>
      <c r="J6" s="4"/>
      <c r="M6" s="3"/>
    </row>
    <row r="7" spans="2:13" s="1" customFormat="1" ht="12.75">
      <c r="B7" s="18"/>
      <c r="C7" s="12"/>
      <c r="F7" s="3"/>
      <c r="G7" s="3"/>
      <c r="H7" s="15"/>
      <c r="I7" s="4"/>
      <c r="J7" s="4"/>
      <c r="M7" s="3"/>
    </row>
    <row r="8" spans="1:13" s="1" customFormat="1" ht="15.75">
      <c r="A8" s="20" t="s">
        <v>138</v>
      </c>
      <c r="B8" s="21"/>
      <c r="C8" s="22"/>
      <c r="D8" s="23"/>
      <c r="E8" s="23"/>
      <c r="F8" s="24"/>
      <c r="G8" s="24"/>
      <c r="H8" s="25"/>
      <c r="I8" s="26"/>
      <c r="J8" s="26"/>
      <c r="K8" s="23"/>
      <c r="L8" s="23"/>
      <c r="M8" s="24"/>
    </row>
    <row r="9" spans="1:13" s="1" customFormat="1" ht="15.75">
      <c r="A9" s="27" t="s">
        <v>136</v>
      </c>
      <c r="B9" s="28"/>
      <c r="C9" s="22"/>
      <c r="D9" s="23"/>
      <c r="E9" s="23"/>
      <c r="F9" s="24"/>
      <c r="G9" s="24"/>
      <c r="H9" s="25"/>
      <c r="I9" s="26"/>
      <c r="J9" s="26"/>
      <c r="K9" s="23"/>
      <c r="L9" s="23"/>
      <c r="M9" s="24"/>
    </row>
    <row r="10" spans="1:15" s="1" customFormat="1" ht="47.25">
      <c r="A10" s="29" t="s">
        <v>4</v>
      </c>
      <c r="B10" s="29" t="s">
        <v>5</v>
      </c>
      <c r="C10" s="30" t="s">
        <v>6</v>
      </c>
      <c r="D10" s="29" t="s">
        <v>7</v>
      </c>
      <c r="E10" s="31" t="s">
        <v>8</v>
      </c>
      <c r="F10" s="32" t="s">
        <v>9</v>
      </c>
      <c r="G10" s="32" t="s">
        <v>137</v>
      </c>
      <c r="H10" s="33" t="s">
        <v>10</v>
      </c>
      <c r="I10" s="34" t="s">
        <v>91</v>
      </c>
      <c r="J10" s="34" t="s">
        <v>90</v>
      </c>
      <c r="K10" s="29" t="s">
        <v>11</v>
      </c>
      <c r="L10" s="29" t="s">
        <v>12</v>
      </c>
      <c r="M10" s="24" t="s">
        <v>93</v>
      </c>
      <c r="N10" s="1" t="s">
        <v>94</v>
      </c>
      <c r="O10" s="1" t="s">
        <v>95</v>
      </c>
    </row>
    <row r="11" spans="1:13" s="1" customFormat="1" ht="15.75" outlineLevel="2">
      <c r="A11" s="29">
        <v>1</v>
      </c>
      <c r="B11" s="29">
        <v>2</v>
      </c>
      <c r="C11" s="30">
        <v>3</v>
      </c>
      <c r="D11" s="29">
        <v>4</v>
      </c>
      <c r="E11" s="31">
        <v>5</v>
      </c>
      <c r="F11" s="35">
        <v>8</v>
      </c>
      <c r="G11" s="35">
        <v>9</v>
      </c>
      <c r="H11" s="36">
        <v>10</v>
      </c>
      <c r="I11" s="37">
        <v>10</v>
      </c>
      <c r="J11" s="37">
        <v>11</v>
      </c>
      <c r="K11" s="29">
        <v>6</v>
      </c>
      <c r="L11" s="29">
        <v>7</v>
      </c>
      <c r="M11" s="24"/>
    </row>
    <row r="12" spans="1:15" s="1" customFormat="1" ht="30.75" outlineLevel="2">
      <c r="A12" s="38">
        <v>1</v>
      </c>
      <c r="B12" s="39" t="s">
        <v>13</v>
      </c>
      <c r="C12" s="40">
        <v>23666661</v>
      </c>
      <c r="D12" s="41" t="s">
        <v>14</v>
      </c>
      <c r="E12" s="39" t="s">
        <v>106</v>
      </c>
      <c r="F12" s="42">
        <v>104847</v>
      </c>
      <c r="G12" s="42">
        <f>ROUND(F12*56.16%,0)</f>
        <v>58882</v>
      </c>
      <c r="H12" s="43"/>
      <c r="I12" s="44">
        <f>F12-G12</f>
        <v>45965</v>
      </c>
      <c r="J12" s="44"/>
      <c r="K12" s="41"/>
      <c r="L12" s="41"/>
      <c r="M12" s="24"/>
      <c r="N12" s="51">
        <f>G12</f>
        <v>58882</v>
      </c>
      <c r="O12" s="1">
        <f>ROUND(F12*57.59,0)</f>
        <v>6038139</v>
      </c>
    </row>
    <row r="13" spans="1:13" s="1" customFormat="1" ht="15.75" outlineLevel="2">
      <c r="A13" s="38"/>
      <c r="B13" s="39"/>
      <c r="C13" s="40"/>
      <c r="D13" s="41"/>
      <c r="E13" s="45" t="s">
        <v>92</v>
      </c>
      <c r="F13" s="46">
        <f>SUM(F12)</f>
        <v>104847</v>
      </c>
      <c r="G13" s="46">
        <f>SUM(G12)</f>
        <v>58882</v>
      </c>
      <c r="H13" s="43">
        <f>G13</f>
        <v>58882</v>
      </c>
      <c r="I13" s="43">
        <f>F13-H13</f>
        <v>45965</v>
      </c>
      <c r="J13" s="43">
        <f>I13</f>
        <v>45965</v>
      </c>
      <c r="K13" s="41"/>
      <c r="L13" s="41"/>
      <c r="M13" s="24"/>
    </row>
    <row r="14" spans="1:14" s="1" customFormat="1" ht="30.75" outlineLevel="2">
      <c r="A14" s="38">
        <v>2</v>
      </c>
      <c r="B14" s="39" t="s">
        <v>15</v>
      </c>
      <c r="C14" s="40">
        <v>26599613</v>
      </c>
      <c r="D14" s="41" t="s">
        <v>16</v>
      </c>
      <c r="E14" s="39" t="s">
        <v>116</v>
      </c>
      <c r="F14" s="42">
        <v>202327</v>
      </c>
      <c r="G14" s="42">
        <f>ROUND(F14*56.16%,0)-10451.81</f>
        <v>103175.19</v>
      </c>
      <c r="H14" s="43"/>
      <c r="I14" s="44">
        <f>F14-G14</f>
        <v>99151.81</v>
      </c>
      <c r="J14" s="44"/>
      <c r="K14" s="41"/>
      <c r="L14" s="41"/>
      <c r="M14" s="24"/>
      <c r="N14" s="52">
        <f>G14</f>
        <v>103175.19</v>
      </c>
    </row>
    <row r="15" spans="1:13" s="1" customFormat="1" ht="15.75" outlineLevel="2">
      <c r="A15" s="38"/>
      <c r="B15" s="39"/>
      <c r="C15" s="40"/>
      <c r="D15" s="41"/>
      <c r="E15" s="45" t="s">
        <v>92</v>
      </c>
      <c r="F15" s="46">
        <f>SUM(F14:F14)</f>
        <v>202327</v>
      </c>
      <c r="G15" s="46">
        <f>SUM(G14:G14)</f>
        <v>103175.19</v>
      </c>
      <c r="H15" s="46">
        <f>G15</f>
        <v>103175.19</v>
      </c>
      <c r="I15" s="43">
        <f>F15-H15</f>
        <v>99151.81</v>
      </c>
      <c r="J15" s="43">
        <f>I15</f>
        <v>99151.81</v>
      </c>
      <c r="K15" s="41"/>
      <c r="L15" s="41"/>
      <c r="M15" s="24"/>
    </row>
    <row r="16" spans="1:13" s="1" customFormat="1" ht="30.75" outlineLevel="2">
      <c r="A16" s="38">
        <v>3</v>
      </c>
      <c r="B16" s="39" t="s">
        <v>17</v>
      </c>
      <c r="C16" s="40">
        <v>28832676</v>
      </c>
      <c r="D16" s="41" t="s">
        <v>18</v>
      </c>
      <c r="E16" s="39" t="s">
        <v>126</v>
      </c>
      <c r="F16" s="42">
        <v>58611</v>
      </c>
      <c r="G16" s="42">
        <f>ROUND(F16*56.16%,0)</f>
        <v>32916</v>
      </c>
      <c r="H16" s="43"/>
      <c r="I16" s="44">
        <f>F16-G16</f>
        <v>25695</v>
      </c>
      <c r="J16" s="44"/>
      <c r="K16" s="41"/>
      <c r="L16" s="41"/>
      <c r="M16" s="24">
        <f>G16</f>
        <v>32916</v>
      </c>
    </row>
    <row r="17" spans="1:13" s="1" customFormat="1" ht="15.75" outlineLevel="2">
      <c r="A17" s="38"/>
      <c r="B17" s="39"/>
      <c r="C17" s="40"/>
      <c r="D17" s="41"/>
      <c r="E17" s="45" t="s">
        <v>92</v>
      </c>
      <c r="F17" s="46">
        <f>SUM(F16)</f>
        <v>58611</v>
      </c>
      <c r="G17" s="46">
        <f>SUM(G16)</f>
        <v>32916</v>
      </c>
      <c r="H17" s="43">
        <f>G17</f>
        <v>32916</v>
      </c>
      <c r="I17" s="43">
        <f>F17-H17</f>
        <v>25695</v>
      </c>
      <c r="J17" s="43">
        <f>I17</f>
        <v>25695</v>
      </c>
      <c r="K17" s="41"/>
      <c r="L17" s="41"/>
      <c r="M17" s="24"/>
    </row>
    <row r="18" spans="1:14" s="14" customFormat="1" ht="45.75">
      <c r="A18" s="38">
        <v>4</v>
      </c>
      <c r="B18" s="39" t="s">
        <v>22</v>
      </c>
      <c r="C18" s="40">
        <v>4617719</v>
      </c>
      <c r="D18" s="41" t="s">
        <v>21</v>
      </c>
      <c r="E18" s="39" t="s">
        <v>97</v>
      </c>
      <c r="F18" s="42">
        <v>63116</v>
      </c>
      <c r="G18" s="42">
        <f>ROUND(F18*56.16%,0)-18953.14</f>
        <v>16492.86</v>
      </c>
      <c r="H18" s="43"/>
      <c r="I18" s="44">
        <f>F18-G18</f>
        <v>46623.14</v>
      </c>
      <c r="J18" s="44"/>
      <c r="K18" s="41"/>
      <c r="L18" s="41"/>
      <c r="M18" s="47"/>
      <c r="N18" s="53">
        <f>G18</f>
        <v>16492.86</v>
      </c>
    </row>
    <row r="19" spans="1:13" s="14" customFormat="1" ht="15.75">
      <c r="A19" s="38"/>
      <c r="B19" s="39"/>
      <c r="C19" s="40"/>
      <c r="D19" s="41"/>
      <c r="E19" s="45" t="s">
        <v>92</v>
      </c>
      <c r="F19" s="46">
        <f>SUM(F18:F18)</f>
        <v>63116</v>
      </c>
      <c r="G19" s="46">
        <f>SUM(G18:G18)</f>
        <v>16492.86</v>
      </c>
      <c r="H19" s="46">
        <f>G19</f>
        <v>16492.86</v>
      </c>
      <c r="I19" s="43">
        <f>F19-H19</f>
        <v>46623.14</v>
      </c>
      <c r="J19" s="43">
        <f>I19</f>
        <v>46623.14</v>
      </c>
      <c r="K19" s="41"/>
      <c r="L19" s="41"/>
      <c r="M19" s="47"/>
    </row>
    <row r="20" spans="1:14" s="14" customFormat="1" ht="30.75">
      <c r="A20" s="38">
        <v>5</v>
      </c>
      <c r="B20" s="39" t="s">
        <v>23</v>
      </c>
      <c r="C20" s="40">
        <v>4547125</v>
      </c>
      <c r="D20" s="41" t="s">
        <v>21</v>
      </c>
      <c r="E20" s="39" t="s">
        <v>108</v>
      </c>
      <c r="F20" s="42">
        <v>141863</v>
      </c>
      <c r="G20" s="42">
        <f>ROUND(F20*56.16%,0)-5003.2</f>
        <v>74666.8</v>
      </c>
      <c r="H20" s="43"/>
      <c r="I20" s="44">
        <f>F20-G20</f>
        <v>67196.2</v>
      </c>
      <c r="J20" s="44"/>
      <c r="K20" s="41"/>
      <c r="L20" s="41"/>
      <c r="M20" s="47"/>
      <c r="N20" s="53">
        <f>G20</f>
        <v>74666.8</v>
      </c>
    </row>
    <row r="21" spans="1:13" s="14" customFormat="1" ht="15.75">
      <c r="A21" s="38"/>
      <c r="B21" s="39"/>
      <c r="C21" s="40"/>
      <c r="D21" s="41"/>
      <c r="E21" s="45" t="s">
        <v>92</v>
      </c>
      <c r="F21" s="46">
        <f>SUM(F20:F20)</f>
        <v>141863</v>
      </c>
      <c r="G21" s="46">
        <f>SUM(G20:G20)</f>
        <v>74666.8</v>
      </c>
      <c r="H21" s="46">
        <f>G21</f>
        <v>74666.8</v>
      </c>
      <c r="I21" s="43">
        <f>F21-H21</f>
        <v>67196.2</v>
      </c>
      <c r="J21" s="43">
        <f>I21</f>
        <v>67196.2</v>
      </c>
      <c r="K21" s="41"/>
      <c r="L21" s="41"/>
      <c r="M21" s="47"/>
    </row>
    <row r="22" spans="1:14" s="1" customFormat="1" ht="30.75" outlineLevel="2">
      <c r="A22" s="38">
        <v>6</v>
      </c>
      <c r="B22" s="39" t="s">
        <v>24</v>
      </c>
      <c r="C22" s="40">
        <v>2880513</v>
      </c>
      <c r="D22" s="41" t="s">
        <v>25</v>
      </c>
      <c r="E22" s="39" t="s">
        <v>110</v>
      </c>
      <c r="F22" s="42">
        <v>136615</v>
      </c>
      <c r="G22" s="42">
        <f>ROUND(F22*56.16%,0)-24679</f>
        <v>52044</v>
      </c>
      <c r="H22" s="43"/>
      <c r="I22" s="44">
        <f>F22-G22</f>
        <v>84571</v>
      </c>
      <c r="J22" s="44"/>
      <c r="K22" s="41"/>
      <c r="L22" s="41"/>
      <c r="M22" s="24"/>
      <c r="N22" s="52">
        <f>G22</f>
        <v>52044</v>
      </c>
    </row>
    <row r="23" spans="1:13" s="1" customFormat="1" ht="15.75" outlineLevel="2">
      <c r="A23" s="38"/>
      <c r="B23" s="39"/>
      <c r="C23" s="40"/>
      <c r="D23" s="41"/>
      <c r="E23" s="45" t="s">
        <v>92</v>
      </c>
      <c r="F23" s="46">
        <f>SUM(F22:F22)</f>
        <v>136615</v>
      </c>
      <c r="G23" s="46">
        <f>SUM(G22:G22)</f>
        <v>52044</v>
      </c>
      <c r="H23" s="46">
        <f>G23</f>
        <v>52044</v>
      </c>
      <c r="I23" s="43">
        <f>F23-H23</f>
        <v>84571</v>
      </c>
      <c r="J23" s="43">
        <f>I23</f>
        <v>84571</v>
      </c>
      <c r="K23" s="41"/>
      <c r="L23" s="41"/>
      <c r="M23" s="24"/>
    </row>
    <row r="24" spans="1:13" s="1" customFormat="1" ht="30.75" outlineLevel="2">
      <c r="A24" s="38">
        <v>7</v>
      </c>
      <c r="B24" s="39" t="s">
        <v>26</v>
      </c>
      <c r="C24" s="40">
        <v>17656582</v>
      </c>
      <c r="D24" s="41" t="s">
        <v>27</v>
      </c>
      <c r="E24" s="39" t="s">
        <v>135</v>
      </c>
      <c r="F24" s="42">
        <v>79490</v>
      </c>
      <c r="G24" s="42">
        <f>ROUND(F24*56.16%,0)</f>
        <v>44642</v>
      </c>
      <c r="H24" s="43"/>
      <c r="I24" s="44">
        <f>F24-G24</f>
        <v>34848</v>
      </c>
      <c r="J24" s="44"/>
      <c r="K24" s="41"/>
      <c r="L24" s="41"/>
      <c r="M24" s="24">
        <f>G24</f>
        <v>44642</v>
      </c>
    </row>
    <row r="25" spans="1:13" s="1" customFormat="1" ht="15.75" outlineLevel="2">
      <c r="A25" s="38"/>
      <c r="B25" s="39"/>
      <c r="C25" s="40"/>
      <c r="D25" s="41"/>
      <c r="E25" s="45" t="s">
        <v>92</v>
      </c>
      <c r="F25" s="46">
        <f>SUM(F24)</f>
        <v>79490</v>
      </c>
      <c r="G25" s="46">
        <f>SUM(G24)</f>
        <v>44642</v>
      </c>
      <c r="H25" s="43">
        <f>G25</f>
        <v>44642</v>
      </c>
      <c r="I25" s="43">
        <f>F25-H25</f>
        <v>34848</v>
      </c>
      <c r="J25" s="43">
        <f>I25</f>
        <v>34848</v>
      </c>
      <c r="K25" s="41"/>
      <c r="L25" s="41"/>
      <c r="M25" s="24"/>
    </row>
    <row r="26" spans="1:13" s="1" customFormat="1" ht="30.75" outlineLevel="2">
      <c r="A26" s="38">
        <v>8</v>
      </c>
      <c r="B26" s="39" t="s">
        <v>28</v>
      </c>
      <c r="C26" s="40">
        <v>8422035</v>
      </c>
      <c r="D26" s="41" t="s">
        <v>29</v>
      </c>
      <c r="E26" s="39" t="s">
        <v>125</v>
      </c>
      <c r="F26" s="42">
        <v>142692</v>
      </c>
      <c r="G26" s="42">
        <f>ROUND(F26*56.16%,0)-42801</f>
        <v>37335</v>
      </c>
      <c r="H26" s="43"/>
      <c r="I26" s="44">
        <f>F26-G26</f>
        <v>105357</v>
      </c>
      <c r="J26" s="44"/>
      <c r="K26" s="41"/>
      <c r="L26" s="41"/>
      <c r="M26" s="24">
        <f>G26</f>
        <v>37335</v>
      </c>
    </row>
    <row r="27" spans="1:13" s="1" customFormat="1" ht="15.75" outlineLevel="2">
      <c r="A27" s="38"/>
      <c r="B27" s="39"/>
      <c r="C27" s="40"/>
      <c r="D27" s="41"/>
      <c r="E27" s="45" t="s">
        <v>92</v>
      </c>
      <c r="F27" s="46">
        <f>SUM(F26:F26)</f>
        <v>142692</v>
      </c>
      <c r="G27" s="46">
        <f>SUM(G26:G26)</f>
        <v>37335</v>
      </c>
      <c r="H27" s="46">
        <f>G27</f>
        <v>37335</v>
      </c>
      <c r="I27" s="43">
        <f>F27-H27</f>
        <v>105357</v>
      </c>
      <c r="J27" s="43">
        <f>I27</f>
        <v>105357</v>
      </c>
      <c r="K27" s="41"/>
      <c r="L27" s="41"/>
      <c r="M27" s="24"/>
    </row>
    <row r="28" spans="1:14" s="1" customFormat="1" ht="30.75" outlineLevel="2">
      <c r="A28" s="38">
        <v>9</v>
      </c>
      <c r="B28" s="39" t="s">
        <v>30</v>
      </c>
      <c r="C28" s="40">
        <v>39742617</v>
      </c>
      <c r="D28" s="41" t="s">
        <v>31</v>
      </c>
      <c r="E28" s="39" t="s">
        <v>101</v>
      </c>
      <c r="F28" s="42">
        <v>24137.44</v>
      </c>
      <c r="G28" s="42">
        <f>ROUND(F28*56.16%,0)</f>
        <v>13556</v>
      </c>
      <c r="H28" s="43"/>
      <c r="I28" s="44">
        <f>F28-G28</f>
        <v>10581.439999999999</v>
      </c>
      <c r="J28" s="44"/>
      <c r="K28" s="41"/>
      <c r="L28" s="41"/>
      <c r="M28" s="24"/>
      <c r="N28" s="52">
        <f>G28</f>
        <v>13556</v>
      </c>
    </row>
    <row r="29" spans="1:13" s="1" customFormat="1" ht="15.75" outlineLevel="2">
      <c r="A29" s="38"/>
      <c r="B29" s="39"/>
      <c r="C29" s="40"/>
      <c r="D29" s="41"/>
      <c r="E29" s="45" t="s">
        <v>92</v>
      </c>
      <c r="F29" s="46">
        <f>SUM(F28)</f>
        <v>24137.44</v>
      </c>
      <c r="G29" s="46">
        <f>SUM(G28)</f>
        <v>13556</v>
      </c>
      <c r="H29" s="46">
        <f>G29</f>
        <v>13556</v>
      </c>
      <c r="I29" s="43">
        <f>F29-H29</f>
        <v>10581.439999999999</v>
      </c>
      <c r="J29" s="43">
        <f>I29</f>
        <v>10581.439999999999</v>
      </c>
      <c r="K29" s="41"/>
      <c r="L29" s="41"/>
      <c r="M29" s="24"/>
    </row>
    <row r="30" spans="1:14" s="1" customFormat="1" ht="30.75" outlineLevel="2">
      <c r="A30" s="38">
        <v>10</v>
      </c>
      <c r="B30" s="39" t="s">
        <v>32</v>
      </c>
      <c r="C30" s="40">
        <v>33092124</v>
      </c>
      <c r="D30" s="41" t="s">
        <v>33</v>
      </c>
      <c r="E30" s="39" t="s">
        <v>98</v>
      </c>
      <c r="F30" s="42">
        <v>98723</v>
      </c>
      <c r="G30" s="42">
        <f>ROUND(F30*56.16%,0)</f>
        <v>55443</v>
      </c>
      <c r="H30" s="43"/>
      <c r="I30" s="44">
        <f>F30-G30</f>
        <v>43280</v>
      </c>
      <c r="J30" s="44"/>
      <c r="K30" s="41"/>
      <c r="L30" s="41"/>
      <c r="M30" s="24"/>
      <c r="N30" s="52">
        <f>G30</f>
        <v>55443</v>
      </c>
    </row>
    <row r="31" spans="1:13" s="1" customFormat="1" ht="13.5" customHeight="1" outlineLevel="2">
      <c r="A31" s="38"/>
      <c r="B31" s="39"/>
      <c r="C31" s="40"/>
      <c r="D31" s="41"/>
      <c r="E31" s="45" t="s">
        <v>92</v>
      </c>
      <c r="F31" s="46">
        <f>SUM(F30)</f>
        <v>98723</v>
      </c>
      <c r="G31" s="46">
        <f>SUM(G30)</f>
        <v>55443</v>
      </c>
      <c r="H31" s="46">
        <f>G31</f>
        <v>55443</v>
      </c>
      <c r="I31" s="43">
        <f>F31-H31</f>
        <v>43280</v>
      </c>
      <c r="J31" s="43">
        <f>I31</f>
        <v>43280</v>
      </c>
      <c r="K31" s="41"/>
      <c r="L31" s="41"/>
      <c r="M31" s="24"/>
    </row>
    <row r="32" spans="1:14" s="1" customFormat="1" ht="30.75" outlineLevel="2">
      <c r="A32" s="38">
        <v>11</v>
      </c>
      <c r="B32" s="39" t="s">
        <v>34</v>
      </c>
      <c r="C32" s="40">
        <v>14571643</v>
      </c>
      <c r="D32" s="41" t="s">
        <v>35</v>
      </c>
      <c r="E32" s="39" t="s">
        <v>114</v>
      </c>
      <c r="F32" s="42">
        <v>12506.43</v>
      </c>
      <c r="G32" s="42">
        <f>ROUND(F32*56.16%,0)</f>
        <v>7024</v>
      </c>
      <c r="H32" s="43"/>
      <c r="I32" s="44">
        <f>F32-G32</f>
        <v>5482.43</v>
      </c>
      <c r="J32" s="44"/>
      <c r="K32" s="41"/>
      <c r="L32" s="41"/>
      <c r="M32" s="24"/>
      <c r="N32" s="52">
        <f>G32</f>
        <v>7024</v>
      </c>
    </row>
    <row r="33" spans="1:13" s="1" customFormat="1" ht="15.75" outlineLevel="2">
      <c r="A33" s="38"/>
      <c r="B33" s="39"/>
      <c r="C33" s="40"/>
      <c r="D33" s="41"/>
      <c r="E33" s="45" t="s">
        <v>92</v>
      </c>
      <c r="F33" s="46">
        <f>SUM(F32)</f>
        <v>12506.43</v>
      </c>
      <c r="G33" s="46">
        <f>SUM(G32)</f>
        <v>7024</v>
      </c>
      <c r="H33" s="46">
        <f>G33</f>
        <v>7024</v>
      </c>
      <c r="I33" s="43">
        <f>F33-H33</f>
        <v>5482.43</v>
      </c>
      <c r="J33" s="43">
        <f>I33</f>
        <v>5482.43</v>
      </c>
      <c r="K33" s="41"/>
      <c r="L33" s="41"/>
      <c r="M33" s="24"/>
    </row>
    <row r="34" spans="1:13" s="1" customFormat="1" ht="30.75" outlineLevel="2">
      <c r="A34" s="38">
        <v>12</v>
      </c>
      <c r="B34" s="39" t="s">
        <v>79</v>
      </c>
      <c r="C34" s="40">
        <v>11963146</v>
      </c>
      <c r="D34" s="41" t="s">
        <v>19</v>
      </c>
      <c r="E34" s="39" t="s">
        <v>129</v>
      </c>
      <c r="F34" s="42">
        <v>108788</v>
      </c>
      <c r="G34" s="42">
        <f>ROUND(F34*56.16%,0)</f>
        <v>61095</v>
      </c>
      <c r="H34" s="43"/>
      <c r="I34" s="44">
        <f>F34-G34</f>
        <v>47693</v>
      </c>
      <c r="J34" s="44"/>
      <c r="K34" s="41"/>
      <c r="L34" s="41"/>
      <c r="M34" s="24">
        <f>G34</f>
        <v>61095</v>
      </c>
    </row>
    <row r="35" spans="1:13" s="1" customFormat="1" ht="15.75" outlineLevel="2">
      <c r="A35" s="38"/>
      <c r="B35" s="39"/>
      <c r="C35" s="40"/>
      <c r="D35" s="41"/>
      <c r="E35" s="45" t="s">
        <v>92</v>
      </c>
      <c r="F35" s="46">
        <f>SUM(F34)</f>
        <v>108788</v>
      </c>
      <c r="G35" s="46">
        <f>SUM(G34)</f>
        <v>61095</v>
      </c>
      <c r="H35" s="46">
        <f>G35</f>
        <v>61095</v>
      </c>
      <c r="I35" s="43">
        <f>F35-H35</f>
        <v>47693</v>
      </c>
      <c r="J35" s="43">
        <f>I35</f>
        <v>47693</v>
      </c>
      <c r="K35" s="41"/>
      <c r="L35" s="41"/>
      <c r="M35" s="24"/>
    </row>
    <row r="36" spans="1:13" s="1" customFormat="1" ht="30.75" outlineLevel="2">
      <c r="A36" s="38">
        <v>13</v>
      </c>
      <c r="B36" s="39" t="s">
        <v>36</v>
      </c>
      <c r="C36" s="40">
        <v>9205492</v>
      </c>
      <c r="D36" s="41" t="s">
        <v>37</v>
      </c>
      <c r="E36" s="39" t="s">
        <v>133</v>
      </c>
      <c r="F36" s="42">
        <v>155644</v>
      </c>
      <c r="G36" s="42">
        <f>ROUND(F36*56.16%,0)-36478</f>
        <v>50932</v>
      </c>
      <c r="H36" s="43"/>
      <c r="I36" s="44">
        <f>F36-G36</f>
        <v>104712</v>
      </c>
      <c r="J36" s="44"/>
      <c r="K36" s="41"/>
      <c r="L36" s="41"/>
      <c r="M36" s="24">
        <f>G36</f>
        <v>50932</v>
      </c>
    </row>
    <row r="37" spans="1:13" s="1" customFormat="1" ht="16.5" customHeight="1" outlineLevel="2">
      <c r="A37" s="38"/>
      <c r="B37" s="39"/>
      <c r="C37" s="40"/>
      <c r="D37" s="41"/>
      <c r="E37" s="45" t="s">
        <v>92</v>
      </c>
      <c r="F37" s="46">
        <f>SUM(F36:F36)</f>
        <v>155644</v>
      </c>
      <c r="G37" s="46">
        <f>SUM(G36:G36)</f>
        <v>50932</v>
      </c>
      <c r="H37" s="46">
        <f>G37</f>
        <v>50932</v>
      </c>
      <c r="I37" s="43">
        <f>F37-H37</f>
        <v>104712</v>
      </c>
      <c r="J37" s="43">
        <f>I37</f>
        <v>104712</v>
      </c>
      <c r="K37" s="41"/>
      <c r="L37" s="41"/>
      <c r="M37" s="24"/>
    </row>
    <row r="38" spans="1:13" s="1" customFormat="1" ht="30.75" outlineLevel="2">
      <c r="A38" s="38">
        <v>14</v>
      </c>
      <c r="B38" s="39" t="s">
        <v>38</v>
      </c>
      <c r="C38" s="40">
        <v>16285931</v>
      </c>
      <c r="D38" s="41" t="s">
        <v>39</v>
      </c>
      <c r="E38" s="39" t="s">
        <v>103</v>
      </c>
      <c r="F38" s="42">
        <v>92861</v>
      </c>
      <c r="G38" s="42">
        <f>ROUND(F38*56.16%,0)-9445.02</f>
        <v>42705.979999999996</v>
      </c>
      <c r="H38" s="43"/>
      <c r="I38" s="44">
        <f>F38-G38</f>
        <v>50155.020000000004</v>
      </c>
      <c r="J38" s="44"/>
      <c r="K38" s="41"/>
      <c r="L38" s="41"/>
      <c r="M38" s="24">
        <f>G38</f>
        <v>42705.979999999996</v>
      </c>
    </row>
    <row r="39" spans="1:13" s="1" customFormat="1" ht="15.75" outlineLevel="2">
      <c r="A39" s="38"/>
      <c r="B39" s="39"/>
      <c r="C39" s="40"/>
      <c r="D39" s="41"/>
      <c r="E39" s="45" t="s">
        <v>92</v>
      </c>
      <c r="F39" s="46">
        <f>SUM(F38:F38)</f>
        <v>92861</v>
      </c>
      <c r="G39" s="46">
        <f>SUM(G38:G38)</f>
        <v>42705.979999999996</v>
      </c>
      <c r="H39" s="46">
        <f>G39</f>
        <v>42705.979999999996</v>
      </c>
      <c r="I39" s="43">
        <f>F39-H39</f>
        <v>50155.020000000004</v>
      </c>
      <c r="J39" s="43">
        <f>I39</f>
        <v>50155.020000000004</v>
      </c>
      <c r="K39" s="41"/>
      <c r="L39" s="41"/>
      <c r="M39" s="24"/>
    </row>
    <row r="40" spans="1:14" s="1" customFormat="1" ht="30.75" outlineLevel="2">
      <c r="A40" s="38">
        <v>15</v>
      </c>
      <c r="B40" s="39" t="s">
        <v>40</v>
      </c>
      <c r="C40" s="40">
        <v>16082325</v>
      </c>
      <c r="D40" s="41" t="s">
        <v>41</v>
      </c>
      <c r="E40" s="39" t="s">
        <v>117</v>
      </c>
      <c r="F40" s="42">
        <v>112215</v>
      </c>
      <c r="G40" s="42">
        <f>ROUND(F40*56.16%,0)-25502.9</f>
        <v>37517.1</v>
      </c>
      <c r="H40" s="43"/>
      <c r="I40" s="44">
        <f>F40-G40</f>
        <v>74697.9</v>
      </c>
      <c r="J40" s="44"/>
      <c r="K40" s="41"/>
      <c r="L40" s="41"/>
      <c r="M40" s="24"/>
      <c r="N40" s="52">
        <f>G40</f>
        <v>37517.1</v>
      </c>
    </row>
    <row r="41" spans="1:13" s="1" customFormat="1" ht="15.75" customHeight="1" outlineLevel="2">
      <c r="A41" s="38"/>
      <c r="B41" s="39"/>
      <c r="C41" s="40"/>
      <c r="D41" s="41"/>
      <c r="E41" s="45" t="s">
        <v>92</v>
      </c>
      <c r="F41" s="46">
        <f>SUM(F40:F40)</f>
        <v>112215</v>
      </c>
      <c r="G41" s="46">
        <f>SUM(G40:G40)</f>
        <v>37517.1</v>
      </c>
      <c r="H41" s="46">
        <f>G41</f>
        <v>37517.1</v>
      </c>
      <c r="I41" s="43">
        <f>F41-H41</f>
        <v>74697.9</v>
      </c>
      <c r="J41" s="43">
        <f>I41</f>
        <v>74697.9</v>
      </c>
      <c r="K41" s="41"/>
      <c r="L41" s="41"/>
      <c r="M41" s="24"/>
    </row>
    <row r="42" spans="1:13" s="1" customFormat="1" ht="30.75" outlineLevel="2">
      <c r="A42" s="38">
        <v>16</v>
      </c>
      <c r="B42" s="39" t="s">
        <v>89</v>
      </c>
      <c r="C42" s="40">
        <v>26273640</v>
      </c>
      <c r="D42" s="41" t="s">
        <v>42</v>
      </c>
      <c r="E42" s="39" t="s">
        <v>119</v>
      </c>
      <c r="F42" s="42">
        <v>67352.17</v>
      </c>
      <c r="G42" s="42">
        <f>ROUND(F42*56.16%,0)</f>
        <v>37825</v>
      </c>
      <c r="H42" s="43"/>
      <c r="I42" s="44">
        <f>F42-G42</f>
        <v>29527.17</v>
      </c>
      <c r="J42" s="44"/>
      <c r="K42" s="41"/>
      <c r="L42" s="41"/>
      <c r="M42" s="24">
        <f>G42</f>
        <v>37825</v>
      </c>
    </row>
    <row r="43" spans="1:13" s="1" customFormat="1" ht="15.75" outlineLevel="2">
      <c r="A43" s="38"/>
      <c r="B43" s="39"/>
      <c r="C43" s="40"/>
      <c r="D43" s="41"/>
      <c r="E43" s="45" t="s">
        <v>92</v>
      </c>
      <c r="F43" s="46">
        <f>SUM(F42)</f>
        <v>67352.17</v>
      </c>
      <c r="G43" s="46">
        <f>SUM(G42)</f>
        <v>37825</v>
      </c>
      <c r="H43" s="46">
        <f>G43</f>
        <v>37825</v>
      </c>
      <c r="I43" s="43">
        <f>F43-H43</f>
        <v>29527.17</v>
      </c>
      <c r="J43" s="43">
        <f>I43</f>
        <v>29527.17</v>
      </c>
      <c r="K43" s="41"/>
      <c r="L43" s="41"/>
      <c r="M43" s="24"/>
    </row>
    <row r="44" spans="1:13" s="1" customFormat="1" ht="30.75" outlineLevel="2">
      <c r="A44" s="38">
        <v>17</v>
      </c>
      <c r="B44" s="39" t="s">
        <v>43</v>
      </c>
      <c r="C44" s="40">
        <v>15448720</v>
      </c>
      <c r="D44" s="41" t="s">
        <v>44</v>
      </c>
      <c r="E44" s="39" t="s">
        <v>122</v>
      </c>
      <c r="F44" s="42">
        <v>80481</v>
      </c>
      <c r="G44" s="42">
        <f>ROUND(F44*56.16%,0)</f>
        <v>45198</v>
      </c>
      <c r="H44" s="43"/>
      <c r="I44" s="44">
        <f>F44-G44</f>
        <v>35283</v>
      </c>
      <c r="J44" s="44"/>
      <c r="K44" s="41"/>
      <c r="L44" s="41"/>
      <c r="M44" s="24">
        <f>G44</f>
        <v>45198</v>
      </c>
    </row>
    <row r="45" spans="1:13" s="1" customFormat="1" ht="15.75" outlineLevel="2">
      <c r="A45" s="38"/>
      <c r="B45" s="39"/>
      <c r="C45" s="40"/>
      <c r="D45" s="41"/>
      <c r="E45" s="45" t="s">
        <v>92</v>
      </c>
      <c r="F45" s="46">
        <f>SUM(F44)</f>
        <v>80481</v>
      </c>
      <c r="G45" s="46">
        <f>SUM(G44)</f>
        <v>45198</v>
      </c>
      <c r="H45" s="46">
        <f>G45</f>
        <v>45198</v>
      </c>
      <c r="I45" s="43">
        <f>F45-H45</f>
        <v>35283</v>
      </c>
      <c r="J45" s="43">
        <f>I45</f>
        <v>35283</v>
      </c>
      <c r="K45" s="41"/>
      <c r="L45" s="41"/>
      <c r="M45" s="24"/>
    </row>
    <row r="46" spans="1:13" s="1" customFormat="1" ht="30.75" outlineLevel="2">
      <c r="A46" s="38">
        <v>18</v>
      </c>
      <c r="B46" s="39" t="s">
        <v>45</v>
      </c>
      <c r="C46" s="40">
        <v>13863330</v>
      </c>
      <c r="D46" s="41" t="s">
        <v>46</v>
      </c>
      <c r="E46" s="39" t="s">
        <v>127</v>
      </c>
      <c r="F46" s="42">
        <v>55668.08</v>
      </c>
      <c r="G46" s="42">
        <f>ROUND(F46*56.16%,0)</f>
        <v>31263</v>
      </c>
      <c r="H46" s="43"/>
      <c r="I46" s="44">
        <f>F46-G46</f>
        <v>24405.08</v>
      </c>
      <c r="J46" s="44"/>
      <c r="K46" s="41"/>
      <c r="L46" s="41"/>
      <c r="M46" s="24">
        <f>G46</f>
        <v>31263</v>
      </c>
    </row>
    <row r="47" spans="1:13" s="1" customFormat="1" ht="15.75" outlineLevel="2">
      <c r="A47" s="38"/>
      <c r="B47" s="39"/>
      <c r="C47" s="40"/>
      <c r="D47" s="41"/>
      <c r="E47" s="45" t="s">
        <v>92</v>
      </c>
      <c r="F47" s="46">
        <f>SUM(F46)</f>
        <v>55668.08</v>
      </c>
      <c r="G47" s="46">
        <f>SUM(G46)</f>
        <v>31263</v>
      </c>
      <c r="H47" s="46">
        <f>G47</f>
        <v>31263</v>
      </c>
      <c r="I47" s="43">
        <f>F47-H47</f>
        <v>24405.08</v>
      </c>
      <c r="J47" s="43">
        <f>I47</f>
        <v>24405.08</v>
      </c>
      <c r="K47" s="41"/>
      <c r="L47" s="41"/>
      <c r="M47" s="24"/>
    </row>
    <row r="48" spans="1:14" s="1" customFormat="1" ht="30.75" outlineLevel="2">
      <c r="A48" s="38">
        <v>19</v>
      </c>
      <c r="B48" s="39" t="s">
        <v>47</v>
      </c>
      <c r="C48" s="40">
        <v>5919324</v>
      </c>
      <c r="D48" s="41" t="s">
        <v>48</v>
      </c>
      <c r="E48" s="39" t="s">
        <v>134</v>
      </c>
      <c r="F48" s="42">
        <v>193206</v>
      </c>
      <c r="G48" s="42">
        <f>ROUND(F48*56.16%,0)-4165-42355</f>
        <v>61984</v>
      </c>
      <c r="H48" s="43"/>
      <c r="I48" s="44">
        <f>F48-G48</f>
        <v>131222</v>
      </c>
      <c r="J48" s="44"/>
      <c r="K48" s="41"/>
      <c r="L48" s="41"/>
      <c r="M48" s="24"/>
      <c r="N48" s="52">
        <f>G48</f>
        <v>61984</v>
      </c>
    </row>
    <row r="49" spans="1:13" s="1" customFormat="1" ht="15.75" outlineLevel="2">
      <c r="A49" s="38"/>
      <c r="B49" s="39"/>
      <c r="C49" s="40"/>
      <c r="D49" s="41"/>
      <c r="E49" s="45" t="s">
        <v>92</v>
      </c>
      <c r="F49" s="46">
        <f>SUM(F48:F48)</f>
        <v>193206</v>
      </c>
      <c r="G49" s="46">
        <f>SUM(G48:G48)</f>
        <v>61984</v>
      </c>
      <c r="H49" s="43">
        <f>G49</f>
        <v>61984</v>
      </c>
      <c r="I49" s="43">
        <f>F49-H49</f>
        <v>131222</v>
      </c>
      <c r="J49" s="43">
        <f>I49</f>
        <v>131222</v>
      </c>
      <c r="K49" s="48"/>
      <c r="L49" s="41"/>
      <c r="M49" s="24"/>
    </row>
    <row r="50" spans="1:13" s="1" customFormat="1" ht="30.75" outlineLevel="2">
      <c r="A50" s="38">
        <v>20</v>
      </c>
      <c r="B50" s="39" t="s">
        <v>49</v>
      </c>
      <c r="C50" s="40">
        <v>16927632</v>
      </c>
      <c r="D50" s="41" t="s">
        <v>50</v>
      </c>
      <c r="E50" s="39" t="s">
        <v>131</v>
      </c>
      <c r="F50" s="42">
        <v>140530</v>
      </c>
      <c r="G50" s="42">
        <f>ROUND(F50*56.16%,0)</f>
        <v>78922</v>
      </c>
      <c r="H50" s="43"/>
      <c r="I50" s="44">
        <f>F50-G50</f>
        <v>61608</v>
      </c>
      <c r="J50" s="44"/>
      <c r="K50" s="41"/>
      <c r="L50" s="41"/>
      <c r="M50" s="24">
        <f>G50</f>
        <v>78922</v>
      </c>
    </row>
    <row r="51" spans="1:13" s="1" customFormat="1" ht="15.75" outlineLevel="2">
      <c r="A51" s="38"/>
      <c r="B51" s="39"/>
      <c r="C51" s="40"/>
      <c r="D51" s="41"/>
      <c r="E51" s="45" t="s">
        <v>92</v>
      </c>
      <c r="F51" s="46">
        <f>SUM(F50)</f>
        <v>140530</v>
      </c>
      <c r="G51" s="46">
        <f>SUM(G50)</f>
        <v>78922</v>
      </c>
      <c r="H51" s="46">
        <f>G51</f>
        <v>78922</v>
      </c>
      <c r="I51" s="43">
        <f>F51-H51</f>
        <v>61608</v>
      </c>
      <c r="J51" s="43">
        <f>I51</f>
        <v>61608</v>
      </c>
      <c r="K51" s="41"/>
      <c r="L51" s="41"/>
      <c r="M51" s="24"/>
    </row>
    <row r="52" spans="1:14" s="1" customFormat="1" ht="30.75" outlineLevel="2">
      <c r="A52" s="38">
        <v>21</v>
      </c>
      <c r="B52" s="39" t="s">
        <v>51</v>
      </c>
      <c r="C52" s="40">
        <v>15190728</v>
      </c>
      <c r="D52" s="41" t="s">
        <v>52</v>
      </c>
      <c r="E52" s="39" t="s">
        <v>132</v>
      </c>
      <c r="F52" s="42">
        <v>58527</v>
      </c>
      <c r="G52" s="42">
        <f>ROUND(F52*56.16%,0)</f>
        <v>32869</v>
      </c>
      <c r="H52" s="43"/>
      <c r="I52" s="44">
        <f>F52-G52</f>
        <v>25658</v>
      </c>
      <c r="J52" s="44"/>
      <c r="K52" s="41"/>
      <c r="L52" s="41"/>
      <c r="M52" s="24"/>
      <c r="N52" s="52">
        <f>G52</f>
        <v>32869</v>
      </c>
    </row>
    <row r="53" spans="1:13" s="1" customFormat="1" ht="15.75" outlineLevel="2">
      <c r="A53" s="38"/>
      <c r="B53" s="39"/>
      <c r="C53" s="40"/>
      <c r="D53" s="41"/>
      <c r="E53" s="45" t="s">
        <v>92</v>
      </c>
      <c r="F53" s="46">
        <f>SUM(F52)</f>
        <v>58527</v>
      </c>
      <c r="G53" s="46">
        <f>SUM(G52)</f>
        <v>32869</v>
      </c>
      <c r="H53" s="46">
        <f>G53</f>
        <v>32869</v>
      </c>
      <c r="I53" s="43">
        <f>F53-H53</f>
        <v>25658</v>
      </c>
      <c r="J53" s="43">
        <f>I53</f>
        <v>25658</v>
      </c>
      <c r="K53" s="41"/>
      <c r="L53" s="41"/>
      <c r="M53" s="24"/>
    </row>
    <row r="54" spans="1:15" s="14" customFormat="1" ht="30.75">
      <c r="A54" s="38">
        <v>22</v>
      </c>
      <c r="B54" s="39" t="s">
        <v>53</v>
      </c>
      <c r="C54" s="40">
        <v>14266062</v>
      </c>
      <c r="D54" s="41" t="s">
        <v>54</v>
      </c>
      <c r="E54" s="39" t="s">
        <v>130</v>
      </c>
      <c r="F54" s="42">
        <v>3685</v>
      </c>
      <c r="G54" s="42">
        <f>ROUND(F54*56.16%,0)</f>
        <v>2069</v>
      </c>
      <c r="H54" s="43"/>
      <c r="I54" s="44">
        <f>F54-G54</f>
        <v>1616</v>
      </c>
      <c r="J54" s="44"/>
      <c r="K54" s="41"/>
      <c r="L54" s="41"/>
      <c r="M54" s="47"/>
      <c r="O54" s="53">
        <f>G54</f>
        <v>2069</v>
      </c>
    </row>
    <row r="55" spans="1:13" s="14" customFormat="1" ht="15.75">
      <c r="A55" s="38"/>
      <c r="B55" s="39"/>
      <c r="C55" s="40"/>
      <c r="D55" s="41"/>
      <c r="E55" s="45" t="s">
        <v>92</v>
      </c>
      <c r="F55" s="46">
        <f>SUM(F54)</f>
        <v>3685</v>
      </c>
      <c r="G55" s="46">
        <f>SUM(G54)</f>
        <v>2069</v>
      </c>
      <c r="H55" s="46">
        <f>G55</f>
        <v>2069</v>
      </c>
      <c r="I55" s="43">
        <f>F55-H55</f>
        <v>1616</v>
      </c>
      <c r="J55" s="43">
        <f>I55</f>
        <v>1616</v>
      </c>
      <c r="K55" s="41"/>
      <c r="L55" s="41"/>
      <c r="M55" s="47"/>
    </row>
    <row r="56" spans="1:13" s="14" customFormat="1" ht="30.75">
      <c r="A56" s="38">
        <v>23</v>
      </c>
      <c r="B56" s="39" t="s">
        <v>55</v>
      </c>
      <c r="C56" s="40">
        <v>672664</v>
      </c>
      <c r="D56" s="41" t="s">
        <v>56</v>
      </c>
      <c r="E56" s="39" t="s">
        <v>118</v>
      </c>
      <c r="F56" s="42">
        <v>39363.16</v>
      </c>
      <c r="G56" s="42">
        <f>ROUND(F56*56.16%,0)-10943.21</f>
        <v>11162.79</v>
      </c>
      <c r="H56" s="43"/>
      <c r="I56" s="44">
        <f>F56-G56</f>
        <v>28200.370000000003</v>
      </c>
      <c r="J56" s="44"/>
      <c r="K56" s="41"/>
      <c r="L56" s="41"/>
      <c r="M56" s="50">
        <f>G56</f>
        <v>11162.79</v>
      </c>
    </row>
    <row r="57" spans="1:13" s="14" customFormat="1" ht="15.75">
      <c r="A57" s="38"/>
      <c r="B57" s="39"/>
      <c r="C57" s="40"/>
      <c r="D57" s="41"/>
      <c r="E57" s="45" t="s">
        <v>92</v>
      </c>
      <c r="F57" s="46">
        <f>SUM(F56:F56)</f>
        <v>39363.16</v>
      </c>
      <c r="G57" s="46">
        <f>SUM(G56:G56)</f>
        <v>11162.79</v>
      </c>
      <c r="H57" s="46">
        <f>G57</f>
        <v>11162.79</v>
      </c>
      <c r="I57" s="43">
        <f>F57-H57</f>
        <v>28200.370000000003</v>
      </c>
      <c r="J57" s="43">
        <f>I57</f>
        <v>28200.370000000003</v>
      </c>
      <c r="K57" s="41"/>
      <c r="L57" s="41"/>
      <c r="M57" s="47"/>
    </row>
    <row r="58" spans="1:15" s="14" customFormat="1" ht="30.75">
      <c r="A58" s="38">
        <v>24</v>
      </c>
      <c r="B58" s="39" t="s">
        <v>57</v>
      </c>
      <c r="C58" s="40">
        <v>14383747</v>
      </c>
      <c r="D58" s="41" t="s">
        <v>58</v>
      </c>
      <c r="E58" s="39" t="s">
        <v>104</v>
      </c>
      <c r="F58" s="42">
        <v>4916.5</v>
      </c>
      <c r="G58" s="42">
        <f>ROUND(F58*56.16%,0)</f>
        <v>2761</v>
      </c>
      <c r="H58" s="43">
        <f>G58</f>
        <v>2761</v>
      </c>
      <c r="I58" s="44">
        <f>F58-H58</f>
        <v>2155.5</v>
      </c>
      <c r="J58" s="44"/>
      <c r="K58" s="41"/>
      <c r="L58" s="41"/>
      <c r="M58" s="47"/>
      <c r="O58" s="53">
        <f>G58</f>
        <v>2761</v>
      </c>
    </row>
    <row r="59" spans="1:13" s="14" customFormat="1" ht="15.75">
      <c r="A59" s="38"/>
      <c r="B59" s="39"/>
      <c r="C59" s="40"/>
      <c r="D59" s="41"/>
      <c r="E59" s="45" t="s">
        <v>92</v>
      </c>
      <c r="F59" s="46">
        <f>SUM(F58)</f>
        <v>4916.5</v>
      </c>
      <c r="G59" s="46">
        <f>SUM(G58)</f>
        <v>2761</v>
      </c>
      <c r="H59" s="46">
        <f>G59</f>
        <v>2761</v>
      </c>
      <c r="I59" s="43">
        <f>F59-H59</f>
        <v>2155.5</v>
      </c>
      <c r="J59" s="43">
        <f>I59</f>
        <v>2155.5</v>
      </c>
      <c r="K59" s="41"/>
      <c r="L59" s="41"/>
      <c r="M59" s="47"/>
    </row>
    <row r="60" spans="1:13" s="14" customFormat="1" ht="30.75">
      <c r="A60" s="38">
        <v>25</v>
      </c>
      <c r="B60" s="39" t="s">
        <v>59</v>
      </c>
      <c r="C60" s="40">
        <v>4485715</v>
      </c>
      <c r="D60" s="41" t="s">
        <v>60</v>
      </c>
      <c r="E60" s="39" t="s">
        <v>99</v>
      </c>
      <c r="F60" s="42">
        <v>139776</v>
      </c>
      <c r="G60" s="42">
        <f>ROUND(F60*56.16%,0)-2170.9-55222.3</f>
        <v>21104.800000000003</v>
      </c>
      <c r="H60" s="43"/>
      <c r="I60" s="44">
        <f>F60-G60</f>
        <v>118671.2</v>
      </c>
      <c r="J60" s="44"/>
      <c r="K60" s="41"/>
      <c r="L60" s="41"/>
      <c r="M60" s="50">
        <f>G60</f>
        <v>21104.800000000003</v>
      </c>
    </row>
    <row r="61" spans="1:13" s="14" customFormat="1" ht="15.75">
      <c r="A61" s="38"/>
      <c r="B61" s="39"/>
      <c r="C61" s="40"/>
      <c r="D61" s="41"/>
      <c r="E61" s="45" t="s">
        <v>92</v>
      </c>
      <c r="F61" s="46">
        <f>SUM(F60:F60)</f>
        <v>139776</v>
      </c>
      <c r="G61" s="46">
        <f>SUM(G60:G60)</f>
        <v>21104.800000000003</v>
      </c>
      <c r="H61" s="43">
        <f>G61</f>
        <v>21104.800000000003</v>
      </c>
      <c r="I61" s="43">
        <f>F61-H61</f>
        <v>118671.2</v>
      </c>
      <c r="J61" s="43">
        <f>I61</f>
        <v>118671.2</v>
      </c>
      <c r="K61" s="48"/>
      <c r="L61" s="41"/>
      <c r="M61" s="47"/>
    </row>
    <row r="62" spans="1:14" s="14" customFormat="1" ht="45.75">
      <c r="A62" s="38">
        <v>26</v>
      </c>
      <c r="B62" s="39" t="s">
        <v>61</v>
      </c>
      <c r="C62" s="40">
        <v>4426352</v>
      </c>
      <c r="D62" s="41" t="s">
        <v>60</v>
      </c>
      <c r="E62" s="39" t="s">
        <v>113</v>
      </c>
      <c r="F62" s="42">
        <v>63397</v>
      </c>
      <c r="G62" s="42">
        <f>ROUND(F62*56.16%,0)-26082</f>
        <v>9522</v>
      </c>
      <c r="H62" s="43"/>
      <c r="I62" s="44">
        <f>F62-G62</f>
        <v>53875</v>
      </c>
      <c r="J62" s="44"/>
      <c r="K62" s="41"/>
      <c r="L62" s="41"/>
      <c r="M62" s="47"/>
      <c r="N62" s="53">
        <f>G62</f>
        <v>9522</v>
      </c>
    </row>
    <row r="63" spans="1:13" s="14" customFormat="1" ht="15.75">
      <c r="A63" s="38"/>
      <c r="B63" s="39"/>
      <c r="C63" s="40"/>
      <c r="D63" s="41"/>
      <c r="E63" s="45" t="s">
        <v>92</v>
      </c>
      <c r="F63" s="46">
        <f>SUM(F62:F62)</f>
        <v>63397</v>
      </c>
      <c r="G63" s="46">
        <f>SUM(G62:G62)</f>
        <v>9522</v>
      </c>
      <c r="H63" s="46">
        <f>G63</f>
        <v>9522</v>
      </c>
      <c r="I63" s="43">
        <f>F63-H63</f>
        <v>53875</v>
      </c>
      <c r="J63" s="43">
        <f>I63</f>
        <v>53875</v>
      </c>
      <c r="K63" s="41"/>
      <c r="L63" s="41"/>
      <c r="M63" s="47"/>
    </row>
    <row r="64" spans="1:14" s="14" customFormat="1" ht="45.75">
      <c r="A64" s="38">
        <v>27</v>
      </c>
      <c r="B64" s="39" t="s">
        <v>62</v>
      </c>
      <c r="C64" s="40">
        <v>4288080</v>
      </c>
      <c r="D64" s="41" t="s">
        <v>21</v>
      </c>
      <c r="E64" s="39" t="s">
        <v>115</v>
      </c>
      <c r="F64" s="42">
        <v>333555</v>
      </c>
      <c r="G64" s="42">
        <f>ROUND(F64*56.16%,0)-6303.6-47571.33</f>
        <v>133449.07</v>
      </c>
      <c r="H64" s="43"/>
      <c r="I64" s="44">
        <f>F64-G64</f>
        <v>200105.93</v>
      </c>
      <c r="J64" s="44"/>
      <c r="K64" s="41"/>
      <c r="L64" s="41"/>
      <c r="M64" s="47"/>
      <c r="N64" s="53">
        <f>G64</f>
        <v>133449.07</v>
      </c>
    </row>
    <row r="65" spans="1:13" s="14" customFormat="1" ht="15.75">
      <c r="A65" s="38"/>
      <c r="B65" s="39"/>
      <c r="C65" s="40"/>
      <c r="D65" s="41"/>
      <c r="E65" s="45" t="s">
        <v>92</v>
      </c>
      <c r="F65" s="46">
        <f>SUM(F64:F64)</f>
        <v>333555</v>
      </c>
      <c r="G65" s="46">
        <f>SUM(G64:G64)</f>
        <v>133449.07</v>
      </c>
      <c r="H65" s="43">
        <f>G65</f>
        <v>133449.07</v>
      </c>
      <c r="I65" s="43">
        <f>F65-H65</f>
        <v>200105.93</v>
      </c>
      <c r="J65" s="43">
        <f>I65</f>
        <v>200105.93</v>
      </c>
      <c r="K65" s="48"/>
      <c r="L65" s="41"/>
      <c r="M65" s="47"/>
    </row>
    <row r="66" spans="1:14" s="14" customFormat="1" ht="45.75">
      <c r="A66" s="38">
        <v>28</v>
      </c>
      <c r="B66" s="39" t="s">
        <v>64</v>
      </c>
      <c r="C66" s="40">
        <v>4354540</v>
      </c>
      <c r="D66" s="41" t="s">
        <v>60</v>
      </c>
      <c r="E66" s="39" t="s">
        <v>107</v>
      </c>
      <c r="F66" s="42">
        <v>14933</v>
      </c>
      <c r="G66" s="42">
        <f>ROUND(F66*56.17%,0)</f>
        <v>8388</v>
      </c>
      <c r="H66" s="43"/>
      <c r="I66" s="44">
        <f>F66-G66</f>
        <v>6545</v>
      </c>
      <c r="J66" s="44"/>
      <c r="K66" s="41"/>
      <c r="L66" s="41"/>
      <c r="M66" s="47"/>
      <c r="N66" s="53">
        <f>G66</f>
        <v>8388</v>
      </c>
    </row>
    <row r="67" spans="1:13" s="14" customFormat="1" ht="15.75">
      <c r="A67" s="38"/>
      <c r="B67" s="39"/>
      <c r="C67" s="40"/>
      <c r="D67" s="41"/>
      <c r="E67" s="45" t="s">
        <v>92</v>
      </c>
      <c r="F67" s="46">
        <f>SUM(F66)</f>
        <v>14933</v>
      </c>
      <c r="G67" s="46">
        <f>SUM(G66)</f>
        <v>8388</v>
      </c>
      <c r="H67" s="46">
        <f>G67</f>
        <v>8388</v>
      </c>
      <c r="I67" s="43">
        <f>F67-H67</f>
        <v>6545</v>
      </c>
      <c r="J67" s="43">
        <f>I67</f>
        <v>6545</v>
      </c>
      <c r="K67" s="41"/>
      <c r="L67" s="41"/>
      <c r="M67" s="47"/>
    </row>
    <row r="68" spans="1:14" s="14" customFormat="1" ht="45.75">
      <c r="A68" s="38">
        <v>29</v>
      </c>
      <c r="B68" s="39" t="s">
        <v>65</v>
      </c>
      <c r="C68" s="40">
        <v>4288268</v>
      </c>
      <c r="D68" s="41" t="s">
        <v>66</v>
      </c>
      <c r="E68" s="39" t="s">
        <v>102</v>
      </c>
      <c r="F68" s="42">
        <v>9724.35</v>
      </c>
      <c r="G68" s="42">
        <f>ROUND(F68*56.16%,0)</f>
        <v>5461</v>
      </c>
      <c r="H68" s="43"/>
      <c r="I68" s="44">
        <f>F68-G68</f>
        <v>4263.35</v>
      </c>
      <c r="J68" s="44"/>
      <c r="K68" s="41"/>
      <c r="L68" s="41"/>
      <c r="M68" s="47"/>
      <c r="N68" s="53">
        <f>G68</f>
        <v>5461</v>
      </c>
    </row>
    <row r="69" spans="1:13" s="14" customFormat="1" ht="15.75">
      <c r="A69" s="38"/>
      <c r="B69" s="39"/>
      <c r="C69" s="40"/>
      <c r="D69" s="41"/>
      <c r="E69" s="45" t="s">
        <v>92</v>
      </c>
      <c r="F69" s="46">
        <f>SUM(F68)</f>
        <v>9724.35</v>
      </c>
      <c r="G69" s="46">
        <f>SUM(G68)</f>
        <v>5461</v>
      </c>
      <c r="H69" s="46">
        <f>G69</f>
        <v>5461</v>
      </c>
      <c r="I69" s="43">
        <f>F69-H69</f>
        <v>4263.35</v>
      </c>
      <c r="J69" s="43">
        <f>I69</f>
        <v>4263.35</v>
      </c>
      <c r="K69" s="41"/>
      <c r="L69" s="41"/>
      <c r="M69" s="47"/>
    </row>
    <row r="70" spans="1:15" s="14" customFormat="1" ht="30.75">
      <c r="A70" s="38">
        <v>30</v>
      </c>
      <c r="B70" s="39" t="s">
        <v>67</v>
      </c>
      <c r="C70" s="40">
        <v>4305997</v>
      </c>
      <c r="D70" s="41" t="s">
        <v>68</v>
      </c>
      <c r="E70" s="39" t="s">
        <v>120</v>
      </c>
      <c r="F70" s="42">
        <v>68315.55</v>
      </c>
      <c r="G70" s="42">
        <f>ROUND(F70*56.16%,0)-1549.5-16023</f>
        <v>20793.5</v>
      </c>
      <c r="H70" s="43"/>
      <c r="I70" s="44">
        <f>F70-G70</f>
        <v>47522.05</v>
      </c>
      <c r="J70" s="44"/>
      <c r="K70" s="41"/>
      <c r="L70" s="41"/>
      <c r="M70" s="47"/>
      <c r="O70" s="53">
        <f>G70</f>
        <v>20793.5</v>
      </c>
    </row>
    <row r="71" spans="1:13" s="14" customFormat="1" ht="15.75">
      <c r="A71" s="38"/>
      <c r="B71" s="39"/>
      <c r="C71" s="40"/>
      <c r="D71" s="41"/>
      <c r="E71" s="45" t="s">
        <v>92</v>
      </c>
      <c r="F71" s="46">
        <f>SUM(F70:F70)</f>
        <v>68315.55</v>
      </c>
      <c r="G71" s="46">
        <f>SUM(G70:G70)</f>
        <v>20793.5</v>
      </c>
      <c r="H71" s="43">
        <f>G71</f>
        <v>20793.5</v>
      </c>
      <c r="I71" s="43">
        <f>F71-H71</f>
        <v>47522.05</v>
      </c>
      <c r="J71" s="43">
        <f>I71</f>
        <v>47522.05</v>
      </c>
      <c r="K71" s="48"/>
      <c r="L71" s="41"/>
      <c r="M71" s="47"/>
    </row>
    <row r="72" spans="1:14" s="14" customFormat="1" ht="30.75">
      <c r="A72" s="38">
        <v>31</v>
      </c>
      <c r="B72" s="39" t="s">
        <v>69</v>
      </c>
      <c r="C72" s="40">
        <v>4546995</v>
      </c>
      <c r="D72" s="41" t="s">
        <v>70</v>
      </c>
      <c r="E72" s="39" t="s">
        <v>128</v>
      </c>
      <c r="F72" s="42">
        <v>43549.16</v>
      </c>
      <c r="G72" s="42">
        <f>ROUND(F72*56.16%,0)-13701.99</f>
        <v>10755.01</v>
      </c>
      <c r="H72" s="43"/>
      <c r="I72" s="44">
        <f>F72-G72</f>
        <v>32794.15</v>
      </c>
      <c r="J72" s="44"/>
      <c r="K72" s="41"/>
      <c r="L72" s="41"/>
      <c r="M72" s="47"/>
      <c r="N72" s="53">
        <f>G72</f>
        <v>10755.01</v>
      </c>
    </row>
    <row r="73" spans="1:13" s="14" customFormat="1" ht="21" customHeight="1">
      <c r="A73" s="38"/>
      <c r="B73" s="39"/>
      <c r="C73" s="40"/>
      <c r="D73" s="41"/>
      <c r="E73" s="45" t="s">
        <v>92</v>
      </c>
      <c r="F73" s="46">
        <f>SUM(F72:F72)</f>
        <v>43549.16</v>
      </c>
      <c r="G73" s="46">
        <f>SUM(G72:G72)</f>
        <v>10755.01</v>
      </c>
      <c r="H73" s="46">
        <f>G73</f>
        <v>10755.01</v>
      </c>
      <c r="I73" s="43">
        <f>F73-H73</f>
        <v>32794.15</v>
      </c>
      <c r="J73" s="43">
        <f>I73</f>
        <v>32794.15</v>
      </c>
      <c r="K73" s="41"/>
      <c r="L73" s="41"/>
      <c r="M73" s="47"/>
    </row>
    <row r="74" spans="1:14" s="14" customFormat="1" ht="30.75">
      <c r="A74" s="38">
        <v>32</v>
      </c>
      <c r="B74" s="39" t="s">
        <v>71</v>
      </c>
      <c r="C74" s="40">
        <v>4287971</v>
      </c>
      <c r="D74" s="41" t="s">
        <v>66</v>
      </c>
      <c r="E74" s="39" t="s">
        <v>111</v>
      </c>
      <c r="F74" s="42">
        <v>25498</v>
      </c>
      <c r="G74" s="42">
        <f>ROUND(F74*56.16%,0)-318-10547.91</f>
        <v>3454.09</v>
      </c>
      <c r="H74" s="43"/>
      <c r="I74" s="44">
        <f>F74-G74</f>
        <v>22043.91</v>
      </c>
      <c r="J74" s="44"/>
      <c r="K74" s="41"/>
      <c r="L74" s="41"/>
      <c r="M74" s="47"/>
      <c r="N74" s="53">
        <f>G74</f>
        <v>3454.09</v>
      </c>
    </row>
    <row r="75" spans="1:13" s="14" customFormat="1" ht="15.75">
      <c r="A75" s="38"/>
      <c r="B75" s="39"/>
      <c r="C75" s="40"/>
      <c r="D75" s="41"/>
      <c r="E75" s="45" t="s">
        <v>92</v>
      </c>
      <c r="F75" s="46">
        <f>SUM(F74:F74)</f>
        <v>25498</v>
      </c>
      <c r="G75" s="46">
        <f>SUM(G74:G74)</f>
        <v>3454.09</v>
      </c>
      <c r="H75" s="43">
        <f>G75</f>
        <v>3454.09</v>
      </c>
      <c r="I75" s="43">
        <f>F75-H75</f>
        <v>22043.91</v>
      </c>
      <c r="J75" s="43">
        <f>I75</f>
        <v>22043.91</v>
      </c>
      <c r="K75" s="48"/>
      <c r="L75" s="41"/>
      <c r="M75" s="47"/>
    </row>
    <row r="76" spans="1:13" s="14" customFormat="1" ht="34.5" customHeight="1">
      <c r="A76" s="38">
        <v>33</v>
      </c>
      <c r="B76" s="39" t="s">
        <v>72</v>
      </c>
      <c r="C76" s="40">
        <v>4485618</v>
      </c>
      <c r="D76" s="41" t="s">
        <v>73</v>
      </c>
      <c r="E76" s="39" t="s">
        <v>123</v>
      </c>
      <c r="F76" s="42">
        <v>59180.43</v>
      </c>
      <c r="G76" s="42">
        <f>ROUND(F76*56.16%,0)-6994.28</f>
        <v>26241.72</v>
      </c>
      <c r="H76" s="43"/>
      <c r="I76" s="44">
        <f>F76-G76</f>
        <v>32938.71</v>
      </c>
      <c r="J76" s="44"/>
      <c r="K76" s="41"/>
      <c r="L76" s="41"/>
      <c r="M76" s="50">
        <f>G76</f>
        <v>26241.72</v>
      </c>
    </row>
    <row r="77" spans="1:13" s="14" customFormat="1" ht="16.5" customHeight="1">
      <c r="A77" s="38"/>
      <c r="B77" s="39"/>
      <c r="C77" s="40"/>
      <c r="D77" s="41"/>
      <c r="E77" s="45" t="s">
        <v>92</v>
      </c>
      <c r="F77" s="46">
        <f>SUM(F76:F76)</f>
        <v>59180.43</v>
      </c>
      <c r="G77" s="46">
        <f>SUM(G76:G76)</f>
        <v>26241.72</v>
      </c>
      <c r="H77" s="46">
        <f>G77</f>
        <v>26241.72</v>
      </c>
      <c r="I77" s="43">
        <f>F77-H77</f>
        <v>32938.71</v>
      </c>
      <c r="J77" s="43">
        <f>I77</f>
        <v>32938.71</v>
      </c>
      <c r="K77" s="41"/>
      <c r="L77" s="41"/>
      <c r="M77" s="47"/>
    </row>
    <row r="78" spans="1:14" s="14" customFormat="1" ht="45.75">
      <c r="A78" s="38">
        <v>34</v>
      </c>
      <c r="B78" s="39" t="s">
        <v>20</v>
      </c>
      <c r="C78" s="40">
        <v>4354523</v>
      </c>
      <c r="D78" s="41" t="s">
        <v>21</v>
      </c>
      <c r="E78" s="39" t="s">
        <v>100</v>
      </c>
      <c r="F78" s="42">
        <v>88810</v>
      </c>
      <c r="G78" s="42">
        <f>ROUND(F78*56.16%,0)-23345.23</f>
        <v>26530.77</v>
      </c>
      <c r="H78" s="43"/>
      <c r="I78" s="44">
        <f>F78-G78</f>
        <v>62279.229999999996</v>
      </c>
      <c r="J78" s="44"/>
      <c r="K78" s="41"/>
      <c r="L78" s="41"/>
      <c r="M78" s="47"/>
      <c r="N78" s="53">
        <f>G78</f>
        <v>26530.77</v>
      </c>
    </row>
    <row r="79" spans="1:13" s="14" customFormat="1" ht="15.75">
      <c r="A79" s="38"/>
      <c r="B79" s="39"/>
      <c r="C79" s="40"/>
      <c r="D79" s="41"/>
      <c r="E79" s="45" t="s">
        <v>92</v>
      </c>
      <c r="F79" s="46">
        <f>SUM(F78:F78)</f>
        <v>88810</v>
      </c>
      <c r="G79" s="46">
        <f>SUM(G78:G78)</f>
        <v>26530.77</v>
      </c>
      <c r="H79" s="46">
        <f>G79</f>
        <v>26530.77</v>
      </c>
      <c r="I79" s="43">
        <f>F79-H79</f>
        <v>62279.229999999996</v>
      </c>
      <c r="J79" s="43">
        <f>I79</f>
        <v>62279.229999999996</v>
      </c>
      <c r="K79" s="41"/>
      <c r="L79" s="41"/>
      <c r="M79" s="47"/>
    </row>
    <row r="80" spans="1:13" s="14" customFormat="1" ht="30.75">
      <c r="A80" s="38">
        <v>35</v>
      </c>
      <c r="B80" s="39" t="s">
        <v>63</v>
      </c>
      <c r="C80" s="40">
        <v>4547117</v>
      </c>
      <c r="D80" s="41" t="s">
        <v>60</v>
      </c>
      <c r="E80" s="39" t="s">
        <v>105</v>
      </c>
      <c r="F80" s="42">
        <v>99488</v>
      </c>
      <c r="G80" s="42">
        <f>ROUND(F80*56.16%,0)-32436-2387.1</f>
        <v>21048.9</v>
      </c>
      <c r="H80" s="43"/>
      <c r="I80" s="44">
        <f>F80-G80</f>
        <v>78439.1</v>
      </c>
      <c r="J80" s="44"/>
      <c r="K80" s="41"/>
      <c r="L80" s="41"/>
      <c r="M80" s="50">
        <f>G80</f>
        <v>21048.9</v>
      </c>
    </row>
    <row r="81" spans="1:13" s="14" customFormat="1" ht="15.75">
      <c r="A81" s="38"/>
      <c r="B81" s="39"/>
      <c r="C81" s="40"/>
      <c r="D81" s="41"/>
      <c r="E81" s="45" t="s">
        <v>92</v>
      </c>
      <c r="F81" s="46">
        <f>SUM(F80:F80)</f>
        <v>99488</v>
      </c>
      <c r="G81" s="46">
        <f>SUM(G80:G80)</f>
        <v>21048.9</v>
      </c>
      <c r="H81" s="43">
        <f>G81</f>
        <v>21048.9</v>
      </c>
      <c r="I81" s="43">
        <f>F81-H81</f>
        <v>78439.1</v>
      </c>
      <c r="J81" s="43">
        <f>I81</f>
        <v>78439.1</v>
      </c>
      <c r="K81" s="48"/>
      <c r="L81" s="41"/>
      <c r="M81" s="47"/>
    </row>
    <row r="82" spans="1:13" s="14" customFormat="1" ht="30.75">
      <c r="A82" s="38">
        <v>36</v>
      </c>
      <c r="B82" s="49" t="s">
        <v>80</v>
      </c>
      <c r="C82" s="40">
        <v>6479639</v>
      </c>
      <c r="D82" s="41" t="s">
        <v>81</v>
      </c>
      <c r="E82" s="39" t="s">
        <v>121</v>
      </c>
      <c r="F82" s="42">
        <v>113978</v>
      </c>
      <c r="G82" s="42">
        <f>ROUND(F82*56.16%,0)</f>
        <v>64010</v>
      </c>
      <c r="H82" s="43"/>
      <c r="I82" s="44">
        <f>F82-G82</f>
        <v>49968</v>
      </c>
      <c r="J82" s="44"/>
      <c r="K82" s="41"/>
      <c r="L82" s="41"/>
      <c r="M82" s="50">
        <f>G82</f>
        <v>64010</v>
      </c>
    </row>
    <row r="83" spans="1:13" s="14" customFormat="1" ht="15.75">
      <c r="A83" s="38"/>
      <c r="B83" s="49"/>
      <c r="C83" s="40"/>
      <c r="D83" s="41"/>
      <c r="E83" s="45" t="s">
        <v>92</v>
      </c>
      <c r="F83" s="46">
        <f>SUM(F82)</f>
        <v>113978</v>
      </c>
      <c r="G83" s="46">
        <f>SUM(G82)</f>
        <v>64010</v>
      </c>
      <c r="H83" s="46">
        <f>G83</f>
        <v>64010</v>
      </c>
      <c r="I83" s="43">
        <f>F83-H83</f>
        <v>49968</v>
      </c>
      <c r="J83" s="43">
        <f>I83</f>
        <v>49968</v>
      </c>
      <c r="K83" s="41"/>
      <c r="L83" s="41"/>
      <c r="M83" s="47"/>
    </row>
    <row r="84" spans="1:14" s="14" customFormat="1" ht="30.75">
      <c r="A84" s="38">
        <v>37</v>
      </c>
      <c r="B84" s="49" t="s">
        <v>82</v>
      </c>
      <c r="C84" s="40">
        <v>16247725</v>
      </c>
      <c r="D84" s="41" t="s">
        <v>83</v>
      </c>
      <c r="E84" s="39" t="s">
        <v>109</v>
      </c>
      <c r="F84" s="42">
        <v>23905</v>
      </c>
      <c r="G84" s="42">
        <f>ROUND(F84*56.16%,0)</f>
        <v>13425</v>
      </c>
      <c r="H84" s="43"/>
      <c r="I84" s="44">
        <f>F84-G84</f>
        <v>10480</v>
      </c>
      <c r="J84" s="44"/>
      <c r="K84" s="41"/>
      <c r="L84" s="41"/>
      <c r="M84" s="47"/>
      <c r="N84" s="53">
        <f>G84</f>
        <v>13425</v>
      </c>
    </row>
    <row r="85" spans="1:13" s="14" customFormat="1" ht="15.75">
      <c r="A85" s="38"/>
      <c r="B85" s="49"/>
      <c r="C85" s="40"/>
      <c r="D85" s="41"/>
      <c r="E85" s="45" t="s">
        <v>92</v>
      </c>
      <c r="F85" s="46">
        <f>SUM(F84)</f>
        <v>23905</v>
      </c>
      <c r="G85" s="46">
        <f>SUM(G84)</f>
        <v>13425</v>
      </c>
      <c r="H85" s="46">
        <f>G85</f>
        <v>13425</v>
      </c>
      <c r="I85" s="43">
        <f>F85-H85</f>
        <v>10480</v>
      </c>
      <c r="J85" s="43">
        <f>I85</f>
        <v>10480</v>
      </c>
      <c r="K85" s="41"/>
      <c r="L85" s="41"/>
      <c r="M85" s="47"/>
    </row>
    <row r="86" spans="1:14" s="14" customFormat="1" ht="30.75">
      <c r="A86" s="38">
        <v>38</v>
      </c>
      <c r="B86" s="49" t="s">
        <v>84</v>
      </c>
      <c r="C86" s="40">
        <v>29834217</v>
      </c>
      <c r="D86" s="41" t="s">
        <v>85</v>
      </c>
      <c r="E86" s="39" t="s">
        <v>112</v>
      </c>
      <c r="F86" s="42">
        <v>70418</v>
      </c>
      <c r="G86" s="42">
        <f>ROUND(F86*56.16%,0)</f>
        <v>39547</v>
      </c>
      <c r="H86" s="43"/>
      <c r="I86" s="44">
        <f>F86-G86</f>
        <v>30871</v>
      </c>
      <c r="J86" s="44"/>
      <c r="K86" s="41"/>
      <c r="L86" s="41"/>
      <c r="M86" s="47"/>
      <c r="N86" s="53">
        <f>G86</f>
        <v>39547</v>
      </c>
    </row>
    <row r="87" spans="1:13" s="14" customFormat="1" ht="15.75">
      <c r="A87" s="38"/>
      <c r="B87" s="49"/>
      <c r="C87" s="40"/>
      <c r="D87" s="41"/>
      <c r="E87" s="45" t="s">
        <v>92</v>
      </c>
      <c r="F87" s="46">
        <f>SUM(F86)</f>
        <v>70418</v>
      </c>
      <c r="G87" s="46">
        <f>SUM(G86)</f>
        <v>39547</v>
      </c>
      <c r="H87" s="46">
        <f>G87</f>
        <v>39547</v>
      </c>
      <c r="I87" s="43">
        <f>F87-H87</f>
        <v>30871</v>
      </c>
      <c r="J87" s="43">
        <f>I87</f>
        <v>30871</v>
      </c>
      <c r="K87" s="41"/>
      <c r="L87" s="41"/>
      <c r="M87" s="47"/>
    </row>
    <row r="88" spans="1:15" s="14" customFormat="1" ht="30.75">
      <c r="A88" s="38">
        <v>39</v>
      </c>
      <c r="B88" s="49" t="s">
        <v>87</v>
      </c>
      <c r="C88" s="40">
        <v>35421037</v>
      </c>
      <c r="D88" s="41" t="s">
        <v>88</v>
      </c>
      <c r="E88" s="39" t="s">
        <v>124</v>
      </c>
      <c r="F88" s="42">
        <v>5020.3</v>
      </c>
      <c r="G88" s="42">
        <f>ROUND(F88*56.16%,0)+244.88</f>
        <v>3063.88</v>
      </c>
      <c r="H88" s="43"/>
      <c r="I88" s="44">
        <f>F88-G88</f>
        <v>1956.42</v>
      </c>
      <c r="J88" s="44"/>
      <c r="K88" s="41"/>
      <c r="L88" s="41"/>
      <c r="M88" s="47"/>
      <c r="O88" s="53">
        <f>G88</f>
        <v>3063.88</v>
      </c>
    </row>
    <row r="89" spans="1:13" s="14" customFormat="1" ht="15.75">
      <c r="A89" s="38"/>
      <c r="B89" s="49"/>
      <c r="C89" s="40"/>
      <c r="D89" s="41"/>
      <c r="E89" s="45" t="s">
        <v>92</v>
      </c>
      <c r="F89" s="46">
        <f>SUM(F88)</f>
        <v>5020.3</v>
      </c>
      <c r="G89" s="46">
        <f>SUM(G88)</f>
        <v>3063.88</v>
      </c>
      <c r="H89" s="46">
        <f>G89</f>
        <v>3063.88</v>
      </c>
      <c r="I89" s="43">
        <f>F89-H89</f>
        <v>1956.42</v>
      </c>
      <c r="J89" s="43">
        <f>I89</f>
        <v>1956.42</v>
      </c>
      <c r="K89" s="41"/>
      <c r="L89" s="41"/>
      <c r="M89" s="47"/>
    </row>
    <row r="90" spans="1:15" s="14" customFormat="1" ht="15.75">
      <c r="A90" s="38"/>
      <c r="B90" s="49"/>
      <c r="C90" s="40"/>
      <c r="D90" s="41"/>
      <c r="E90" s="55" t="s">
        <v>92</v>
      </c>
      <c r="F90" s="46">
        <f>F89+F87+F85+F83+F81+F79+F77+F75+F73+F71+F69+F67+F65+F63+F61+F59+F57+F55+F51+F49+F47+F45+F43+F41+F39+F37+F35+F33+F31+F29+F27+F25+F23+F21+F19+F17+F15+F13+F53</f>
        <v>3337712.5700000003</v>
      </c>
      <c r="G90" s="46">
        <f>G89+G87+G85+G83+G81+G79+G77+G75+G73+G71+G69+G67+G65+G63+G61+G59+G57+G55+G51+G49+G47+G45+G43+G41+G39+G37+G35+G33+G31+G29+G27+G25+G23+G21+G19+G17+G15+G13+G53</f>
        <v>1399275.46</v>
      </c>
      <c r="H90" s="46">
        <f>H89+H87+H85+H83+H81+H79+H77+H75+H73+H71+H69+H67+H65+H63+H61+H59+H57+H55+H51+H49+H47+H45+H43+H41+H39+H37+H35+H33+H31+H29+H27+H25+H23+H21+H19+H17+H15+H13+H53</f>
        <v>1399275.46</v>
      </c>
      <c r="I90" s="46">
        <f>I89+I87+I85+I83+I81+I79+I77+I75+I73+I71+I69+I67+I65+I63+I61+I59+I57+I55+I51+I49+I47+I45+I43+I41+I39+I37+I35+I33+I31+I29+I27+I25+I23+I21+I19+I17+I15+I13+I53</f>
        <v>1938437.1099999996</v>
      </c>
      <c r="J90" s="46">
        <f>J89+J87+J85+J83+J81+J79+J77+J75+J73+J71+J69+J67+J65+J63+J61+J59+J57+J55+J51+J49+J47+J45+J43+J41+J39+J37+J35+J33+J31+J29+J27+J25+J23+J21+J19+J17+J15+J13+J53</f>
        <v>1938437.1099999996</v>
      </c>
      <c r="K90" s="41"/>
      <c r="L90" s="41"/>
      <c r="M90" s="50">
        <f>SUM(M12:M89)</f>
        <v>606402.19</v>
      </c>
      <c r="N90" s="50">
        <f>SUM(N12:N89)</f>
        <v>764185.89</v>
      </c>
      <c r="O90" s="50">
        <f>SUM(O12:O89)</f>
        <v>6066826.38</v>
      </c>
    </row>
    <row r="92" spans="2:9" ht="25.5">
      <c r="B92" s="6" t="s">
        <v>74</v>
      </c>
      <c r="D92" s="7" t="s">
        <v>75</v>
      </c>
      <c r="E92" s="8" t="s">
        <v>78</v>
      </c>
      <c r="I92" s="54">
        <v>1938437.11</v>
      </c>
    </row>
    <row r="93" spans="2:5" ht="12.75">
      <c r="B93" s="10" t="s">
        <v>76</v>
      </c>
      <c r="D93" s="11" t="s">
        <v>77</v>
      </c>
      <c r="E93" s="8" t="s">
        <v>86</v>
      </c>
    </row>
    <row r="94" spans="6:7" ht="12.75">
      <c r="F94" s="9">
        <f>4844407.26</f>
        <v>4844407.26</v>
      </c>
      <c r="G94" s="9" t="e">
        <f>2602588.46-#REF!</f>
        <v>#REF!</v>
      </c>
    </row>
    <row r="95" ht="12.75">
      <c r="F95" s="9">
        <v>61554.28</v>
      </c>
    </row>
    <row r="96" ht="12.75">
      <c r="F96" s="9">
        <f>83872.2</f>
        <v>83872.2</v>
      </c>
    </row>
    <row r="97" ht="12.75">
      <c r="F97" s="9">
        <v>34983.38</v>
      </c>
    </row>
    <row r="98" ht="12.75">
      <c r="F98" s="9">
        <v>2180264.52</v>
      </c>
    </row>
    <row r="99" ht="12.75">
      <c r="F99" s="9">
        <f>F94-F95-F96-F97-F98</f>
        <v>2483732.8799999994</v>
      </c>
    </row>
    <row r="100" ht="12.75">
      <c r="F100" s="9">
        <f>F99*100/F90</f>
        <v>74.41422315163582</v>
      </c>
    </row>
  </sheetData>
  <sheetProtection/>
  <autoFilter ref="A10:O90"/>
  <mergeCells count="1">
    <mergeCell ref="B6:E6"/>
  </mergeCells>
  <printOptions/>
  <pageMargins left="0.24" right="0.28" top="0.43" bottom="0.35" header="0.28" footer="0.2"/>
  <pageSetup fitToHeight="0" fitToWidth="1" horizontalDpi="600" verticalDpi="600" orientation="landscape" paperSize="9" scale="65" r:id="rId1"/>
  <headerFooter>
    <oddFooter>&amp;CPage &amp;P</oddFooter>
  </headerFooter>
  <rowBreaks count="2" manualBreakCount="2">
    <brk id="29" max="10" man="1"/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Cosma</dc:creator>
  <cp:keywords/>
  <dc:description/>
  <cp:lastModifiedBy>Vlad Cosma</cp:lastModifiedBy>
  <cp:lastPrinted>2023-12-14T13:13:40Z</cp:lastPrinted>
  <dcterms:created xsi:type="dcterms:W3CDTF">2022-02-18T06:41:25Z</dcterms:created>
  <dcterms:modified xsi:type="dcterms:W3CDTF">2023-12-14T13:15:58Z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