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821" windowWidth="15015" windowHeight="10170" tabRatio="526" activeTab="2"/>
  </bookViews>
  <sheets>
    <sheet name="Furnizor" sheetId="1" r:id="rId1"/>
    <sheet name="Resurse Umane" sheetId="2" r:id="rId2"/>
    <sheet name="Resuse Tehnice" sheetId="3" r:id="rId3"/>
    <sheet name="Calitate" sheetId="4" r:id="rId4"/>
    <sheet name="Logistica" sheetId="5" r:id="rId5"/>
    <sheet name="Anexa 49A" sheetId="6" r:id="rId6"/>
    <sheet name="Anexa 49B" sheetId="7" r:id="rId7"/>
    <sheet name="Anexa45" sheetId="8" r:id="rId8"/>
    <sheet name="Autoevaluare laborator" sheetId="9" r:id="rId9"/>
  </sheets>
  <definedNames>
    <definedName name="_xlnm._FilterDatabase" localSheetId="1" hidden="1">'Resurse Umane'!$C$6:$E$46</definedName>
    <definedName name="_xlfn_IFERROR">NA()</definedName>
    <definedName name="Asistent">#REF!</definedName>
    <definedName name="Biochimist_medical">#REF!</definedName>
    <definedName name="Biolog_medical">#REF!</definedName>
    <definedName name="_xlnm.Print_Area" localSheetId="5">'Anexa 49A'!$A$1:$X$51</definedName>
    <definedName name="_xlnm.Print_Area" localSheetId="6">'Anexa 49B'!$A$1:$S$58</definedName>
    <definedName name="_xlnm.Print_Area" localSheetId="7">'Anexa45'!$A$2:$L$46</definedName>
    <definedName name="_xlnm.Print_Area" localSheetId="8">'Autoevaluare laborator'!$A$1:$I$17</definedName>
    <definedName name="_xlnm.Print_Area" localSheetId="3">'Calitate'!$A$1:$I$137</definedName>
    <definedName name="_xlnm.Print_Area" localSheetId="0">'Furnizor'!$A$1:$D$50</definedName>
    <definedName name="_xlnm.Print_Area" localSheetId="4">'Logistica'!$A$1:$F$19</definedName>
    <definedName name="_xlnm.Print_Area" localSheetId="1">'Resurse Umane'!$A$1:$J$53</definedName>
    <definedName name="_xlnm.Print_Area" localSheetId="2">'Resuse Tehnice'!$A$1:$N$61</definedName>
    <definedName name="_xlnm.Print_Titles" localSheetId="5">'Anexa 49A'!$2:$11</definedName>
    <definedName name="_xlnm.Print_Titles" localSheetId="6">'Anexa 49B'!$1:$6</definedName>
    <definedName name="_xlnm.Print_Titles" localSheetId="3">'Calitate'!$2:$6</definedName>
    <definedName name="_xlnm.Print_Titles" localSheetId="1">'Resurse Umane'!$2:$6</definedName>
    <definedName name="_xlnm.Print_Titles" localSheetId="2">'Resuse Tehnice'!$1:$6</definedName>
  </definedNames>
  <calcPr fullCalcOnLoad="1"/>
</workbook>
</file>

<file path=xl/comments1.xml><?xml version="1.0" encoding="utf-8"?>
<comments xmlns="http://schemas.openxmlformats.org/spreadsheetml/2006/main">
  <authors>
    <author>WSCT2013</author>
    <author> </author>
  </authors>
  <commentList>
    <comment ref="B24" authorId="0">
      <text>
        <r>
          <rPr>
            <b/>
            <sz val="9"/>
            <rFont val="Tahoma"/>
            <family val="2"/>
          </rPr>
          <t>WSCT2013:</t>
        </r>
        <r>
          <rPr>
            <sz val="9"/>
            <rFont val="Tahoma"/>
            <family val="2"/>
          </rPr>
          <t xml:space="preserve">
E-mail reprezentant legal</t>
        </r>
      </text>
    </comment>
    <comment ref="C24" authorId="0">
      <text>
        <r>
          <rPr>
            <b/>
            <sz val="9"/>
            <rFont val="Tahoma"/>
            <family val="2"/>
          </rPr>
          <t>WSCT2013:</t>
        </r>
        <r>
          <rPr>
            <sz val="9"/>
            <rFont val="Tahoma"/>
            <family val="2"/>
          </rPr>
          <t xml:space="preserve">
E-mail reprezentant legal</t>
        </r>
      </text>
    </comment>
    <comment ref="A43" authorId="1">
      <text>
        <r>
          <rPr>
            <b/>
            <sz val="9"/>
            <color indexed="8"/>
            <rFont val="Tahoma"/>
            <family val="2"/>
          </rPr>
          <t xml:space="preserve">WSCT2013:
</t>
        </r>
        <r>
          <rPr>
            <sz val="9"/>
            <color indexed="8"/>
            <rFont val="Tahoma"/>
            <family val="2"/>
          </rPr>
          <t>Laboratoarele completeaza date certificat RENAR</t>
        </r>
      </text>
    </comment>
  </commentList>
</comments>
</file>

<file path=xl/comments2.xml><?xml version="1.0" encoding="utf-8"?>
<comments xmlns="http://schemas.openxmlformats.org/spreadsheetml/2006/main">
  <authors>
    <author>WSCT2013</author>
  </authors>
  <commentList>
    <comment ref="D6" authorId="0">
      <text>
        <r>
          <rPr>
            <b/>
            <sz val="9"/>
            <rFont val="Tahoma"/>
            <family val="2"/>
          </rPr>
          <t>MG: din filtrul pe cnp restrangeti sau extindeti lista de personal prin bifare sau debifare "Blanks"</t>
        </r>
      </text>
    </comment>
  </commentList>
</comments>
</file>

<file path=xl/comments3.xml><?xml version="1.0" encoding="utf-8"?>
<comments xmlns="http://schemas.openxmlformats.org/spreadsheetml/2006/main">
  <authors>
    <author>WSCT2013</author>
  </authors>
  <commentList>
    <comment ref="D20" authorId="0">
      <text>
        <r>
          <rPr>
            <b/>
            <sz val="9"/>
            <rFont val="Tahoma"/>
            <family val="2"/>
          </rPr>
          <t xml:space="preserve">MG:Selectati Da/Nu daca se efectueaza </t>
        </r>
        <r>
          <rPr>
            <sz val="9"/>
            <rFont val="Tahoma"/>
            <family val="2"/>
          </rPr>
          <t xml:space="preserve">
</t>
        </r>
      </text>
    </comment>
    <comment ref="D21" authorId="0">
      <text>
        <r>
          <rPr>
            <b/>
            <sz val="9"/>
            <rFont val="Tahoma"/>
            <family val="2"/>
          </rPr>
          <t xml:space="preserve">MG:Selectati Da/Nu daca se efectueaza </t>
        </r>
      </text>
    </comment>
    <comment ref="D22" authorId="0">
      <text>
        <r>
          <rPr>
            <b/>
            <sz val="9"/>
            <rFont val="Tahoma"/>
            <family val="2"/>
          </rPr>
          <t xml:space="preserve">MG:Selectati Da/Nu daca se efectueaza </t>
        </r>
        <r>
          <rPr>
            <sz val="9"/>
            <rFont val="Tahoma"/>
            <family val="2"/>
          </rPr>
          <t xml:space="preserve">
</t>
        </r>
      </text>
    </comment>
    <comment ref="D23" authorId="0">
      <text>
        <r>
          <rPr>
            <b/>
            <sz val="9"/>
            <rFont val="Tahoma"/>
            <family val="2"/>
          </rPr>
          <t xml:space="preserve">MG:Selectati Da/Nu daca se efectueaza 
</t>
        </r>
      </text>
    </comment>
    <comment ref="D28" authorId="0">
      <text>
        <r>
          <rPr>
            <b/>
            <sz val="9"/>
            <rFont val="Tahoma"/>
            <family val="2"/>
          </rPr>
          <t xml:space="preserve">MG:Selectati Da/Nu daca se efectueaza </t>
        </r>
      </text>
    </comment>
    <comment ref="D13" authorId="0">
      <text>
        <r>
          <rPr>
            <b/>
            <sz val="9"/>
            <rFont val="Tahoma"/>
            <family val="2"/>
          </rPr>
          <t xml:space="preserve">MG:Pentru metoda manuala - Selectati Da/Nu 
</t>
        </r>
      </text>
    </comment>
    <comment ref="D41" authorId="0">
      <text>
        <r>
          <rPr>
            <b/>
            <sz val="9"/>
            <rFont val="Tahoma"/>
            <family val="2"/>
          </rPr>
          <t xml:space="preserve">MG:Selectati Da/Nu daca se efectueaza 
</t>
        </r>
      </text>
    </comment>
    <comment ref="E7" authorId="0">
      <text>
        <r>
          <rPr>
            <b/>
            <sz val="9"/>
            <rFont val="Tahoma"/>
            <family val="2"/>
          </rPr>
          <t>MG: selectati Da/Nu in functie de caracteristicile aparatului, conform fisa tehnica</t>
        </r>
        <r>
          <rPr>
            <sz val="9"/>
            <rFont val="Tahoma"/>
            <family val="2"/>
          </rPr>
          <t xml:space="preserve">
</t>
        </r>
      </text>
    </comment>
    <comment ref="F30" authorId="0">
      <text>
        <r>
          <rPr>
            <b/>
            <sz val="9"/>
            <rFont val="Tahoma"/>
            <family val="2"/>
          </rPr>
          <t xml:space="preserve">MG: selectati Da/Nu in functie de caracteristicile aparatului, conform fisa tehnica
</t>
        </r>
        <r>
          <rPr>
            <sz val="9"/>
            <rFont val="Tahoma"/>
            <family val="2"/>
          </rPr>
          <t xml:space="preserve">
</t>
        </r>
      </text>
    </comment>
    <comment ref="G30" authorId="0">
      <text>
        <r>
          <rPr>
            <b/>
            <sz val="9"/>
            <rFont val="Tahoma"/>
            <family val="2"/>
          </rPr>
          <t xml:space="preserve">MG: selectati Da/Nu in functie de caracteristicile aparatului, conform fisa tehnica
</t>
        </r>
        <r>
          <rPr>
            <sz val="9"/>
            <rFont val="Tahoma"/>
            <family val="2"/>
          </rPr>
          <t xml:space="preserve">
</t>
        </r>
      </text>
    </comment>
    <comment ref="D48" authorId="0">
      <text>
        <r>
          <rPr>
            <b/>
            <sz val="9"/>
            <rFont val="Tahoma"/>
            <family val="2"/>
          </rPr>
          <t xml:space="preserve">MG: selectati in functie de metoda de lucru, conform fisa tehnica
</t>
        </r>
        <r>
          <rPr>
            <sz val="9"/>
            <rFont val="Tahoma"/>
            <family val="2"/>
          </rPr>
          <t xml:space="preserve">
</t>
        </r>
      </text>
    </comment>
    <comment ref="B48" authorId="0">
      <text>
        <r>
          <rPr>
            <b/>
            <sz val="9"/>
            <rFont val="Tahoma"/>
            <family val="2"/>
          </rPr>
          <t xml:space="preserve">MG: selectati in functie de caracteristicile aparatului, conform fisa tehnica
</t>
        </r>
        <r>
          <rPr>
            <sz val="9"/>
            <rFont val="Tahoma"/>
            <family val="2"/>
          </rPr>
          <t xml:space="preserve">
</t>
        </r>
      </text>
    </comment>
    <comment ref="E48" authorId="0">
      <text>
        <r>
          <rPr>
            <b/>
            <sz val="9"/>
            <rFont val="Tahoma"/>
            <family val="2"/>
          </rPr>
          <t xml:space="preserve">MG: selectati daca aparatul dispune de a 2-a metoda de lucru, diferita de prima, conform fisa tehnica
</t>
        </r>
      </text>
    </comment>
  </commentList>
</comments>
</file>

<file path=xl/comments5.xml><?xml version="1.0" encoding="utf-8"?>
<comments xmlns="http://schemas.openxmlformats.org/spreadsheetml/2006/main">
  <authors>
    <author>Mar</author>
  </authors>
  <commentList>
    <comment ref="E13" authorId="0">
      <text>
        <r>
          <rPr>
            <b/>
            <sz val="9"/>
            <rFont val="Tahoma"/>
            <family val="2"/>
          </rPr>
          <t>MG: se completeaza de furnizor pentru puncte externe de recolta care indeplinesc cerintele mentionate</t>
        </r>
      </text>
    </comment>
  </commentList>
</comments>
</file>

<file path=xl/comments6.xml><?xml version="1.0" encoding="utf-8"?>
<comments xmlns="http://schemas.openxmlformats.org/spreadsheetml/2006/main">
  <authors>
    <author>Author</author>
    <author>Mar</author>
  </authors>
  <commentList>
    <comment ref="T9" authorId="0">
      <text>
        <r>
          <rPr>
            <sz val="9"/>
            <rFont val="Tahoma"/>
            <family val="2"/>
          </rPr>
          <t xml:space="preserve">MG ziua saptamanii se selecteaza cand faceti click in celula
</t>
        </r>
      </text>
    </comment>
    <comment ref="K9" authorId="1">
      <text>
        <r>
          <rPr>
            <b/>
            <sz val="9"/>
            <rFont val="Tahoma"/>
            <family val="2"/>
          </rPr>
          <t>MG se selecteaza cand faceti click in celula</t>
        </r>
        <r>
          <rPr>
            <sz val="9"/>
            <rFont val="Tahoma"/>
            <family val="2"/>
          </rPr>
          <t xml:space="preserve">
</t>
        </r>
      </text>
    </comment>
    <comment ref="H5" authorId="1">
      <text>
        <r>
          <rPr>
            <b/>
            <sz val="9"/>
            <rFont val="Tahoma"/>
            <family val="2"/>
          </rPr>
          <t>MG  se selecteaza cand faceti click in celula</t>
        </r>
        <r>
          <rPr>
            <sz val="9"/>
            <rFont val="Tahoma"/>
            <family val="2"/>
          </rPr>
          <t xml:space="preserve">
</t>
        </r>
      </text>
    </comment>
  </commentList>
</comments>
</file>

<file path=xl/comments7.xml><?xml version="1.0" encoding="utf-8"?>
<comments xmlns="http://schemas.openxmlformats.org/spreadsheetml/2006/main">
  <authors>
    <author>Author</author>
  </authors>
  <commentList>
    <comment ref="O6" authorId="0">
      <text>
        <r>
          <rPr>
            <b/>
            <sz val="9"/>
            <rFont val="Tahoma"/>
            <family val="2"/>
          </rPr>
          <t>MG ziua saptamanii se selecteaza cand faceti click in celula</t>
        </r>
        <r>
          <rPr>
            <sz val="9"/>
            <rFont val="Tahoma"/>
            <family val="2"/>
          </rPr>
          <t xml:space="preserve">
</t>
        </r>
      </text>
    </comment>
  </commentList>
</comments>
</file>

<file path=xl/sharedStrings.xml><?xml version="1.0" encoding="utf-8"?>
<sst xmlns="http://schemas.openxmlformats.org/spreadsheetml/2006/main" count="1094" uniqueCount="576">
  <si>
    <t>Contract</t>
  </si>
  <si>
    <t>Reprezentant legal</t>
  </si>
  <si>
    <t>Telefon</t>
  </si>
  <si>
    <t>Email</t>
  </si>
  <si>
    <t>Decizie Evaluare</t>
  </si>
  <si>
    <t>Dovada asig.de raspundere civila</t>
  </si>
  <si>
    <t>Data expirarii</t>
  </si>
  <si>
    <t>End</t>
  </si>
  <si>
    <t>Nume si prenume</t>
  </si>
  <si>
    <t>CNP</t>
  </si>
  <si>
    <t>Cod parafa</t>
  </si>
  <si>
    <t>Grad profesional</t>
  </si>
  <si>
    <t>Certificat</t>
  </si>
  <si>
    <t xml:space="preserve">    Data întocmirii: </t>
  </si>
  <si>
    <t>Furnizor de servicii medicale paraclinice:</t>
  </si>
  <si>
    <t>Punct de lucru</t>
  </si>
  <si>
    <t>Contract CAS</t>
  </si>
  <si>
    <t>Nr.crt</t>
  </si>
  <si>
    <t>Specialitate</t>
  </si>
  <si>
    <t>Nr.ore/zi</t>
  </si>
  <si>
    <t>Superioare</t>
  </si>
  <si>
    <t>Furnizor de servicii medicale paraclinice</t>
  </si>
  <si>
    <t>Investigatii acreditate in conformitate cu certificatul SR EN ISO 15189 nr.</t>
  </si>
  <si>
    <t>Nr. Crt.</t>
  </si>
  <si>
    <t>Cod</t>
  </si>
  <si>
    <t>Denumirea analizei de laborator</t>
  </si>
  <si>
    <t>Acreditare SR EN ISO 15189</t>
  </si>
  <si>
    <t>Puncte SR EN ISO 15189</t>
  </si>
  <si>
    <t xml:space="preserve">Hematologie                                                         </t>
  </si>
  <si>
    <t>2.6001</t>
  </si>
  <si>
    <t>Hemoleucogramă completă - hemoglobină, hematocrit, numărătoare eritrocite, numărătoare leucocite, numărătoare trombocite, formulă leucocitară, indici eritrocitari</t>
  </si>
  <si>
    <t>Da</t>
  </si>
  <si>
    <t>2.6002</t>
  </si>
  <si>
    <t xml:space="preserve">Numărătoare reticulocite  </t>
  </si>
  <si>
    <t>2.6003</t>
  </si>
  <si>
    <t xml:space="preserve">Examen citologic al frotiului sanguin </t>
  </si>
  <si>
    <t>2.6040</t>
  </si>
  <si>
    <t>VSH</t>
  </si>
  <si>
    <t>2.60501</t>
  </si>
  <si>
    <t xml:space="preserve">Determinare la gravidă a grupului sanguin ABO  </t>
  </si>
  <si>
    <t>2.60502</t>
  </si>
  <si>
    <t xml:space="preserve">Determinare la gravidă a grupului sanguin Rh </t>
  </si>
  <si>
    <t>2.6059</t>
  </si>
  <si>
    <t xml:space="preserve">Anticorpi specifici anti Rh la gravidă    </t>
  </si>
  <si>
    <t>Nu</t>
  </si>
  <si>
    <t>2.6101</t>
  </si>
  <si>
    <t>Timp Quick și INR (International Normalised Ratio)</t>
  </si>
  <si>
    <t>2.6102</t>
  </si>
  <si>
    <t>APTT</t>
  </si>
  <si>
    <t>2.6103</t>
  </si>
  <si>
    <t xml:space="preserve">Fibrinogenemie  </t>
  </si>
  <si>
    <t>Total Hematologie</t>
  </si>
  <si>
    <t>X</t>
  </si>
  <si>
    <t xml:space="preserve">Biochimie - serică și urinară           </t>
  </si>
  <si>
    <t>2.1002</t>
  </si>
  <si>
    <t xml:space="preserve">Proteine totale serice </t>
  </si>
  <si>
    <t>2.1003</t>
  </si>
  <si>
    <t xml:space="preserve">Electroforeza proteinelor serice  </t>
  </si>
  <si>
    <t>2.10063</t>
  </si>
  <si>
    <t>Feritină serică</t>
  </si>
  <si>
    <t>2.1011</t>
  </si>
  <si>
    <t xml:space="preserve">Uree serică </t>
  </si>
  <si>
    <t>2.1012</t>
  </si>
  <si>
    <t xml:space="preserve">Acid uric seric  </t>
  </si>
  <si>
    <t>2.1014</t>
  </si>
  <si>
    <t xml:space="preserve">Creatinină serică </t>
  </si>
  <si>
    <t>2.1015</t>
  </si>
  <si>
    <t xml:space="preserve">Bilirubină totală  </t>
  </si>
  <si>
    <t>2.1016</t>
  </si>
  <si>
    <t xml:space="preserve">Bilirubină directă </t>
  </si>
  <si>
    <t>2.1020</t>
  </si>
  <si>
    <t xml:space="preserve">Glicemie  </t>
  </si>
  <si>
    <t>2.10303</t>
  </si>
  <si>
    <t xml:space="preserve">Colesterol seric total  </t>
  </si>
  <si>
    <t>2.10304</t>
  </si>
  <si>
    <t>HDL colesterol</t>
  </si>
  <si>
    <t>2.10305</t>
  </si>
  <si>
    <t xml:space="preserve">LDL colesterol  </t>
  </si>
  <si>
    <t>2.10306</t>
  </si>
  <si>
    <t xml:space="preserve">Trigliceride serice </t>
  </si>
  <si>
    <t>2.10402</t>
  </si>
  <si>
    <t xml:space="preserve">TGP </t>
  </si>
  <si>
    <t>2.10403</t>
  </si>
  <si>
    <t xml:space="preserve">TGO  </t>
  </si>
  <si>
    <t>2.10404</t>
  </si>
  <si>
    <t>Creatinkinaza CK</t>
  </si>
  <si>
    <t>2.10406</t>
  </si>
  <si>
    <t xml:space="preserve">Gama GT                                                  </t>
  </si>
  <si>
    <t>2.10409</t>
  </si>
  <si>
    <t xml:space="preserve">Fosfatază alcalină  </t>
  </si>
  <si>
    <t>2.10500</t>
  </si>
  <si>
    <t xml:space="preserve">Sodiu seric  </t>
  </si>
  <si>
    <t>2.10501</t>
  </si>
  <si>
    <t xml:space="preserve">Potasiu seric </t>
  </si>
  <si>
    <t>2.10503</t>
  </si>
  <si>
    <t xml:space="preserve">Calciu seric total  </t>
  </si>
  <si>
    <t>2.10504</t>
  </si>
  <si>
    <t xml:space="preserve">Calciu ionic seric  </t>
  </si>
  <si>
    <t>2.10505</t>
  </si>
  <si>
    <t xml:space="preserve">Magneziemie  </t>
  </si>
  <si>
    <t>2.10506</t>
  </si>
  <si>
    <t xml:space="preserve">Sideremie </t>
  </si>
  <si>
    <t>2.10507</t>
  </si>
  <si>
    <t>Fosfor  (fosfat seric)</t>
  </si>
  <si>
    <t>2.2600</t>
  </si>
  <si>
    <t xml:space="preserve">Examen complet de urină (sumar + sediment) </t>
  </si>
  <si>
    <t>2.2604</t>
  </si>
  <si>
    <t xml:space="preserve">Dozare proteine urinare  </t>
  </si>
  <si>
    <t>2.2612</t>
  </si>
  <si>
    <t xml:space="preserve">Microalbuminuria (albumină urinară) </t>
  </si>
  <si>
    <t>2.2622</t>
  </si>
  <si>
    <t>Dozare glucoză urinară</t>
  </si>
  <si>
    <t>2.2623</t>
  </si>
  <si>
    <t xml:space="preserve">Creatinină urinară </t>
  </si>
  <si>
    <t>Total Biochimie serica si urinara</t>
  </si>
  <si>
    <t xml:space="preserve">Imunologie                                                          </t>
  </si>
  <si>
    <t>2.2500</t>
  </si>
  <si>
    <t xml:space="preserve">TSH </t>
  </si>
  <si>
    <t>2.2502</t>
  </si>
  <si>
    <t>FT4</t>
  </si>
  <si>
    <t>2.2507</t>
  </si>
  <si>
    <t>Parathormonul seric (PTH)</t>
  </si>
  <si>
    <t>2.2509</t>
  </si>
  <si>
    <t xml:space="preserve">Hormonul foliculinostimulant FSH                                                     </t>
  </si>
  <si>
    <t>2.2510</t>
  </si>
  <si>
    <t xml:space="preserve">Hormonul luteinizant (LH)                                                </t>
  </si>
  <si>
    <t>2.2514</t>
  </si>
  <si>
    <t xml:space="preserve">Cortizol                                                </t>
  </si>
  <si>
    <t>2.2521</t>
  </si>
  <si>
    <t>Testosteron</t>
  </si>
  <si>
    <t>2.2522</t>
  </si>
  <si>
    <t xml:space="preserve">Estradiol                                               </t>
  </si>
  <si>
    <t>2.2523</t>
  </si>
  <si>
    <t xml:space="preserve">Progesteron                                             </t>
  </si>
  <si>
    <t>2.2525</t>
  </si>
  <si>
    <t xml:space="preserve">Prolactină                                              </t>
  </si>
  <si>
    <t xml:space="preserve">Anti-HAV IgM </t>
  </si>
  <si>
    <t>2.327092</t>
  </si>
  <si>
    <t>Ag HBs (screening)</t>
  </si>
  <si>
    <t>2.327093</t>
  </si>
  <si>
    <t>2.32710</t>
  </si>
  <si>
    <t xml:space="preserve">Testare HIV la gravidă </t>
  </si>
  <si>
    <t>2.40000</t>
  </si>
  <si>
    <t xml:space="preserve">ASLO  </t>
  </si>
  <si>
    <t>2.40010</t>
  </si>
  <si>
    <t xml:space="preserve">VDRL  sau RPR   </t>
  </si>
  <si>
    <t>2.40013</t>
  </si>
  <si>
    <t xml:space="preserve">Confirmare TPHA </t>
  </si>
  <si>
    <t>2.40203</t>
  </si>
  <si>
    <t>2.430011</t>
  </si>
  <si>
    <t xml:space="preserve">Complement seric C3                                     </t>
  </si>
  <si>
    <t>2.430012</t>
  </si>
  <si>
    <t xml:space="preserve">Complement seric C4                                     </t>
  </si>
  <si>
    <t>2.43010</t>
  </si>
  <si>
    <t xml:space="preserve">IgG seric                                               </t>
  </si>
  <si>
    <t>2.43011</t>
  </si>
  <si>
    <t xml:space="preserve">IgA, seric                                              </t>
  </si>
  <si>
    <t>2.43012</t>
  </si>
  <si>
    <t xml:space="preserve">IgM seric                                               </t>
  </si>
  <si>
    <t>2.43014</t>
  </si>
  <si>
    <t xml:space="preserve">IgE seric                                               </t>
  </si>
  <si>
    <t>2.40053</t>
  </si>
  <si>
    <t xml:space="preserve">Proteina C reactivă </t>
  </si>
  <si>
    <t>2.43040</t>
  </si>
  <si>
    <t xml:space="preserve">Factor rheumatoid                                        </t>
  </si>
  <si>
    <t>2.43044</t>
  </si>
  <si>
    <t>ATPO</t>
  </si>
  <si>
    <t>2.43135</t>
  </si>
  <si>
    <t xml:space="preserve">PSA                                                    </t>
  </si>
  <si>
    <t>2.43136</t>
  </si>
  <si>
    <t xml:space="preserve">free PSA </t>
  </si>
  <si>
    <t>Total Imunologie</t>
  </si>
  <si>
    <t xml:space="preserve"> Microbiologie</t>
  </si>
  <si>
    <t>2.3025</t>
  </si>
  <si>
    <t>2.50102</t>
  </si>
  <si>
    <t>2.3100</t>
  </si>
  <si>
    <t>2.3062</t>
  </si>
  <si>
    <t>2.5100</t>
  </si>
  <si>
    <t>2.2701</t>
  </si>
  <si>
    <t>2.3074</t>
  </si>
  <si>
    <t>2.50114</t>
  </si>
  <si>
    <t>2.3080</t>
  </si>
  <si>
    <t>2.3050</t>
  </si>
  <si>
    <t>2.3022</t>
  </si>
  <si>
    <t>2.3040</t>
  </si>
  <si>
    <t>2.5032</t>
  </si>
  <si>
    <t>2.313</t>
  </si>
  <si>
    <t>Antibiograma</t>
  </si>
  <si>
    <t>2.502</t>
  </si>
  <si>
    <t xml:space="preserve">Antifungigrama </t>
  </si>
  <si>
    <t>Total Microbiologie</t>
  </si>
  <si>
    <t xml:space="preserve">Examinări histopatologice și citologice </t>
  </si>
  <si>
    <t>2.9030</t>
  </si>
  <si>
    <t>Teste imunohistochimice *)</t>
  </si>
  <si>
    <t>2.9022</t>
  </si>
  <si>
    <t xml:space="preserve">Citodiagnostic sputa prin incluzii la parafina (1-3 blocuri)          </t>
  </si>
  <si>
    <t>2.9160</t>
  </si>
  <si>
    <t xml:space="preserve">Examen citologic cervico-vaginal Babes-Papanicolau            </t>
  </si>
  <si>
    <t>2.9025</t>
  </si>
  <si>
    <t xml:space="preserve">Citodiagnostic lichid de puncție                        </t>
  </si>
  <si>
    <t xml:space="preserve">Total Examinări histopatologice și citologice </t>
  </si>
  <si>
    <t>Domeniul</t>
  </si>
  <si>
    <t>Total Puncte acreditare ISO 15189</t>
  </si>
  <si>
    <t>Hematologie</t>
  </si>
  <si>
    <t>Biochimie serica si urinara</t>
  </si>
  <si>
    <t>Imunologie</t>
  </si>
  <si>
    <t>Microbiologie</t>
  </si>
  <si>
    <t>Histopatologie si Citologie</t>
  </si>
  <si>
    <t>Total</t>
  </si>
  <si>
    <t xml:space="preserve">    Reprezentant legal:</t>
  </si>
  <si>
    <t>Numar minim de investigatii acreditate si de participare la scheme intercomparare este de 43</t>
  </si>
  <si>
    <t xml:space="preserve">Contract </t>
  </si>
  <si>
    <t>Medicina de laborator</t>
  </si>
  <si>
    <t>Specialist</t>
  </si>
  <si>
    <t>*TRACE – Emisie amplificată de europium</t>
  </si>
  <si>
    <t>CMIA  -  Chemiluminescent microparticle immunoassay( Test Imunologic de Chemiluminiscenta pe baza de Microparticule)</t>
  </si>
  <si>
    <t>*ELFA cu detectie in fluorescenta -- Test imunoenzimatic cu emisie de fluorescenta</t>
  </si>
  <si>
    <t>*REA  -  Radiative Energy Attenuation (Atenuare de Energie Radiata)</t>
  </si>
  <si>
    <t>*IFA  -  Immunofluorescence (Test Imunologic pe baza de Imunofluorescenta)</t>
  </si>
  <si>
    <t>*FPIA  -  Fluorescence Polarization Immunoassay (Metoda Imunologica prin Fluorescenta de Polarizare)</t>
  </si>
  <si>
    <t>*RIA  -  Radioimmunoassay (Metoda Imunologiga pe baza de Radioizotopi)</t>
  </si>
  <si>
    <t>*MEIA, EIA  -  Microparticle Enzyme Immunoassay (Metoda Imunologiga Enzimatica; Metoda Imunologiga Enzimatica pe baza de Microparticule)</t>
  </si>
  <si>
    <t xml:space="preserve">*RAST  -  Radioallergosorbent (Test  Radioimunologic prin legarea complexului pe suport insolubil)  </t>
  </si>
  <si>
    <t>*ECLIA - Electrochemiluminescenţă (Test Imunologic pe baza de Electrochemiluminiscenta)</t>
  </si>
  <si>
    <t>*EMIT  -  Enzyme Multiplied Immunoassay Technique  (Metoda Imunologiga Enzimatica Dubla)</t>
  </si>
  <si>
    <t xml:space="preserve">*CLIA  -  Chemiluminescenţă  (Test Imunologic pe baza de Chemiluminiscenta) </t>
  </si>
  <si>
    <t xml:space="preserve">* Metode sisteme speciale </t>
  </si>
  <si>
    <t>NOTA: Se va completa conform specificatiilor tehnice ale aparatelor (Fisa Tehnica) ; Reprezentantul legal isi asuma realitatea si corectitudinea datelor</t>
  </si>
  <si>
    <t>Total puncte</t>
  </si>
  <si>
    <t>Puncte</t>
  </si>
  <si>
    <t>Nr.aparate(max.4)</t>
  </si>
  <si>
    <t>x</t>
  </si>
  <si>
    <t>Sisteme speciale</t>
  </si>
  <si>
    <t>Semiautomat</t>
  </si>
  <si>
    <t>Automat</t>
  </si>
  <si>
    <t>CLIA</t>
  </si>
  <si>
    <t>Teste / ora</t>
  </si>
  <si>
    <t>Metoda de lucru 2</t>
  </si>
  <si>
    <t>Metoda de lucru</t>
  </si>
  <si>
    <t>Sistem special</t>
  </si>
  <si>
    <t>Tip aparat</t>
  </si>
  <si>
    <t>Tip analizor</t>
  </si>
  <si>
    <t>Elisa</t>
  </si>
  <si>
    <t>Serologie</t>
  </si>
  <si>
    <t>Nr.aparate(max.2)</t>
  </si>
  <si>
    <t>Ex.urina</t>
  </si>
  <si>
    <t>Electroforeza</t>
  </si>
  <si>
    <t>Biochimie</t>
  </si>
  <si>
    <t>Analizor de ioni semiautomat</t>
  </si>
  <si>
    <t>examen parazitologic pe frotiu</t>
  </si>
  <si>
    <t>Parazitologie</t>
  </si>
  <si>
    <t>de microbiologie</t>
  </si>
  <si>
    <t>efectuarea antifungigramei</t>
  </si>
  <si>
    <t>Metoda manuala</t>
  </si>
  <si>
    <t>Micologie</t>
  </si>
  <si>
    <t>decelarea prezentei miceliilor si identificare miceliilor</t>
  </si>
  <si>
    <t>efectuarea antibiogramei</t>
  </si>
  <si>
    <t>Bacteriologie</t>
  </si>
  <si>
    <t>identificare germeni</t>
  </si>
  <si>
    <t>Automat VSH</t>
  </si>
  <si>
    <t>coagulare semiautomat</t>
  </si>
  <si>
    <t>Hemostaza</t>
  </si>
  <si>
    <t>Nr.aparate (max.2)</t>
  </si>
  <si>
    <t>mai mare de 60</t>
  </si>
  <si>
    <t>&gt;22 cu formula leucocitara 5 Dif</t>
  </si>
  <si>
    <t xml:space="preserve">Analizor </t>
  </si>
  <si>
    <t>pct_bun</t>
  </si>
  <si>
    <t>pct</t>
  </si>
  <si>
    <t>verific</t>
  </si>
  <si>
    <t>conditie</t>
  </si>
  <si>
    <t>exista=0</t>
  </si>
  <si>
    <t>Tot_pct</t>
  </si>
  <si>
    <t>Viteza</t>
  </si>
  <si>
    <t>Modul</t>
  </si>
  <si>
    <t>Teste</t>
  </si>
  <si>
    <t>Aparat</t>
  </si>
  <si>
    <t>vechi</t>
  </si>
  <si>
    <t>Vechime ani</t>
  </si>
  <si>
    <t>Puncte aparat</t>
  </si>
  <si>
    <t>ISO producator</t>
  </si>
  <si>
    <t>An fabricatie</t>
  </si>
  <si>
    <t>Serie si numar</t>
  </si>
  <si>
    <t>Denumire aparat</t>
  </si>
  <si>
    <t>Modul ioni</t>
  </si>
  <si>
    <t>Turbidimetrie</t>
  </si>
  <si>
    <t>Modul Flowcitometric</t>
  </si>
  <si>
    <t>Parametri</t>
  </si>
  <si>
    <t>Data</t>
  </si>
  <si>
    <t>APARATURA  - LABORATOR DE ANALIZE MEDICALE</t>
  </si>
  <si>
    <t>Cui</t>
  </si>
  <si>
    <t>Reprezentant legal,</t>
  </si>
  <si>
    <t>Luni</t>
  </si>
  <si>
    <t>Miercuri</t>
  </si>
  <si>
    <t>Joi</t>
  </si>
  <si>
    <t>Vineri</t>
  </si>
  <si>
    <t>Primar</t>
  </si>
  <si>
    <t>Resurse umane</t>
  </si>
  <si>
    <t>Grad Profesional / Studii</t>
  </si>
  <si>
    <t>Puncte / norma lucru</t>
  </si>
  <si>
    <t>Biolog_medical</t>
  </si>
  <si>
    <t>Principal</t>
  </si>
  <si>
    <t>Medii</t>
  </si>
  <si>
    <t>Chimist</t>
  </si>
  <si>
    <t>Chimist_medical</t>
  </si>
  <si>
    <t>Farmacist</t>
  </si>
  <si>
    <t>Certificat acreditare (ISO 15189 )</t>
  </si>
  <si>
    <t>Adresa / telefon /email</t>
  </si>
  <si>
    <t>Program de lucru in contract cu casa de asigurari de sanatate**)</t>
  </si>
  <si>
    <t>Marti</t>
  </si>
  <si>
    <t>Sambata</t>
  </si>
  <si>
    <t>Duminica</t>
  </si>
  <si>
    <t>…………</t>
  </si>
  <si>
    <r>
      <t>DECLARA</t>
    </r>
    <r>
      <rPr>
        <b/>
        <sz val="12"/>
        <rFont val="Arial-BoldMT"/>
        <family val="0"/>
      </rPr>
      <t>Ţ</t>
    </r>
    <r>
      <rPr>
        <b/>
        <sz val="12"/>
        <rFont val="Arial"/>
        <family val="2"/>
      </rPr>
      <t>IE DE PROGRAM</t>
    </r>
  </si>
  <si>
    <t>**) pentru medicii de familie se completează distinct programul la cabinet şi programul la domiciliu.</t>
  </si>
  <si>
    <t>Reprezentant legal:</t>
  </si>
  <si>
    <t>semnatura</t>
  </si>
  <si>
    <t>Locatia unde se desfasoara activitatea</t>
  </si>
  <si>
    <t xml:space="preserve">*) se va completa în funcţie de nr. de puncte de lucru ale furnizorului, în situaţia în care furnizorul are mai multe puncte de lucru pentru care </t>
  </si>
  <si>
    <t>solicită încheierea contractului cu casa de asigurări de sănătate, acestea se menţionează distinct cu programul de lucru aferent</t>
  </si>
  <si>
    <r>
      <t>Punct de lucru/</t>
    </r>
    <r>
      <rPr>
        <b/>
        <sz val="10"/>
        <rFont val="Arial Narrow"/>
        <family val="2"/>
      </rPr>
      <t>punct secundar de lucru</t>
    </r>
    <r>
      <rPr>
        <sz val="10"/>
        <rFont val="Arial Narrow"/>
        <family val="2"/>
      </rPr>
      <t>*)</t>
    </r>
  </si>
  <si>
    <t xml:space="preserve">Cod Identificare Fiscală </t>
  </si>
  <si>
    <t>Judet</t>
  </si>
  <si>
    <t>Localitate</t>
  </si>
  <si>
    <t>Strada</t>
  </si>
  <si>
    <t>Nr</t>
  </si>
  <si>
    <t>Bl</t>
  </si>
  <si>
    <t>Ap</t>
  </si>
  <si>
    <t>Date contact societate</t>
  </si>
  <si>
    <t>Mobil</t>
  </si>
  <si>
    <t>Fix</t>
  </si>
  <si>
    <t>Fax</t>
  </si>
  <si>
    <t>Adresa web</t>
  </si>
  <si>
    <t>Date Bancare</t>
  </si>
  <si>
    <t>Banca</t>
  </si>
  <si>
    <t>Sucursala</t>
  </si>
  <si>
    <t>Cont</t>
  </si>
  <si>
    <t>Nume</t>
  </si>
  <si>
    <t>Prenume</t>
  </si>
  <si>
    <t>Date contact punct de lucru</t>
  </si>
  <si>
    <t>Adresa sediul social / adresa fiscala</t>
  </si>
  <si>
    <t>Adresa sediul lucrativ/punct de lucru</t>
  </si>
  <si>
    <t>Furnizor:</t>
  </si>
  <si>
    <t>Numar investigatii acreditate ISO 15189</t>
  </si>
  <si>
    <t>2.3270911</t>
  </si>
  <si>
    <r>
      <t>Antigen Helicobacter Pylori</t>
    </r>
    <r>
      <rPr>
        <strike/>
        <sz val="9"/>
        <rFont val="Arial Narrow"/>
        <family val="2"/>
      </rPr>
      <t xml:space="preserve">  </t>
    </r>
  </si>
  <si>
    <t>Punct de lucru:</t>
  </si>
  <si>
    <t>Criteriul de calitate</t>
  </si>
  <si>
    <t xml:space="preserve">în calitate de reprezentant legal, cunoscând că falsul în declaraţii se pedepseşte conform legii, declar pe propria răspundere </t>
  </si>
  <si>
    <t xml:space="preserve">Subsemnatul(a), </t>
  </si>
  <si>
    <t xml:space="preserve">punct de lucru  </t>
  </si>
  <si>
    <t xml:space="preserve">Denumire furnizor </t>
  </si>
  <si>
    <t>Sediul social/Adresa fiscală</t>
  </si>
  <si>
    <t>Anexa 45</t>
  </si>
  <si>
    <t>Total nr.personal</t>
  </si>
  <si>
    <t>Total puncte:</t>
  </si>
  <si>
    <t xml:space="preserve">I. CRITERIU DE EVALUARE </t>
  </si>
  <si>
    <t>1*</t>
  </si>
  <si>
    <t>Transmiterea rezultatelor analizelor de laborator la medicul care a recomandat analizele in maxim 24 de ore:</t>
  </si>
  <si>
    <t>Direct medicului</t>
  </si>
  <si>
    <t>Sistem electronic securizat de consultare a rezultatelor pe internet</t>
  </si>
  <si>
    <t>operaţional - instalat şi cu aparate conectate pentru transmitere de date</t>
  </si>
  <si>
    <t>3 a</t>
  </si>
  <si>
    <t>3b*</t>
  </si>
  <si>
    <t>chestionar de satisfactie a pacientilor(cu obligatia actualizarii semestriale a rezultatelor si afisarea pe site-ul furnizorului)</t>
  </si>
  <si>
    <t>* Punctajul pentru 1* si 3b* se acorda o singura data pentru laboratorul/punctul de lucru pentru care opteaza furnizorul</t>
  </si>
  <si>
    <t>2 pct / punct de lucru</t>
  </si>
  <si>
    <t>Total puncte logistica:</t>
  </si>
  <si>
    <t>Puncte logistica</t>
  </si>
  <si>
    <t>Da / Nu</t>
  </si>
  <si>
    <t>Logistica</t>
  </si>
  <si>
    <t>Resurse Umane</t>
  </si>
  <si>
    <t>Resurse Tehnice</t>
  </si>
  <si>
    <t>Criteriul I</t>
  </si>
  <si>
    <t>Criteriul II</t>
  </si>
  <si>
    <t>Control scheme intercomparare</t>
  </si>
  <si>
    <t>SR EN ISO 15189 (Renar)</t>
  </si>
  <si>
    <t>pana la</t>
  </si>
  <si>
    <t>de la</t>
  </si>
  <si>
    <t xml:space="preserve">Registrul unic al cabinetelor medicale </t>
  </si>
  <si>
    <t>Nr:</t>
  </si>
  <si>
    <t>Răspundem de legalitatea, realitatea şi exactitatea datelor sus menţionate</t>
  </si>
  <si>
    <t>semnătură electronică extinsă/calificată</t>
  </si>
  <si>
    <t>Anticorpi Anti HCV</t>
  </si>
  <si>
    <t xml:space="preserve">Examen coproparazitologic </t>
  </si>
  <si>
    <t>Depistare hemoragii oculte</t>
  </si>
  <si>
    <t>2.90211</t>
  </si>
  <si>
    <t>2.90212</t>
  </si>
  <si>
    <t>2.90101</t>
  </si>
  <si>
    <t>2.90102</t>
  </si>
  <si>
    <t xml:space="preserve">Examen histopatologic procedura completa HE*(1-3 blocuri) </t>
  </si>
  <si>
    <t xml:space="preserve">Examen histopatologic procedura completa HE*(4-6 blocuri) </t>
  </si>
  <si>
    <t xml:space="preserve">Examen histopatologic procedura completa HE* si coloratii speciale(1-3 blocuri) </t>
  </si>
  <si>
    <t xml:space="preserve">Examen histopatologic procedura completa HE* si coloratii speciale(4-6 blocuri)    </t>
  </si>
  <si>
    <t>2.501202</t>
  </si>
  <si>
    <t>coagulare automat</t>
  </si>
  <si>
    <t>1 microplaca</t>
  </si>
  <si>
    <t>07,30-17,00</t>
  </si>
  <si>
    <t>pct_1</t>
  </si>
  <si>
    <t>pct_2</t>
  </si>
  <si>
    <t>pc3</t>
  </si>
  <si>
    <t>procent</t>
  </si>
  <si>
    <t>DATA</t>
  </si>
  <si>
    <t>CMIA</t>
  </si>
  <si>
    <t>Punctajul este calculat pe baza datelor introduse de catre furnizorul de servicii medicale paraclinice, pentru care reprezentantul legal</t>
  </si>
  <si>
    <t xml:space="preserve"> detine documente justificative si isi asuma responsabilitatea privind corectitudinea si realitatea acestora</t>
  </si>
  <si>
    <t>SC  DENUMIRE FURNIZOR SRL</t>
  </si>
  <si>
    <t>LXX</t>
  </si>
  <si>
    <t>Constanta</t>
  </si>
  <si>
    <t>nume strada sediu social</t>
  </si>
  <si>
    <t>1A</t>
  </si>
  <si>
    <t>0241/XXXXXX</t>
  </si>
  <si>
    <t>societate@email.ro</t>
  </si>
  <si>
    <t>www.domeniu.ro</t>
  </si>
  <si>
    <t>Trezorerie</t>
  </si>
  <si>
    <t>ROXXTREZ2315069XXX000000</t>
  </si>
  <si>
    <t>Nume Repl legal</t>
  </si>
  <si>
    <t>Prenume repl</t>
  </si>
  <si>
    <t>0700000000000</t>
  </si>
  <si>
    <t>email@repllegal.ro</t>
  </si>
  <si>
    <t>nume strada punct de lucru</t>
  </si>
  <si>
    <t xml:space="preserve">1 </t>
  </si>
  <si>
    <t>65</t>
  </si>
  <si>
    <t>07daca are</t>
  </si>
  <si>
    <t>email@pct_lucru_daca_are.ro</t>
  </si>
  <si>
    <t>adresa web pct_lucru daca are</t>
  </si>
  <si>
    <t>001 L</t>
  </si>
  <si>
    <t>MM001029004</t>
  </si>
  <si>
    <t>21.12.2020</t>
  </si>
  <si>
    <t>bb</t>
  </si>
  <si>
    <t>cc</t>
  </si>
  <si>
    <t>Asistent laborator</t>
  </si>
  <si>
    <t>Fara_Grad</t>
  </si>
  <si>
    <t>A. STRUCTURA DE PERSONAL</t>
  </si>
  <si>
    <t xml:space="preserve">  CARE URMEAZĂ SĂ FIE ÎNREGISTRATĂ ÎN CONTRACT  ŞI SĂ FUNCŢIONEZE SUB INCIDENŢA ACESTUIA</t>
  </si>
  <si>
    <t>NUME ŞI PRENUME</t>
  </si>
  <si>
    <t xml:space="preserve">Cod parafa (după caz) </t>
  </si>
  <si>
    <t>Certificat/Autorizaţie de liberă practică eliberat de Organizaţia profesională/ Autoritatea competentă, după caz  *</t>
  </si>
  <si>
    <t>Specialitatea**</t>
  </si>
  <si>
    <t xml:space="preserve">Atestat de studii complementare </t>
  </si>
  <si>
    <t>Asigurare de răspundere civilă</t>
  </si>
  <si>
    <t>Documentul care atestă forma de angajare la furnizor</t>
  </si>
  <si>
    <t xml:space="preserve">Program de lucru/zi (interval orar: </t>
  </si>
  <si>
    <t>Total ore/săptămâna</t>
  </si>
  <si>
    <t xml:space="preserve"> Număr</t>
  </si>
  <si>
    <t>Data eliberării</t>
  </si>
  <si>
    <t xml:space="preserve">Denumirea studiilor </t>
  </si>
  <si>
    <t>Din DATA</t>
  </si>
  <si>
    <t>Valoare</t>
  </si>
  <si>
    <t>Data expirării</t>
  </si>
  <si>
    <t>Tip contract (CIM/PFA/PFI,etc.)</t>
  </si>
  <si>
    <t>Număr contract</t>
  </si>
  <si>
    <t>Din Data</t>
  </si>
  <si>
    <t>Ziua</t>
  </si>
  <si>
    <t>ora de început</t>
  </si>
  <si>
    <t>ora de final)***</t>
  </si>
  <si>
    <t>1234567891012</t>
  </si>
  <si>
    <t>07.30</t>
  </si>
  <si>
    <t>15.30</t>
  </si>
  <si>
    <t>** se completează în situaţia în care un medic are mai multe specialităţi confirmate prin ordin al ministrului</t>
  </si>
  <si>
    <t>***programul de lucru se detaliază pe fiecare zi a săptămânii, acolo unde este cazul se evidenţiază şi sărbătorile legale</t>
  </si>
  <si>
    <t>Tabelul centralizator se completează pentru fiecare sediu (sediu lucrativ/punct de lucru/punct secundar de lucru) în parte.</t>
  </si>
  <si>
    <t>Programul de lucru al personalului de specialitate care îşi desfășoară activitatea la furnizor  trebuie să fie in concordanță cu programul  de lucru declarat pentru sediu lucrativ/punct de lucru/punct secundar de lucru.</t>
  </si>
  <si>
    <t>Reprezentantul legal al furnizorului,</t>
  </si>
  <si>
    <t>....................................................</t>
  </si>
  <si>
    <t>microbiologie</t>
  </si>
  <si>
    <t>14.30</t>
  </si>
  <si>
    <t>21.30</t>
  </si>
  <si>
    <t>ANEXA 49   B</t>
  </si>
  <si>
    <t>B. STRUCTURA DE PERSONAL</t>
  </si>
  <si>
    <t xml:space="preserve"> PERSONAL MEDICO-SANITAR (ASISTENTA/SORĂ MEDICALĂ/MOAŞĂ) - 
CARE URMEAZĂ SĂ FIE ÎNREGISTRAT  ÎN CONTRACT  ŞI SĂ FUNCŢIONEZE SUB INCIDENŢA ACESTUIA</t>
  </si>
  <si>
    <t xml:space="preserve">Nr.
crt.
</t>
  </si>
  <si>
    <t>NUME ŞI 
PRENUME</t>
  </si>
  <si>
    <t>Certificat
 eliberat de organizaţia profesională</t>
  </si>
  <si>
    <t>Specialitatea</t>
  </si>
  <si>
    <r>
      <t>Program de</t>
    </r>
    <r>
      <rPr>
        <b/>
        <sz val="9.5"/>
        <rFont val="Arial Narrow"/>
        <family val="2"/>
      </rPr>
      <t xml:space="preserve"> lucru/zi </t>
    </r>
    <r>
      <rPr>
        <sz val="9.5"/>
        <rFont val="Arial Narrow"/>
        <family val="2"/>
      </rPr>
      <t>(interval orar: 
ora de început-ora de final)*</t>
    </r>
  </si>
  <si>
    <t xml:space="preserve">Total ore/
săptămâna
</t>
  </si>
  <si>
    <t xml:space="preserve">Data 
eliberării </t>
  </si>
  <si>
    <t>Data 
Expirării</t>
  </si>
  <si>
    <t xml:space="preserve">Data 
expirării </t>
  </si>
  <si>
    <t>Tip contract
(CIM/PFA/PFI,etc.)</t>
  </si>
  <si>
    <t xml:space="preserve">Număr 
contract </t>
  </si>
  <si>
    <t xml:space="preserve">Din
 DATA </t>
  </si>
  <si>
    <t>Exemplu nume prenume</t>
  </si>
  <si>
    <t>25.03.2023</t>
  </si>
  <si>
    <t>01.01.2024</t>
  </si>
  <si>
    <r>
      <t xml:space="preserve">Scheme de intercomparare conform contract / centralizator / certificat </t>
    </r>
    <r>
      <rPr>
        <b/>
        <sz val="9"/>
        <rFont val="Arial Narrow"/>
        <family val="2"/>
      </rPr>
      <t>Nr………….. din data ………………… emis de SC ………………………..…………. SRL</t>
    </r>
  </si>
  <si>
    <t>01.01.2023</t>
  </si>
  <si>
    <t>*programul de lucru se detaliază pe fiecare zi a săptămânii, acolo unde este cazul se evidenţiază şi sărbătorile legale</t>
  </si>
  <si>
    <t>2.1020.1</t>
  </si>
  <si>
    <t>TTGO (test de toleranta la glucoza per os) *10)</t>
  </si>
  <si>
    <t>2.1026</t>
  </si>
  <si>
    <t>HBA1c *10)</t>
  </si>
  <si>
    <t>Nr.participari control extern an 2022</t>
  </si>
  <si>
    <t>Puncte control extern an 2022</t>
  </si>
  <si>
    <t>Nr.participari contractate control extern 2023(minim 4)</t>
  </si>
  <si>
    <t>Nr.Analize 2023 contractate control extern</t>
  </si>
  <si>
    <t>Nr.Analize contractate control extern 2023</t>
  </si>
  <si>
    <t>Total Puncte control extern 2022</t>
  </si>
  <si>
    <t>Numar investigatii control extern 2022</t>
  </si>
  <si>
    <t>074</t>
  </si>
  <si>
    <t>Transferină serică</t>
  </si>
  <si>
    <t>2.10062</t>
  </si>
  <si>
    <t>Raport albumină/creatinină într-un eșantion de urină spontană</t>
  </si>
  <si>
    <t>2.2622.1</t>
  </si>
  <si>
    <t>Albumină serică</t>
  </si>
  <si>
    <t>2.43092</t>
  </si>
  <si>
    <t>Alfa Amilaza serică</t>
  </si>
  <si>
    <t>2.10412</t>
  </si>
  <si>
    <t>Lipaza serică</t>
  </si>
  <si>
    <t>Lactatdehidrogenaza (LDH)</t>
  </si>
  <si>
    <t>2.10413</t>
  </si>
  <si>
    <t>2.10400</t>
  </si>
  <si>
    <t>Rezervă alcalină ( determinarea Bicarbonatului seric)</t>
  </si>
  <si>
    <t xml:space="preserve">Vitamina B 12 </t>
  </si>
  <si>
    <t>Acid folic</t>
  </si>
  <si>
    <t>2.1065</t>
  </si>
  <si>
    <t>2.1071</t>
  </si>
  <si>
    <t>2.1074</t>
  </si>
  <si>
    <t>Coprocultură - cultură şi identificare bacteriană</t>
  </si>
  <si>
    <t>Examene din secreții vaginale - Examen microscopic nativ și colorat</t>
  </si>
  <si>
    <t>Examene din secreții cervicale - cultură și identificare bacteriană</t>
  </si>
  <si>
    <t>2.30701</t>
  </si>
  <si>
    <t>Examene din secreții vaginale – cultură și identificare bacteriană</t>
  </si>
  <si>
    <t>2.30741</t>
  </si>
  <si>
    <t>2.30643</t>
  </si>
  <si>
    <t xml:space="preserve">Examene din secreţii vaginale - portaj Streptococcus agalactiae la gravide, prin metode de cultivare </t>
  </si>
  <si>
    <t xml:space="preserve">Examene din tampon rectal - portaj Streptococcus agalactiae la gravide, prin metode de cultivare </t>
  </si>
  <si>
    <t>2.30643.1</t>
  </si>
  <si>
    <t>Examene din secreţii vaginale - Examen  microscopic nativ şi colorat, cultură şi identificare fungică</t>
  </si>
  <si>
    <t>Examene din secreţii uretrale - microscopic colorat, cultură şi identificare bacteriană</t>
  </si>
  <si>
    <t xml:space="preserve">Examen din secreţii otice - Examen microscopic nativ şi colorat, cultură şi identificare bacteriană </t>
  </si>
  <si>
    <t xml:space="preserve">Examen bacteriologic exudat nazal cultură și identificare Staphylococcus aureus (MRSA/MSSA) </t>
  </si>
  <si>
    <t xml:space="preserve">Examen microbiologic din secreţii conjunctivale – Examen microscopic, cultură şi identificare bacteriană </t>
  </si>
  <si>
    <t>Examen bacteriologic din colecţie purulentă - Examen microscopic colorat, cultură şi identificare bacteriană</t>
  </si>
  <si>
    <t>Examen fungic din colecţie purulentă - Examen microscopic nativ şi colorat, cultură şi identificare fungică</t>
  </si>
  <si>
    <t>&gt;21 pozitii</t>
  </si>
  <si>
    <t>Viteza de sedimentare a hematiilor (VSH)</t>
  </si>
  <si>
    <t>1 - 10 pozitii</t>
  </si>
  <si>
    <t>Imunohematologie (manual)</t>
  </si>
  <si>
    <t>determinarea Grupelor sangvine RH</t>
  </si>
  <si>
    <t>spectometrie de masa MALDI-Tof</t>
  </si>
  <si>
    <t>de însămânțare a mediilor de cultură</t>
  </si>
  <si>
    <t>Declaratie conformitate</t>
  </si>
  <si>
    <t xml:space="preserve">semiautomat </t>
  </si>
  <si>
    <r>
      <rPr>
        <sz val="9"/>
        <rFont val="Arial Narrow"/>
        <family val="2"/>
      </rPr>
      <t>Urocultură</t>
    </r>
    <r>
      <rPr>
        <b/>
        <sz val="9"/>
        <rFont val="Arial Narrow"/>
        <family val="2"/>
      </rPr>
      <t xml:space="preserve">  </t>
    </r>
    <r>
      <rPr>
        <sz val="9"/>
        <rFont val="Arial Narrow"/>
        <family val="2"/>
      </rPr>
      <t>- Examen microscopic nativ si colorat, cultură și  identificare bacteriană</t>
    </r>
  </si>
  <si>
    <r>
      <t xml:space="preserve">Examen fungic </t>
    </r>
    <r>
      <rPr>
        <sz val="9"/>
        <rFont val="Arial Narrow"/>
        <family val="2"/>
      </rPr>
      <t xml:space="preserve">exudat faringian </t>
    </r>
    <r>
      <rPr>
        <sz val="9"/>
        <rFont val="Arial Narrow"/>
        <family val="2"/>
      </rPr>
      <t xml:space="preserve">- cultură și identificare până la nivel de specie  </t>
    </r>
  </si>
  <si>
    <r>
      <t xml:space="preserve">Examen bacteriologic </t>
    </r>
    <r>
      <rPr>
        <sz val="9"/>
        <rFont val="Arial Narrow"/>
        <family val="2"/>
      </rPr>
      <t>exudat faringian</t>
    </r>
    <r>
      <rPr>
        <b/>
        <sz val="9"/>
        <rFont val="Arial Narrow"/>
        <family val="2"/>
      </rPr>
      <t xml:space="preserve"> </t>
    </r>
    <r>
      <rPr>
        <sz val="9"/>
        <rFont val="Arial Narrow"/>
        <family val="2"/>
      </rPr>
      <t xml:space="preserve">- cultură şi identificare streptococi beta-hemolitici gr. A, C, G </t>
    </r>
  </si>
  <si>
    <t>………………………</t>
  </si>
  <si>
    <r>
      <t xml:space="preserve">B.I/C.I. seria  </t>
    </r>
    <r>
      <rPr>
        <b/>
        <sz val="10"/>
        <rFont val="Arial"/>
        <family val="2"/>
      </rPr>
      <t>……….</t>
    </r>
    <r>
      <rPr>
        <sz val="10"/>
        <rFont val="Arial"/>
        <family val="2"/>
      </rPr>
      <t xml:space="preserve">  nr  </t>
    </r>
    <r>
      <rPr>
        <b/>
        <sz val="10"/>
        <rFont val="Arial"/>
        <family val="2"/>
      </rPr>
      <t>………………...</t>
    </r>
    <r>
      <rPr>
        <sz val="10"/>
        <rFont val="Arial"/>
        <family val="2"/>
      </rPr>
      <t xml:space="preserve">, </t>
    </r>
  </si>
  <si>
    <t>că programul de lucru în contract cu Casa de Asigurări de Sănătate Constanța se desfăşoară astfel:</t>
  </si>
  <si>
    <t>Sediul social lucrativ</t>
  </si>
  <si>
    <t>A</t>
  </si>
  <si>
    <t>Semnificaţia coloanei A din tabelul de mai jos este următoarea:</t>
  </si>
  <si>
    <t xml:space="preserve">    A - Sărbători legale.</t>
  </si>
  <si>
    <t>15.01.2021</t>
  </si>
  <si>
    <t>15.01.2023</t>
  </si>
  <si>
    <t>4</t>
  </si>
  <si>
    <t>Puncte de recoltare externe aflate în alte localități decât cele reședință de județ, avand program 5 zile / saptamana , minim 7 ore / zi cu personal de recoltare dedicat</t>
  </si>
  <si>
    <t>Sarbatori legale</t>
  </si>
  <si>
    <r>
      <rPr>
        <b/>
        <sz val="9.5"/>
        <color indexed="8"/>
        <rFont val="Arial Narrow"/>
        <family val="2"/>
      </rPr>
      <t>****</t>
    </r>
    <r>
      <rPr>
        <sz val="9.5"/>
        <color indexed="8"/>
        <rFont val="Arial Narrow"/>
        <family val="2"/>
      </rPr>
      <t xml:space="preserve"> se completează cu data expirării avizului anual</t>
    </r>
  </si>
  <si>
    <r>
      <t>Data Expirării</t>
    </r>
    <r>
      <rPr>
        <b/>
        <sz val="9.5"/>
        <color indexed="8"/>
        <rFont val="Arial Narrow"/>
        <family val="2"/>
      </rPr>
      <t>****</t>
    </r>
  </si>
  <si>
    <t xml:space="preserve">EXEMPLU </t>
  </si>
  <si>
    <t>10 puncte pentru fiecare punct extern de recoltare; se punctează un singur punct de recoltare extern / localitate / furnizor;</t>
  </si>
  <si>
    <r>
      <rPr>
        <b/>
        <sz val="9.5"/>
        <color indexed="8"/>
        <rFont val="Arial Narrow"/>
        <family val="2"/>
      </rPr>
      <t>software dedicat activităţii de laborator</t>
    </r>
    <r>
      <rPr>
        <sz val="9.5"/>
        <color indexed="8"/>
        <rFont val="Arial Narrow"/>
        <family val="2"/>
      </rPr>
      <t xml:space="preserve"> - care să conţină înregistrarea şi evidenţa biletelor de  trimitere  (serie  şi  număr  bilet,  CNP-ul/codul unic de asigurare al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
</t>
    </r>
  </si>
  <si>
    <r>
      <rPr>
        <b/>
        <sz val="9.5"/>
        <color indexed="8"/>
        <rFont val="Arial Narrow"/>
        <family val="2"/>
      </rPr>
      <t>website</t>
    </r>
    <r>
      <rPr>
        <sz val="9.5"/>
        <color indexed="8"/>
        <rFont val="Arial Narrow"/>
        <family val="2"/>
      </rPr>
      <t xml:space="preserve"> - care să conţină minimum următoarele informaţii: datele de contact – adresa, telefon, fax, mail, pentru laboratoarele/punctele de lucru din structura, orarul de funcţionare, certificări/acreditări</t>
    </r>
  </si>
  <si>
    <r>
      <t xml:space="preserve">Punctajul este intocmit pe baza documentelor detinute de furnizor si depuse la dosarul de contract, pentru care </t>
    </r>
    <r>
      <rPr>
        <b/>
        <sz val="9.5"/>
        <rFont val="Arial Narrow"/>
        <family val="2"/>
      </rPr>
      <t>reprezentantul legal isi asuma responsabilitatea privind realitatea documentelor si exactitatea datelor</t>
    </r>
  </si>
  <si>
    <t>Logistica - Autoevaluare furnizor</t>
  </si>
  <si>
    <t>pana la 60</t>
  </si>
  <si>
    <t>automat RH</t>
  </si>
  <si>
    <t>Analizoare microbiologie(bacteriologie+micologie)</t>
  </si>
  <si>
    <t xml:space="preserve">* se completează pentru toate categoriile de personal care intră sub incidenţa contractului  (medici, biologi medicali/biologi, chimişti medicali/chimişti, biochimişti medicali/biochimişti, fizicieni, bioingineri, </t>
  </si>
  <si>
    <t>cercetători ştiinţifici în anatomie-patologică, absolvenţi colegiu imagistică medicală, fizioterapeuţi, psihologi, etc)</t>
  </si>
  <si>
    <t>ECLIA</t>
  </si>
  <si>
    <t>ANEXA 49 A</t>
  </si>
  <si>
    <t>Biochimist_medical</t>
  </si>
  <si>
    <t>semiautomat RH</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</si>
</sst>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l_e_i_-;\-* #,##0\ _l_e_i_-;_-* &quot;-&quot;\ _l_e_i_-;_-@_-"/>
    <numFmt numFmtId="173" formatCode="_-* #,##0.00\ _l_e_i_-;\-* #,##0.00\ _l_e_i_-;_-* &quot;-&quot;??\ _l_e_i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d/m/yyyy"/>
    <numFmt numFmtId="183" formatCode="dd/mm/yyyy"/>
    <numFmt numFmtId="184" formatCode="0;[Red]0"/>
    <numFmt numFmtId="185" formatCode="dd/mm/yyyy;@"/>
    <numFmt numFmtId="186" formatCode="dd\.mm\.yyyy;@"/>
    <numFmt numFmtId="187" formatCode="0.0"/>
    <numFmt numFmtId="188" formatCode="dd/mm/yy"/>
    <numFmt numFmtId="189" formatCode="d\ mmmm\ yyyy;@"/>
    <numFmt numFmtId="190" formatCode="[$-418]d\ mmmm\ yyyy"/>
    <numFmt numFmtId="191" formatCode="[$-418]d\ mmmm\ yyyy;@"/>
    <numFmt numFmtId="192" formatCode="h:mm;@"/>
    <numFmt numFmtId="193" formatCode="d/m/yyyy;@"/>
    <numFmt numFmtId="194" formatCode="#,##0.0"/>
    <numFmt numFmtId="195" formatCode="0.00_ ;[Red]\-0.00\ "/>
    <numFmt numFmtId="196" formatCode="mmm/yyyy"/>
    <numFmt numFmtId="197" formatCode="&quot;Yes&quot;;&quot;Yes&quot;;&quot;No&quot;"/>
    <numFmt numFmtId="198" formatCode="&quot;True&quot;;&quot;True&quot;;&quot;False&quot;"/>
    <numFmt numFmtId="199" formatCode="&quot;On&quot;;&quot;On&quot;;&quot;Off&quot;"/>
    <numFmt numFmtId="200" formatCode="[$€-2]\ #,##0.00_);[Red]\([$€-2]\ #,##0.00\)"/>
    <numFmt numFmtId="201" formatCode="[$-409]dd\ mmmm\,\ yyyy"/>
  </numFmts>
  <fonts count="82">
    <font>
      <sz val="10"/>
      <name val="Arial"/>
      <family val="2"/>
    </font>
    <font>
      <sz val="10"/>
      <name val="Arial Narrow"/>
      <family val="2"/>
    </font>
    <font>
      <u val="single"/>
      <sz val="10"/>
      <color indexed="12"/>
      <name val="Arial"/>
      <family val="2"/>
    </font>
    <font>
      <b/>
      <sz val="9"/>
      <color indexed="8"/>
      <name val="Tahoma"/>
      <family val="2"/>
    </font>
    <font>
      <sz val="9"/>
      <color indexed="8"/>
      <name val="Tahoma"/>
      <family val="2"/>
    </font>
    <font>
      <b/>
      <sz val="10"/>
      <name val="Arial Narrow"/>
      <family val="2"/>
    </font>
    <font>
      <sz val="8"/>
      <name val="Arial Narrow"/>
      <family val="2"/>
    </font>
    <font>
      <sz val="8"/>
      <color indexed="8"/>
      <name val="Arial Narrow"/>
      <family val="2"/>
    </font>
    <font>
      <sz val="9"/>
      <name val="Arial Narrow"/>
      <family val="2"/>
    </font>
    <font>
      <sz val="12"/>
      <name val="Times New Roman"/>
      <family val="1"/>
    </font>
    <font>
      <b/>
      <sz val="12"/>
      <name val="Arial"/>
      <family val="2"/>
    </font>
    <font>
      <b/>
      <sz val="12"/>
      <name val="Arial-BoldMT"/>
      <family val="0"/>
    </font>
    <font>
      <sz val="12"/>
      <name val="Arial"/>
      <family val="2"/>
    </font>
    <font>
      <sz val="9"/>
      <name val="Tahoma"/>
      <family val="2"/>
    </font>
    <font>
      <b/>
      <sz val="9"/>
      <name val="Tahoma"/>
      <family val="2"/>
    </font>
    <font>
      <b/>
      <sz val="9"/>
      <name val="Arial Narrow"/>
      <family val="2"/>
    </font>
    <font>
      <strike/>
      <sz val="9"/>
      <name val="Arial Narrow"/>
      <family val="2"/>
    </font>
    <font>
      <sz val="9"/>
      <color indexed="10"/>
      <name val="Arial Narrow"/>
      <family val="2"/>
    </font>
    <font>
      <sz val="11"/>
      <name val="Times New Roman"/>
      <family val="1"/>
    </font>
    <font>
      <u val="single"/>
      <sz val="10"/>
      <color indexed="12"/>
      <name val="Arial Narrow"/>
      <family val="2"/>
    </font>
    <font>
      <b/>
      <sz val="10"/>
      <name val="Arial"/>
      <family val="2"/>
    </font>
    <font>
      <sz val="9.5"/>
      <name val="Arial Narrow"/>
      <family val="2"/>
    </font>
    <font>
      <b/>
      <sz val="9.5"/>
      <name val="Arial Narrow"/>
      <family val="2"/>
    </font>
    <font>
      <sz val="9.5"/>
      <color indexed="8"/>
      <name val="Arial Narrow"/>
      <family val="2"/>
    </font>
    <font>
      <b/>
      <sz val="9.5"/>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Narrow"/>
      <family val="2"/>
    </font>
    <font>
      <b/>
      <sz val="10"/>
      <color indexed="12"/>
      <name val="Arial Narrow"/>
      <family val="2"/>
    </font>
    <font>
      <sz val="10"/>
      <color indexed="8"/>
      <name val="Arial Narrow"/>
      <family val="2"/>
    </font>
    <font>
      <sz val="8"/>
      <color indexed="12"/>
      <name val="Times New Roman"/>
      <family val="1"/>
    </font>
    <font>
      <sz val="10"/>
      <color indexed="10"/>
      <name val="Arial Narrow"/>
      <family val="2"/>
    </font>
    <font>
      <sz val="9.5"/>
      <color indexed="10"/>
      <name val="Arial Narrow"/>
      <family val="2"/>
    </font>
    <font>
      <sz val="9"/>
      <color indexed="8"/>
      <name val="Arial Narrow"/>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Narrow"/>
      <family val="2"/>
    </font>
    <font>
      <b/>
      <sz val="10"/>
      <color rgb="FF0000FF"/>
      <name val="Arial Narrow"/>
      <family val="2"/>
    </font>
    <font>
      <sz val="10"/>
      <color theme="1"/>
      <name val="Arial Narrow"/>
      <family val="2"/>
    </font>
    <font>
      <sz val="8"/>
      <color rgb="FF0000FF"/>
      <name val="Times New Roman"/>
      <family val="1"/>
    </font>
    <font>
      <sz val="10"/>
      <color rgb="FFFF0000"/>
      <name val="Arial Narrow"/>
      <family val="2"/>
    </font>
    <font>
      <sz val="9.5"/>
      <color rgb="FF000000"/>
      <name val="Arial Narrow"/>
      <family val="2"/>
    </font>
    <font>
      <sz val="9.5"/>
      <color theme="1"/>
      <name val="Arial Narrow"/>
      <family val="2"/>
    </font>
    <font>
      <sz val="9.5"/>
      <color rgb="FFFF0000"/>
      <name val="Arial Narrow"/>
      <family val="2"/>
    </font>
    <font>
      <b/>
      <sz val="9.5"/>
      <color theme="1"/>
      <name val="Arial Narrow"/>
      <family val="2"/>
    </font>
    <font>
      <sz val="9"/>
      <color rgb="FFFF0000"/>
      <name val="Arial Narrow"/>
      <family val="2"/>
    </font>
    <font>
      <sz val="9"/>
      <color rgb="FF000000"/>
      <name val="Arial Narrow"/>
      <family val="2"/>
    </font>
    <font>
      <sz val="8"/>
      <color theme="1"/>
      <name val="Arial Narrow"/>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44"/>
        <bgColor indexed="64"/>
      </patternFill>
    </fill>
    <fill>
      <patternFill patternType="solid">
        <fgColor rgb="FF99CC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3" fontId="0" fillId="0" borderId="0" applyFill="0" applyBorder="0" applyAlignment="0" applyProtection="0"/>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04">
    <xf numFmtId="0" fontId="0" fillId="0" borderId="0" xfId="0" applyAlignment="1">
      <alignment/>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left"/>
      <protection locked="0"/>
    </xf>
    <xf numFmtId="0" fontId="1" fillId="0" borderId="0" xfId="0" applyFont="1" applyBorder="1" applyAlignment="1" applyProtection="1">
      <alignment vertical="center"/>
      <protection locked="0"/>
    </xf>
    <xf numFmtId="0" fontId="1" fillId="0" borderId="0" xfId="57" applyFont="1">
      <alignment/>
      <protection/>
    </xf>
    <xf numFmtId="0" fontId="1" fillId="0" borderId="0" xfId="57" applyFont="1" applyAlignment="1">
      <alignment horizontal="center"/>
      <protection/>
    </xf>
    <xf numFmtId="0" fontId="1" fillId="0" borderId="0" xfId="59" applyFont="1">
      <alignment/>
      <protection/>
    </xf>
    <xf numFmtId="0" fontId="1" fillId="0" borderId="0" xfId="59" applyFont="1" applyAlignment="1">
      <alignment horizontal="center"/>
      <protection/>
    </xf>
    <xf numFmtId="0" fontId="1" fillId="0" borderId="0" xfId="59" applyFont="1" applyBorder="1">
      <alignment/>
      <protection/>
    </xf>
    <xf numFmtId="0" fontId="6" fillId="0" borderId="0" xfId="59" applyFont="1" applyBorder="1">
      <alignment/>
      <protection/>
    </xf>
    <xf numFmtId="49" fontId="6" fillId="0" borderId="0" xfId="57" applyNumberFormat="1" applyFont="1" applyAlignment="1">
      <alignment horizontal="left"/>
      <protection/>
    </xf>
    <xf numFmtId="0" fontId="7" fillId="0" borderId="0" xfId="57" applyFont="1" applyAlignment="1">
      <alignment horizontal="left"/>
      <protection/>
    </xf>
    <xf numFmtId="0" fontId="7" fillId="0" borderId="0" xfId="57" applyFont="1">
      <alignment/>
      <protection/>
    </xf>
    <xf numFmtId="0" fontId="6" fillId="0" borderId="0" xfId="57" applyFont="1" applyAlignment="1">
      <alignment/>
      <protection/>
    </xf>
    <xf numFmtId="0" fontId="1" fillId="0" borderId="0" xfId="57" applyFont="1" applyAlignment="1">
      <alignment/>
      <protection/>
    </xf>
    <xf numFmtId="0" fontId="7" fillId="0" borderId="0" xfId="57" applyFont="1" applyAlignment="1">
      <alignment horizontal="justify"/>
      <protection/>
    </xf>
    <xf numFmtId="49" fontId="6" fillId="0" borderId="0" xfId="57" applyNumberFormat="1" applyFont="1" applyAlignment="1">
      <alignment/>
      <protection/>
    </xf>
    <xf numFmtId="0" fontId="7" fillId="0" borderId="0" xfId="57" applyFont="1" applyAlignment="1">
      <alignment/>
      <protection/>
    </xf>
    <xf numFmtId="0" fontId="5" fillId="0" borderId="0" xfId="59" applyFont="1" applyAlignment="1">
      <alignment horizontal="left"/>
      <protection/>
    </xf>
    <xf numFmtId="0" fontId="8" fillId="0" borderId="0" xfId="57" applyFont="1">
      <alignment/>
      <protection/>
    </xf>
    <xf numFmtId="0" fontId="8" fillId="0" borderId="0" xfId="57" applyFont="1" applyAlignment="1">
      <alignment horizontal="center"/>
      <protection/>
    </xf>
    <xf numFmtId="0" fontId="8" fillId="0" borderId="0" xfId="59" applyFont="1">
      <alignment/>
      <protection/>
    </xf>
    <xf numFmtId="0" fontId="8" fillId="0" borderId="10" xfId="59" applyFont="1" applyBorder="1" applyAlignment="1" applyProtection="1">
      <alignment horizontal="center" vertical="center" wrapText="1"/>
      <protection locked="0"/>
    </xf>
    <xf numFmtId="0" fontId="8" fillId="0" borderId="10" xfId="59" applyFont="1" applyBorder="1" applyAlignment="1" applyProtection="1">
      <alignment horizontal="center" vertical="center" wrapText="1"/>
      <protection hidden="1"/>
    </xf>
    <xf numFmtId="1" fontId="8" fillId="0" borderId="10" xfId="59" applyNumberFormat="1" applyFont="1" applyBorder="1" applyAlignment="1" applyProtection="1">
      <alignment horizontal="center" vertical="center" wrapText="1"/>
      <protection locked="0"/>
    </xf>
    <xf numFmtId="0" fontId="8" fillId="0" borderId="10" xfId="59" applyFont="1" applyBorder="1" applyAlignment="1">
      <alignment horizontal="center" vertical="center" wrapText="1"/>
      <protection/>
    </xf>
    <xf numFmtId="0" fontId="8" fillId="0" borderId="10" xfId="59" applyFont="1" applyFill="1" applyBorder="1" applyAlignment="1" applyProtection="1">
      <alignment horizontal="center" vertical="center" wrapText="1"/>
      <protection hidden="1"/>
    </xf>
    <xf numFmtId="1" fontId="8" fillId="0" borderId="10" xfId="59" applyNumberFormat="1" applyFont="1" applyFill="1" applyBorder="1" applyAlignment="1" applyProtection="1">
      <alignment horizontal="center" vertical="center" wrapText="1"/>
      <protection locked="0"/>
    </xf>
    <xf numFmtId="0" fontId="8" fillId="0" borderId="0" xfId="59" applyFont="1" applyFill="1" applyBorder="1" applyAlignment="1" applyProtection="1">
      <alignment horizontal="center" vertical="center" wrapText="1"/>
      <protection hidden="1"/>
    </xf>
    <xf numFmtId="1" fontId="8" fillId="0" borderId="10" xfId="59" applyNumberFormat="1" applyFont="1" applyFill="1" applyBorder="1" applyAlignment="1" applyProtection="1">
      <alignment horizontal="center" vertical="center" wrapText="1"/>
      <protection hidden="1"/>
    </xf>
    <xf numFmtId="1" fontId="8" fillId="0" borderId="10" xfId="59" applyNumberFormat="1" applyFont="1" applyBorder="1" applyAlignment="1" applyProtection="1">
      <alignment horizontal="center" vertical="center" wrapText="1"/>
      <protection hidden="1"/>
    </xf>
    <xf numFmtId="0" fontId="1" fillId="0" borderId="0" xfId="59" applyFont="1" applyFill="1" applyBorder="1" applyAlignment="1" applyProtection="1">
      <alignment horizontal="center" vertical="center" wrapText="1"/>
      <protection hidden="1"/>
    </xf>
    <xf numFmtId="0" fontId="8" fillId="0" borderId="10" xfId="59" applyFont="1" applyFill="1" applyBorder="1" applyAlignment="1" applyProtection="1">
      <alignment horizontal="center" vertical="center" wrapText="1"/>
      <protection locked="0"/>
    </xf>
    <xf numFmtId="0" fontId="8" fillId="0" borderId="10" xfId="59" applyFont="1" applyFill="1" applyBorder="1" applyAlignment="1">
      <alignment horizontal="center" vertical="center" wrapText="1"/>
      <protection/>
    </xf>
    <xf numFmtId="0" fontId="1" fillId="0" borderId="10" xfId="59" applyNumberFormat="1" applyFont="1" applyBorder="1" applyAlignment="1" applyProtection="1">
      <alignment horizontal="center" vertical="center"/>
      <protection hidden="1"/>
    </xf>
    <xf numFmtId="0" fontId="1"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center" wrapText="1"/>
      <protection/>
    </xf>
    <xf numFmtId="0" fontId="8" fillId="0" borderId="10" xfId="59" applyFont="1" applyBorder="1" applyAlignment="1" applyProtection="1" quotePrefix="1">
      <alignment horizontal="center" vertical="center" wrapText="1"/>
      <protection locked="0"/>
    </xf>
    <xf numFmtId="0" fontId="1" fillId="0" borderId="10" xfId="59" applyFont="1" applyFill="1" applyBorder="1" applyAlignment="1" applyProtection="1">
      <alignment horizontal="center" vertical="center"/>
      <protection hidden="1"/>
    </xf>
    <xf numFmtId="0" fontId="1" fillId="0" borderId="0" xfId="57" applyFont="1" applyFill="1" applyBorder="1" applyAlignment="1" applyProtection="1">
      <alignment horizontal="center" vertical="center" wrapText="1"/>
      <protection hidden="1"/>
    </xf>
    <xf numFmtId="0" fontId="1" fillId="0" borderId="0" xfId="57" applyFont="1" applyFill="1" applyBorder="1" applyAlignment="1">
      <alignment horizontal="center"/>
      <protection/>
    </xf>
    <xf numFmtId="0" fontId="1" fillId="0" borderId="0" xfId="57" applyFont="1" applyAlignment="1">
      <alignment horizontal="center" vertical="center"/>
      <protection/>
    </xf>
    <xf numFmtId="0" fontId="1" fillId="0" borderId="0" xfId="57" applyFont="1" applyFill="1" applyBorder="1" applyAlignment="1">
      <alignment horizontal="right"/>
      <protection/>
    </xf>
    <xf numFmtId="0" fontId="1" fillId="0" borderId="0" xfId="57" applyFont="1" applyAlignment="1">
      <alignment horizontal="right"/>
      <protection/>
    </xf>
    <xf numFmtId="0" fontId="5" fillId="0" borderId="0" xfId="57" applyFont="1" applyAlignment="1" applyProtection="1">
      <alignment horizontal="center"/>
      <protection locked="0"/>
    </xf>
    <xf numFmtId="49" fontId="1" fillId="0" borderId="0" xfId="57" applyNumberFormat="1" applyFont="1" applyFill="1" applyBorder="1" applyAlignment="1">
      <alignment horizontal="left" vertical="center"/>
      <protection/>
    </xf>
    <xf numFmtId="49" fontId="1" fillId="0" borderId="0" xfId="57" applyNumberFormat="1" applyFont="1" applyAlignment="1">
      <alignment horizontal="left" vertical="center"/>
      <protection/>
    </xf>
    <xf numFmtId="49" fontId="1" fillId="0" borderId="0" xfId="57" applyNumberFormat="1" applyFont="1" applyAlignment="1">
      <alignment vertical="center"/>
      <protection/>
    </xf>
    <xf numFmtId="0" fontId="1" fillId="0" borderId="0" xfId="57" applyFont="1" applyBorder="1" applyAlignment="1">
      <alignment horizontal="right" vertical="center" wrapText="1"/>
      <protection/>
    </xf>
    <xf numFmtId="0" fontId="1" fillId="0" borderId="0" xfId="57" applyFont="1" applyProtection="1">
      <alignment/>
      <protection locked="0"/>
    </xf>
    <xf numFmtId="0" fontId="1" fillId="0" borderId="0" xfId="57" applyFont="1" applyAlignment="1" applyProtection="1">
      <alignment horizontal="center"/>
      <protection locked="0"/>
    </xf>
    <xf numFmtId="0" fontId="1" fillId="0" borderId="0" xfId="57" applyFont="1" applyAlignment="1" applyProtection="1">
      <alignment horizontal="center"/>
      <protection hidden="1"/>
    </xf>
    <xf numFmtId="0" fontId="1" fillId="0" borderId="0" xfId="57" applyFont="1" applyFill="1" applyProtection="1">
      <alignment/>
      <protection locked="0"/>
    </xf>
    <xf numFmtId="0" fontId="1" fillId="0" borderId="0" xfId="57" applyFont="1" applyFill="1" applyBorder="1" applyAlignment="1" applyProtection="1">
      <alignment horizontal="center" vertical="center" wrapText="1"/>
      <protection locked="0"/>
    </xf>
    <xf numFmtId="0" fontId="1" fillId="0" borderId="0" xfId="57" applyNumberFormat="1" applyFont="1" applyAlignment="1" applyProtection="1">
      <alignment horizontal="center"/>
      <protection hidden="1"/>
    </xf>
    <xf numFmtId="195" fontId="69" fillId="0" borderId="0" xfId="57" applyNumberFormat="1" applyFont="1" applyFill="1" applyAlignment="1" applyProtection="1">
      <alignment horizontal="center"/>
      <protection locked="0"/>
    </xf>
    <xf numFmtId="14" fontId="69" fillId="0" borderId="0" xfId="57" applyNumberFormat="1" applyFont="1" applyFill="1" applyAlignment="1" applyProtection="1">
      <alignment horizontal="center"/>
      <protection locked="0"/>
    </xf>
    <xf numFmtId="0" fontId="69" fillId="0" borderId="0" xfId="57" applyFont="1" applyFill="1" applyAlignment="1" applyProtection="1">
      <alignment horizontal="center"/>
      <protection locked="0"/>
    </xf>
    <xf numFmtId="2" fontId="1" fillId="0" borderId="0" xfId="57" applyNumberFormat="1" applyFont="1" applyFill="1" applyAlignment="1" applyProtection="1">
      <alignment vertical="center"/>
      <protection locked="0"/>
    </xf>
    <xf numFmtId="0" fontId="1" fillId="0" borderId="0" xfId="57" applyFont="1" applyFill="1" applyAlignment="1" applyProtection="1">
      <alignment vertical="center"/>
      <protection locked="0"/>
    </xf>
    <xf numFmtId="0" fontId="1" fillId="0" borderId="0" xfId="57" applyFont="1" applyFill="1" applyAlignment="1" applyProtection="1">
      <alignment horizontal="center" vertical="center"/>
      <protection locked="0"/>
    </xf>
    <xf numFmtId="0" fontId="8" fillId="0" borderId="10" xfId="59" applyFont="1" applyBorder="1" applyAlignment="1" applyProtection="1">
      <alignment horizontal="center" vertical="center" wrapText="1"/>
      <protection locked="0"/>
    </xf>
    <xf numFmtId="0" fontId="8" fillId="0" borderId="10" xfId="59" applyFont="1" applyBorder="1" applyAlignment="1" applyProtection="1">
      <alignment horizontal="center" vertical="center"/>
      <protection locked="0"/>
    </xf>
    <xf numFmtId="4" fontId="1" fillId="0" borderId="10" xfId="57" applyNumberFormat="1" applyFont="1" applyBorder="1" applyAlignment="1" applyProtection="1">
      <alignment horizontal="center" vertical="center"/>
      <protection hidden="1"/>
    </xf>
    <xf numFmtId="4" fontId="1" fillId="0" borderId="0" xfId="57" applyNumberFormat="1" applyFont="1" applyFill="1" applyBorder="1" applyAlignment="1">
      <alignment horizontal="center" vertical="center"/>
      <protection/>
    </xf>
    <xf numFmtId="4" fontId="1" fillId="0" borderId="0" xfId="57" applyNumberFormat="1" applyFont="1" applyFill="1" applyBorder="1" applyAlignment="1" applyProtection="1">
      <alignment horizontal="center" vertical="center"/>
      <protection hidden="1"/>
    </xf>
    <xf numFmtId="0" fontId="8" fillId="0" borderId="10" xfId="57" applyFont="1" applyBorder="1" applyAlignment="1" applyProtection="1">
      <alignment horizontal="center" vertical="center" wrapText="1"/>
      <protection locked="0"/>
    </xf>
    <xf numFmtId="4" fontId="1" fillId="0" borderId="10" xfId="57" applyNumberFormat="1" applyFont="1" applyFill="1" applyBorder="1" applyAlignment="1" applyProtection="1">
      <alignment horizontal="center" vertical="center"/>
      <protection hidden="1"/>
    </xf>
    <xf numFmtId="1" fontId="1" fillId="0" borderId="0" xfId="57" applyNumberFormat="1" applyFont="1" applyFill="1" applyAlignment="1">
      <alignment horizontal="center" vertical="center"/>
      <protection/>
    </xf>
    <xf numFmtId="0" fontId="1" fillId="0" borderId="0" xfId="57" applyFont="1" applyFill="1" applyAlignment="1">
      <alignment horizontal="center" vertical="center"/>
      <protection/>
    </xf>
    <xf numFmtId="4" fontId="70" fillId="0" borderId="0" xfId="57" applyNumberFormat="1" applyFont="1" applyFill="1" applyAlignment="1">
      <alignment horizontal="center" vertical="center"/>
      <protection/>
    </xf>
    <xf numFmtId="0" fontId="70" fillId="0" borderId="0" xfId="57" applyFont="1" applyFill="1" applyAlignment="1">
      <alignment horizontal="center" vertical="center"/>
      <protection/>
    </xf>
    <xf numFmtId="0" fontId="1" fillId="0" borderId="10" xfId="59" applyFont="1" applyBorder="1" applyAlignment="1" applyProtection="1">
      <alignment horizontal="center" vertical="center"/>
      <protection locked="0"/>
    </xf>
    <xf numFmtId="1" fontId="1" fillId="0" borderId="10" xfId="59" applyNumberFormat="1" applyFont="1" applyBorder="1" applyAlignment="1" applyProtection="1">
      <alignment horizontal="center" vertical="center"/>
      <protection locked="0"/>
    </xf>
    <xf numFmtId="1" fontId="8" fillId="0" borderId="10" xfId="59" applyNumberFormat="1" applyFont="1" applyBorder="1" applyAlignment="1" applyProtection="1">
      <alignment horizontal="center" vertical="center"/>
      <protection locked="0"/>
    </xf>
    <xf numFmtId="2" fontId="1" fillId="0" borderId="0" xfId="57" applyNumberFormat="1" applyFont="1" applyFill="1" applyAlignment="1">
      <alignment horizontal="center" vertical="center"/>
      <protection/>
    </xf>
    <xf numFmtId="0" fontId="8" fillId="0" borderId="10" xfId="58" applyFont="1" applyBorder="1" applyAlignment="1" applyProtection="1">
      <alignment horizontal="center" vertical="center" wrapText="1"/>
      <protection locked="0"/>
    </xf>
    <xf numFmtId="1" fontId="8" fillId="0" borderId="10" xfId="57" applyNumberFormat="1" applyFont="1" applyBorder="1" applyAlignment="1" applyProtection="1">
      <alignment horizontal="center" vertical="center" wrapText="1"/>
      <protection locked="0"/>
    </xf>
    <xf numFmtId="0" fontId="1" fillId="0" borderId="0" xfId="59" applyFont="1" applyBorder="1" applyAlignment="1">
      <alignment horizontal="center" vertical="center"/>
      <protection/>
    </xf>
    <xf numFmtId="2" fontId="5" fillId="0" borderId="0" xfId="57" applyNumberFormat="1" applyFont="1" applyAlignment="1" applyProtection="1">
      <alignment horizontal="center" vertical="center"/>
      <protection hidden="1"/>
    </xf>
    <xf numFmtId="0" fontId="1" fillId="0" borderId="0" xfId="0" applyFont="1" applyBorder="1" applyAlignment="1" applyProtection="1">
      <alignment horizontal="center" vertical="center" wrapText="1"/>
      <protection locked="0"/>
    </xf>
    <xf numFmtId="2" fontId="69" fillId="0" borderId="0" xfId="57" applyNumberFormat="1" applyFont="1" applyFill="1" applyAlignment="1" applyProtection="1">
      <alignment horizontal="center"/>
      <protection/>
    </xf>
    <xf numFmtId="0" fontId="69" fillId="0" borderId="0" xfId="57" applyFont="1" applyFill="1" applyAlignment="1" applyProtection="1">
      <alignment horizontal="center"/>
      <protection/>
    </xf>
    <xf numFmtId="14" fontId="69" fillId="0" borderId="0" xfId="57" applyNumberFormat="1" applyFont="1" applyFill="1" applyProtection="1">
      <alignment/>
      <protection/>
    </xf>
    <xf numFmtId="1" fontId="69" fillId="0" borderId="0" xfId="57" applyNumberFormat="1" applyFont="1" applyBorder="1" applyAlignment="1" applyProtection="1">
      <alignment horizontal="center"/>
      <protection hidden="1"/>
    </xf>
    <xf numFmtId="49" fontId="69" fillId="0" borderId="0" xfId="57" applyNumberFormat="1" applyFont="1" applyBorder="1" applyAlignment="1" applyProtection="1">
      <alignment horizontal="center"/>
      <protection locked="0"/>
    </xf>
    <xf numFmtId="1" fontId="69" fillId="0" borderId="0" xfId="57" applyNumberFormat="1" applyFont="1" applyBorder="1" applyAlignment="1" applyProtection="1">
      <alignment horizontal="center"/>
      <protection locked="0"/>
    </xf>
    <xf numFmtId="49" fontId="1" fillId="0" borderId="0" xfId="57" applyNumberFormat="1" applyFont="1" applyBorder="1" applyAlignment="1" applyProtection="1">
      <alignment horizontal="center"/>
      <protection locked="0"/>
    </xf>
    <xf numFmtId="1" fontId="1" fillId="0" borderId="0" xfId="57" applyNumberFormat="1" applyFont="1" applyBorder="1" applyAlignment="1" applyProtection="1">
      <alignment horizontal="center"/>
      <protection locked="0"/>
    </xf>
    <xf numFmtId="187" fontId="69" fillId="0" borderId="0" xfId="57" applyNumberFormat="1" applyFont="1" applyFill="1" applyBorder="1" applyAlignment="1" applyProtection="1">
      <alignment horizontal="center"/>
      <protection locked="0"/>
    </xf>
    <xf numFmtId="1" fontId="69" fillId="0" borderId="0" xfId="57" applyNumberFormat="1" applyFont="1" applyFill="1" applyBorder="1" applyAlignment="1" applyProtection="1">
      <alignment horizontal="center"/>
      <protection locked="0"/>
    </xf>
    <xf numFmtId="2" fontId="69" fillId="0" borderId="0" xfId="57" applyNumberFormat="1" applyFont="1" applyFill="1" applyBorder="1" applyAlignment="1" applyProtection="1">
      <alignment horizontal="center"/>
      <protection locked="0"/>
    </xf>
    <xf numFmtId="187" fontId="1" fillId="0" borderId="0" xfId="57" applyNumberFormat="1" applyFont="1" applyFill="1" applyBorder="1" applyAlignment="1" applyProtection="1">
      <alignment horizontal="center"/>
      <protection locked="0"/>
    </xf>
    <xf numFmtId="1" fontId="1" fillId="0" borderId="0" xfId="57" applyNumberFormat="1" applyFont="1" applyFill="1" applyBorder="1" applyAlignment="1" applyProtection="1">
      <alignment horizontal="center"/>
      <protection locked="0"/>
    </xf>
    <xf numFmtId="2" fontId="1" fillId="0" borderId="0" xfId="57" applyNumberFormat="1" applyFont="1" applyFill="1" applyBorder="1" applyAlignment="1" applyProtection="1">
      <alignment horizontal="center"/>
      <protection locked="0"/>
    </xf>
    <xf numFmtId="0" fontId="1" fillId="0" borderId="0" xfId="57" applyFont="1" applyFill="1" applyAlignment="1" applyProtection="1">
      <alignment horizontal="center"/>
      <protection locked="0"/>
    </xf>
    <xf numFmtId="0" fontId="1"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2" fillId="0" borderId="0" xfId="0" applyFont="1" applyAlignment="1">
      <alignment vertical="center"/>
    </xf>
    <xf numFmtId="0" fontId="9" fillId="0" borderId="0" xfId="0" applyFont="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Border="1" applyAlignment="1">
      <alignment vertical="top"/>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1" fillId="0" borderId="0" xfId="0" applyFont="1" applyAlignment="1">
      <alignment vertical="center"/>
    </xf>
    <xf numFmtId="0" fontId="1" fillId="0" borderId="0" xfId="0" applyFont="1" applyAlignment="1" applyProtection="1">
      <alignment horizontal="center" vertical="center"/>
      <protection hidden="1"/>
    </xf>
    <xf numFmtId="0" fontId="1" fillId="0" borderId="0" xfId="0" applyFont="1" applyAlignment="1">
      <alignment horizontal="center" vertical="center"/>
    </xf>
    <xf numFmtId="0" fontId="1"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1" fillId="0" borderId="0" xfId="0" applyNumberFormat="1" applyFont="1" applyAlignment="1">
      <alignment vertical="center"/>
    </xf>
    <xf numFmtId="0" fontId="1" fillId="0" borderId="0" xfId="0" applyFont="1" applyBorder="1" applyAlignment="1">
      <alignment horizontal="left" vertical="center" wrapText="1"/>
    </xf>
    <xf numFmtId="49" fontId="1" fillId="0" borderId="0" xfId="0" applyNumberFormat="1" applyFont="1" applyBorder="1" applyAlignment="1">
      <alignment horizontal="left" vertical="center"/>
    </xf>
    <xf numFmtId="0" fontId="5" fillId="0" borderId="0" xfId="0" applyFont="1" applyAlignment="1">
      <alignment horizontal="right"/>
    </xf>
    <xf numFmtId="0" fontId="5" fillId="0" borderId="0" xfId="0" applyFont="1" applyBorder="1" applyAlignment="1">
      <alignment horizontal="right"/>
    </xf>
    <xf numFmtId="49" fontId="69" fillId="0" borderId="0" xfId="57" applyNumberFormat="1"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1" fillId="0" borderId="0" xfId="57" applyFont="1" applyAlignment="1" applyProtection="1">
      <alignment horizontal="left"/>
      <protection hidden="1"/>
    </xf>
    <xf numFmtId="0" fontId="1" fillId="0" borderId="0" xfId="57" applyNumberFormat="1" applyFont="1" applyFill="1" applyBorder="1" applyAlignment="1" applyProtection="1">
      <alignment horizontal="center" vertical="center"/>
      <protection/>
    </xf>
    <xf numFmtId="0" fontId="15" fillId="6" borderId="10" xfId="59" applyFont="1" applyFill="1" applyBorder="1" applyAlignment="1" applyProtection="1">
      <alignment horizontal="center" vertical="center" wrapText="1"/>
      <protection hidden="1"/>
    </xf>
    <xf numFmtId="4" fontId="5" fillId="6" borderId="10" xfId="57" applyNumberFormat="1" applyFont="1" applyFill="1" applyBorder="1" applyAlignment="1" applyProtection="1">
      <alignment horizontal="center" vertical="center"/>
      <protection hidden="1"/>
    </xf>
    <xf numFmtId="0" fontId="8" fillId="0" borderId="10" xfId="57" applyFont="1" applyBorder="1" applyAlignment="1" applyProtection="1">
      <alignment horizontal="center" vertical="center" wrapText="1"/>
      <protection locked="0"/>
    </xf>
    <xf numFmtId="0" fontId="8" fillId="0" borderId="10" xfId="59" applyFont="1" applyBorder="1" applyAlignment="1" applyProtection="1">
      <alignment horizontal="center" vertical="center"/>
      <protection locked="0"/>
    </xf>
    <xf numFmtId="1" fontId="8" fillId="0" borderId="10" xfId="59" applyNumberFormat="1" applyFont="1" applyBorder="1" applyAlignment="1" applyProtection="1">
      <alignment horizontal="center" vertical="center"/>
      <protection locked="0"/>
    </xf>
    <xf numFmtId="0" fontId="5" fillId="0" borderId="0" xfId="59" applyFont="1" applyBorder="1" applyAlignment="1">
      <alignment horizontal="right" vertical="center"/>
      <protection/>
    </xf>
    <xf numFmtId="0" fontId="8" fillId="0" borderId="0" xfId="0" applyFont="1" applyAlignment="1" applyProtection="1">
      <alignment horizontal="left"/>
      <protection locked="0"/>
    </xf>
    <xf numFmtId="4" fontId="15" fillId="0" borderId="0" xfId="0" applyNumberFormat="1" applyFont="1" applyAlignment="1" applyProtection="1">
      <alignment vertical="center"/>
      <protection hidden="1"/>
    </xf>
    <xf numFmtId="49" fontId="8" fillId="0" borderId="0" xfId="0" applyNumberFormat="1" applyFont="1" applyAlignment="1" applyProtection="1">
      <alignment vertical="center"/>
      <protection locked="0"/>
    </xf>
    <xf numFmtId="0" fontId="8" fillId="0" borderId="0" xfId="0" applyFont="1" applyAlignment="1" applyProtection="1">
      <alignment horizontal="center"/>
      <protection locked="0"/>
    </xf>
    <xf numFmtId="0" fontId="8" fillId="0" borderId="0" xfId="0" applyNumberFormat="1" applyFont="1" applyAlignment="1" applyProtection="1">
      <alignment horizontal="left"/>
      <protection locked="0"/>
    </xf>
    <xf numFmtId="0" fontId="15" fillId="0" borderId="0" xfId="0" applyFont="1" applyAlignment="1" applyProtection="1">
      <alignment/>
      <protection locked="0"/>
    </xf>
    <xf numFmtId="0" fontId="8" fillId="0" borderId="0" xfId="0" applyFont="1" applyAlignment="1" applyProtection="1">
      <alignment/>
      <protection locked="0"/>
    </xf>
    <xf numFmtId="189" fontId="15" fillId="0" borderId="0" xfId="0" applyNumberFormat="1" applyFont="1" applyAlignment="1" applyProtection="1">
      <alignment horizontal="center"/>
      <protection locked="0"/>
    </xf>
    <xf numFmtId="0" fontId="8"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center" vertical="center"/>
      <protection hidden="1"/>
    </xf>
    <xf numFmtId="0" fontId="8" fillId="33" borderId="10" xfId="0" applyFont="1" applyFill="1" applyBorder="1" applyAlignment="1" applyProtection="1">
      <alignment horizontal="center" vertical="center"/>
      <protection locked="0"/>
    </xf>
    <xf numFmtId="2" fontId="8" fillId="33" borderId="10" xfId="0" applyNumberFormat="1" applyFont="1" applyFill="1" applyBorder="1" applyAlignment="1" applyProtection="1">
      <alignment horizontal="center" vertical="center"/>
      <protection hidden="1"/>
    </xf>
    <xf numFmtId="1" fontId="8" fillId="0" borderId="10" xfId="0" applyNumberFormat="1" applyFont="1" applyBorder="1" applyAlignment="1" applyProtection="1">
      <alignment horizontal="center" vertical="center"/>
      <protection locked="0"/>
    </xf>
    <xf numFmtId="1" fontId="8" fillId="0" borderId="10" xfId="0" applyNumberFormat="1" applyFont="1" applyBorder="1" applyAlignment="1" applyProtection="1">
      <alignment horizontal="center" vertical="center"/>
      <protection hidden="1"/>
    </xf>
    <xf numFmtId="0" fontId="8" fillId="0" borderId="10" xfId="0" applyFont="1" applyBorder="1" applyAlignment="1" applyProtection="1">
      <alignment horizontal="center" wrapText="1"/>
      <protection locked="0"/>
    </xf>
    <xf numFmtId="49" fontId="8" fillId="0" borderId="10" xfId="0" applyNumberFormat="1" applyFont="1" applyBorder="1" applyAlignment="1" applyProtection="1">
      <alignment horizontal="center" wrapText="1"/>
      <protection locked="0"/>
    </xf>
    <xf numFmtId="0" fontId="8" fillId="0" borderId="10" xfId="0" applyFont="1" applyBorder="1" applyAlignment="1" applyProtection="1">
      <alignment wrapText="1"/>
      <protection locked="0"/>
    </xf>
    <xf numFmtId="0" fontId="8" fillId="0" borderId="10" xfId="0" applyFont="1" applyBorder="1" applyAlignment="1" applyProtection="1">
      <alignment horizontal="center"/>
      <protection hidden="1"/>
    </xf>
    <xf numFmtId="2" fontId="8" fillId="33" borderId="10" xfId="0" applyNumberFormat="1" applyFont="1" applyFill="1" applyBorder="1" applyAlignment="1" applyProtection="1">
      <alignment horizontal="center"/>
      <protection hidden="1"/>
    </xf>
    <xf numFmtId="1" fontId="8" fillId="0" borderId="10" xfId="0" applyNumberFormat="1" applyFont="1" applyBorder="1" applyAlignment="1" applyProtection="1">
      <alignment horizontal="center"/>
      <protection locked="0"/>
    </xf>
    <xf numFmtId="1" fontId="8" fillId="0" borderId="10" xfId="0" applyNumberFormat="1" applyFont="1" applyBorder="1" applyAlignment="1" applyProtection="1">
      <alignment horizontal="center"/>
      <protection hidden="1"/>
    </xf>
    <xf numFmtId="0" fontId="15" fillId="0" borderId="10" xfId="0" applyNumberFormat="1" applyFont="1" applyBorder="1" applyAlignment="1" applyProtection="1">
      <alignment horizontal="center" wrapText="1"/>
      <protection hidden="1"/>
    </xf>
    <xf numFmtId="0" fontId="15" fillId="0" borderId="10" xfId="0" applyNumberFormat="1" applyFont="1" applyBorder="1" applyAlignment="1" applyProtection="1">
      <alignment horizontal="center"/>
      <protection hidden="1"/>
    </xf>
    <xf numFmtId="0" fontId="15" fillId="33" borderId="10" xfId="0" applyNumberFormat="1" applyFont="1" applyFill="1" applyBorder="1" applyAlignment="1" applyProtection="1">
      <alignment horizontal="center"/>
      <protection hidden="1"/>
    </xf>
    <xf numFmtId="2" fontId="15" fillId="33" borderId="10" xfId="0" applyNumberFormat="1" applyFont="1" applyFill="1" applyBorder="1" applyAlignment="1" applyProtection="1">
      <alignment horizontal="center"/>
      <protection hidden="1"/>
    </xf>
    <xf numFmtId="1" fontId="15" fillId="0" borderId="10" xfId="0" applyNumberFormat="1" applyFont="1" applyBorder="1" applyAlignment="1" applyProtection="1">
      <alignment horizontal="center"/>
      <protection hidden="1"/>
    </xf>
    <xf numFmtId="1" fontId="15" fillId="33" borderId="10" xfId="0" applyNumberFormat="1" applyFont="1" applyFill="1" applyBorder="1" applyAlignment="1" applyProtection="1">
      <alignment horizontal="center"/>
      <protection hidden="1"/>
    </xf>
    <xf numFmtId="49" fontId="8" fillId="0" borderId="10" xfId="0" applyNumberFormat="1" applyFont="1" applyBorder="1" applyAlignment="1" applyProtection="1">
      <alignment horizontal="left"/>
      <protection locked="0"/>
    </xf>
    <xf numFmtId="0" fontId="8" fillId="0" borderId="10" xfId="0" applyNumberFormat="1" applyFont="1" applyBorder="1" applyAlignment="1" applyProtection="1">
      <alignment horizontal="center"/>
      <protection locked="0"/>
    </xf>
    <xf numFmtId="49" fontId="8" fillId="0" borderId="10" xfId="0" applyNumberFormat="1" applyFont="1" applyBorder="1" applyAlignment="1" applyProtection="1">
      <alignment horizontal="center"/>
      <protection locked="0"/>
    </xf>
    <xf numFmtId="0" fontId="8" fillId="0" borderId="10" xfId="0" applyNumberFormat="1" applyFont="1" applyBorder="1" applyAlignment="1" applyProtection="1">
      <alignment horizontal="center" vertical="center"/>
      <protection hidden="1"/>
    </xf>
    <xf numFmtId="1" fontId="8" fillId="33" borderId="10" xfId="0" applyNumberFormat="1" applyFont="1" applyFill="1" applyBorder="1" applyAlignment="1" applyProtection="1">
      <alignment horizontal="center" vertical="center"/>
      <protection locked="0"/>
    </xf>
    <xf numFmtId="0" fontId="8" fillId="0" borderId="10" xfId="0" applyFont="1" applyBorder="1" applyAlignment="1" applyProtection="1">
      <alignment horizontal="center" vertical="top" wrapText="1"/>
      <protection locked="0"/>
    </xf>
    <xf numFmtId="49" fontId="8" fillId="0" borderId="10" xfId="0" applyNumberFormat="1" applyFont="1" applyBorder="1" applyAlignment="1" applyProtection="1">
      <alignment horizontal="center" vertical="top" wrapText="1"/>
      <protection locked="0"/>
    </xf>
    <xf numFmtId="0" fontId="8" fillId="0" borderId="10" xfId="0" applyFont="1" applyBorder="1" applyAlignment="1" applyProtection="1">
      <alignment vertical="top" wrapText="1"/>
      <protection locked="0"/>
    </xf>
    <xf numFmtId="1" fontId="8" fillId="33" borderId="10" xfId="0" applyNumberFormat="1" applyFont="1" applyFill="1" applyBorder="1" applyAlignment="1" applyProtection="1">
      <alignment horizontal="center"/>
      <protection locked="0"/>
    </xf>
    <xf numFmtId="0" fontId="15" fillId="0" borderId="10" xfId="0" applyNumberFormat="1" applyFont="1" applyBorder="1" applyAlignment="1" applyProtection="1">
      <alignment horizontal="center" vertical="center"/>
      <protection hidden="1"/>
    </xf>
    <xf numFmtId="0" fontId="8" fillId="0" borderId="0" xfId="0" applyFont="1" applyBorder="1" applyAlignment="1" applyProtection="1">
      <alignment vertical="center"/>
      <protection locked="0"/>
    </xf>
    <xf numFmtId="0" fontId="8" fillId="0" borderId="11"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8" fillId="0" borderId="11" xfId="0" applyFont="1" applyBorder="1" applyAlignment="1" applyProtection="1">
      <alignment horizontal="center"/>
      <protection locked="0"/>
    </xf>
    <xf numFmtId="0" fontId="8" fillId="0" borderId="11" xfId="0" applyFont="1" applyBorder="1" applyAlignment="1" applyProtection="1">
      <alignment horizontal="center"/>
      <protection hidden="1"/>
    </xf>
    <xf numFmtId="1" fontId="8" fillId="33" borderId="11" xfId="0" applyNumberFormat="1" applyFont="1" applyFill="1" applyBorder="1" applyAlignment="1" applyProtection="1">
      <alignment horizontal="center"/>
      <protection hidden="1"/>
    </xf>
    <xf numFmtId="187" fontId="8" fillId="33" borderId="11" xfId="0" applyNumberFormat="1" applyFont="1" applyFill="1" applyBorder="1" applyAlignment="1" applyProtection="1">
      <alignment horizontal="center"/>
      <protection hidden="1"/>
    </xf>
    <xf numFmtId="1" fontId="8" fillId="0" borderId="11" xfId="0" applyNumberFormat="1" applyFont="1" applyBorder="1" applyAlignment="1" applyProtection="1">
      <alignment horizontal="center"/>
      <protection hidden="1"/>
    </xf>
    <xf numFmtId="0" fontId="15" fillId="0" borderId="11" xfId="0" applyFont="1" applyBorder="1" applyAlignment="1" applyProtection="1">
      <alignment horizontal="center"/>
      <protection locked="0"/>
    </xf>
    <xf numFmtId="0" fontId="15" fillId="0" borderId="11" xfId="0" applyNumberFormat="1" applyFont="1" applyBorder="1" applyAlignment="1" applyProtection="1">
      <alignment horizontal="center"/>
      <protection hidden="1"/>
    </xf>
    <xf numFmtId="1" fontId="15" fillId="33" borderId="11" xfId="0" applyNumberFormat="1" applyFont="1" applyFill="1" applyBorder="1" applyAlignment="1" applyProtection="1">
      <alignment horizontal="center"/>
      <protection hidden="1"/>
    </xf>
    <xf numFmtId="2" fontId="15" fillId="33" borderId="11" xfId="0" applyNumberFormat="1" applyFont="1" applyFill="1" applyBorder="1" applyAlignment="1" applyProtection="1">
      <alignment horizontal="center"/>
      <protection hidden="1"/>
    </xf>
    <xf numFmtId="1" fontId="15" fillId="0" borderId="11" xfId="0" applyNumberFormat="1" applyFont="1" applyBorder="1" applyAlignment="1" applyProtection="1">
      <alignment horizontal="center"/>
      <protection hidden="1"/>
    </xf>
    <xf numFmtId="0" fontId="17" fillId="0" borderId="0" xfId="0" applyFont="1" applyAlignment="1" applyProtection="1">
      <alignment/>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182" fontId="8" fillId="0" borderId="0" xfId="0" applyNumberFormat="1" applyFont="1" applyAlignment="1" applyProtection="1">
      <alignment horizontal="center" vertical="center"/>
      <protection hidden="1"/>
    </xf>
    <xf numFmtId="182" fontId="8" fillId="0" borderId="0" xfId="0" applyNumberFormat="1" applyFont="1" applyAlignment="1" applyProtection="1">
      <alignment horizontal="center"/>
      <protection locked="0"/>
    </xf>
    <xf numFmtId="49" fontId="8" fillId="0" borderId="0" xfId="0" applyNumberFormat="1" applyFont="1" applyFill="1" applyBorder="1" applyAlignment="1" applyProtection="1">
      <alignment horizontal="left"/>
      <protection locked="0"/>
    </xf>
    <xf numFmtId="0" fontId="15" fillId="0" borderId="0" xfId="0" applyNumberFormat="1" applyFont="1" applyFill="1" applyBorder="1" applyAlignment="1" applyProtection="1">
      <alignment horizontal="left"/>
      <protection hidden="1"/>
    </xf>
    <xf numFmtId="0" fontId="8" fillId="0" borderId="0" xfId="0" applyFont="1" applyAlignment="1" applyProtection="1">
      <alignment horizontal="center" vertical="center" wrapText="1"/>
      <protection locked="0"/>
    </xf>
    <xf numFmtId="0" fontId="15" fillId="0" borderId="0" xfId="0" applyNumberFormat="1" applyFont="1" applyAlignment="1" applyProtection="1">
      <alignment horizontal="left"/>
      <protection hidden="1"/>
    </xf>
    <xf numFmtId="0" fontId="1" fillId="0" borderId="0" xfId="57" applyFont="1" applyAlignment="1" applyProtection="1">
      <alignment horizontal="right"/>
      <protection hidden="1"/>
    </xf>
    <xf numFmtId="0" fontId="5" fillId="0" borderId="0" xfId="57" applyFont="1" applyAlignment="1" applyProtection="1">
      <alignment horizontal="center"/>
      <protection hidden="1"/>
    </xf>
    <xf numFmtId="0" fontId="5" fillId="0" borderId="0" xfId="57" applyFont="1" applyFill="1" applyBorder="1" applyAlignment="1" applyProtection="1">
      <alignment horizontal="center"/>
      <protection hidden="1"/>
    </xf>
    <xf numFmtId="0" fontId="8" fillId="0" borderId="0" xfId="0" applyNumberFormat="1" applyFont="1" applyAlignment="1" applyProtection="1">
      <alignment horizontal="center" vertical="center"/>
      <protection hidden="1"/>
    </xf>
    <xf numFmtId="49" fontId="8" fillId="0" borderId="12" xfId="0" applyNumberFormat="1" applyFont="1" applyFill="1" applyBorder="1" applyAlignment="1" applyProtection="1">
      <alignment horizontal="left"/>
      <protection locked="0"/>
    </xf>
    <xf numFmtId="0" fontId="0" fillId="0" borderId="0" xfId="0" applyAlignment="1" applyProtection="1">
      <alignment/>
      <protection/>
    </xf>
    <xf numFmtId="0" fontId="9" fillId="0" borderId="0" xfId="0" applyFont="1" applyAlignment="1" applyProtection="1">
      <alignment vertical="center"/>
      <protection/>
    </xf>
    <xf numFmtId="0" fontId="9" fillId="0" borderId="0" xfId="0" applyFont="1" applyAlignment="1" applyProtection="1">
      <alignment/>
      <protection/>
    </xf>
    <xf numFmtId="0" fontId="0" fillId="0" borderId="0" xfId="0" applyAlignment="1" applyProtection="1">
      <alignment/>
      <protection hidden="1"/>
    </xf>
    <xf numFmtId="0" fontId="9" fillId="0" borderId="0" xfId="0" applyFont="1" applyAlignment="1" applyProtection="1" quotePrefix="1">
      <alignment horizontal="center" vertical="center"/>
      <protection/>
    </xf>
    <xf numFmtId="182" fontId="9" fillId="0" borderId="0" xfId="0" applyNumberFormat="1" applyFont="1" applyAlignment="1" applyProtection="1">
      <alignment horizontal="left"/>
      <protection hidden="1"/>
    </xf>
    <xf numFmtId="0" fontId="18" fillId="0" borderId="0" xfId="0" applyFont="1" applyAlignment="1">
      <alignment vertical="center"/>
    </xf>
    <xf numFmtId="0" fontId="18" fillId="0" borderId="0" xfId="0" applyFont="1" applyAlignment="1">
      <alignment horizontal="left" vertical="center" indent="12"/>
    </xf>
    <xf numFmtId="0" fontId="0" fillId="0" borderId="0" xfId="0" applyAlignment="1">
      <alignment horizontal="center" vertical="center"/>
    </xf>
    <xf numFmtId="0" fontId="18" fillId="0" borderId="0" xfId="0" applyFont="1" applyAlignment="1">
      <alignment horizontal="left" vertical="center"/>
    </xf>
    <xf numFmtId="0" fontId="18" fillId="0" borderId="0" xfId="0" applyNumberFormat="1" applyFont="1" applyAlignment="1" applyProtection="1">
      <alignment horizontal="left" vertical="center"/>
      <protection hidden="1"/>
    </xf>
    <xf numFmtId="0" fontId="18" fillId="0" borderId="0" xfId="0" applyFont="1" applyAlignment="1" applyProtection="1">
      <alignment horizontal="center"/>
      <protection hidden="1"/>
    </xf>
    <xf numFmtId="0" fontId="18" fillId="0" borderId="0" xfId="0" applyFont="1" applyAlignment="1" applyProtection="1">
      <alignment horizontal="left" vertical="center"/>
      <protection hidden="1"/>
    </xf>
    <xf numFmtId="0" fontId="1" fillId="0" borderId="0" xfId="57" applyFont="1" applyAlignment="1" applyProtection="1">
      <alignment horizontal="left" vertical="center"/>
      <protection hidden="1"/>
    </xf>
    <xf numFmtId="1" fontId="69" fillId="0" borderId="10" xfId="57" applyNumberFormat="1" applyFont="1" applyBorder="1" applyAlignment="1" applyProtection="1">
      <alignment horizontal="center"/>
      <protection hidden="1" locked="0"/>
    </xf>
    <xf numFmtId="0" fontId="69" fillId="0" borderId="10" xfId="57" applyNumberFormat="1" applyFont="1" applyFill="1" applyBorder="1" applyAlignment="1" applyProtection="1">
      <alignment horizontal="center" vertical="center"/>
      <protection hidden="1" locked="0"/>
    </xf>
    <xf numFmtId="49" fontId="69" fillId="0" borderId="10" xfId="57" applyNumberFormat="1" applyFont="1" applyFill="1" applyBorder="1" applyAlignment="1" applyProtection="1">
      <alignment horizontal="center" vertical="center"/>
      <protection hidden="1" locked="0"/>
    </xf>
    <xf numFmtId="194" fontId="69" fillId="0" borderId="10" xfId="57" applyNumberFormat="1" applyFont="1" applyBorder="1" applyAlignment="1" applyProtection="1">
      <alignment horizontal="center"/>
      <protection hidden="1" locked="0"/>
    </xf>
    <xf numFmtId="1" fontId="69" fillId="0" borderId="10" xfId="57" applyNumberFormat="1" applyFont="1" applyFill="1" applyBorder="1" applyAlignment="1" applyProtection="1">
      <alignment horizontal="center"/>
      <protection hidden="1" locked="0"/>
    </xf>
    <xf numFmtId="194" fontId="69" fillId="0" borderId="10" xfId="57" applyNumberFormat="1" applyFont="1" applyFill="1" applyBorder="1" applyAlignment="1" applyProtection="1">
      <alignment horizontal="center"/>
      <protection hidden="1" locked="0"/>
    </xf>
    <xf numFmtId="0" fontId="69" fillId="0" borderId="10" xfId="57" applyFont="1" applyFill="1" applyBorder="1" applyAlignment="1" applyProtection="1">
      <alignment horizontal="center"/>
      <protection hidden="1" locked="0"/>
    </xf>
    <xf numFmtId="187" fontId="69" fillId="0" borderId="10" xfId="57" applyNumberFormat="1" applyFont="1" applyFill="1" applyBorder="1" applyAlignment="1" applyProtection="1">
      <alignment horizontal="center"/>
      <protection hidden="1" locked="0"/>
    </xf>
    <xf numFmtId="0" fontId="5" fillId="0" borderId="10"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49" fontId="1" fillId="0" borderId="10" xfId="0" applyNumberFormat="1" applyFont="1" applyBorder="1" applyAlignment="1" applyProtection="1">
      <alignment horizontal="left" vertical="center"/>
      <protection locked="0"/>
    </xf>
    <xf numFmtId="1" fontId="1" fillId="0" borderId="10" xfId="0" applyNumberFormat="1" applyFont="1" applyBorder="1" applyAlignment="1" applyProtection="1">
      <alignment horizontal="left" vertical="center"/>
      <protection locked="0"/>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2" fontId="69" fillId="0" borderId="10" xfId="57" applyNumberFormat="1" applyFont="1" applyBorder="1" applyAlignment="1" applyProtection="1">
      <alignment horizontal="center"/>
      <protection hidden="1"/>
    </xf>
    <xf numFmtId="0" fontId="69" fillId="0" borderId="10" xfId="57" applyNumberFormat="1" applyFont="1" applyBorder="1" applyAlignment="1" applyProtection="1">
      <alignment horizontal="center"/>
      <protection hidden="1" locked="0"/>
    </xf>
    <xf numFmtId="1" fontId="69" fillId="0" borderId="0" xfId="57" applyNumberFormat="1" applyFont="1" applyFill="1" applyAlignment="1" applyProtection="1">
      <alignment horizontal="center"/>
      <protection/>
    </xf>
    <xf numFmtId="0" fontId="69" fillId="0" borderId="0" xfId="57" applyNumberFormat="1" applyFont="1" applyBorder="1" applyAlignment="1" applyProtection="1">
      <alignment horizontal="center"/>
      <protection hidden="1" locked="0"/>
    </xf>
    <xf numFmtId="0" fontId="69" fillId="0" borderId="0" xfId="57" applyFont="1" applyFill="1" applyBorder="1" applyAlignment="1" applyProtection="1">
      <alignment horizontal="center"/>
      <protection hidden="1" locked="0"/>
    </xf>
    <xf numFmtId="1" fontId="69" fillId="0" borderId="0" xfId="57" applyNumberFormat="1" applyFont="1" applyFill="1" applyBorder="1" applyAlignment="1" applyProtection="1">
      <alignment horizontal="center"/>
      <protection hidden="1" locked="0"/>
    </xf>
    <xf numFmtId="1" fontId="69" fillId="0" borderId="0" xfId="57" applyNumberFormat="1" applyFont="1" applyBorder="1" applyAlignment="1" applyProtection="1">
      <alignment horizontal="center"/>
      <protection hidden="1" locked="0"/>
    </xf>
    <xf numFmtId="49" fontId="69" fillId="0" borderId="0" xfId="57" applyNumberFormat="1" applyFont="1" applyFill="1" applyBorder="1" applyAlignment="1" applyProtection="1">
      <alignment horizontal="center" vertical="center"/>
      <protection hidden="1" locked="0"/>
    </xf>
    <xf numFmtId="194" fontId="69" fillId="0" borderId="0" xfId="57" applyNumberFormat="1" applyFont="1" applyFill="1" applyBorder="1" applyAlignment="1" applyProtection="1">
      <alignment horizontal="center"/>
      <protection hidden="1" locked="0"/>
    </xf>
    <xf numFmtId="2" fontId="69" fillId="0" borderId="0" xfId="57" applyNumberFormat="1" applyFont="1" applyBorder="1" applyAlignment="1" applyProtection="1">
      <alignment horizontal="center"/>
      <protection hidden="1"/>
    </xf>
    <xf numFmtId="2" fontId="70" fillId="0" borderId="0" xfId="57" applyNumberFormat="1" applyFont="1" applyFill="1" applyBorder="1" applyAlignment="1" applyProtection="1">
      <alignment horizontal="center"/>
      <protection hidden="1"/>
    </xf>
    <xf numFmtId="1" fontId="70" fillId="0" borderId="0" xfId="57" applyNumberFormat="1" applyFont="1" applyBorder="1" applyAlignment="1" applyProtection="1">
      <alignment horizontal="center"/>
      <protection hidden="1"/>
    </xf>
    <xf numFmtId="49" fontId="70" fillId="0" borderId="0" xfId="57" applyNumberFormat="1" applyFont="1" applyBorder="1" applyAlignment="1" applyProtection="1">
      <alignment horizontal="center"/>
      <protection locked="0"/>
    </xf>
    <xf numFmtId="187" fontId="70" fillId="0" borderId="0" xfId="57" applyNumberFormat="1" applyFont="1" applyFill="1" applyBorder="1" applyAlignment="1" applyProtection="1">
      <alignment horizontal="center"/>
      <protection locked="0"/>
    </xf>
    <xf numFmtId="1" fontId="69" fillId="0" borderId="10" xfId="57" applyNumberFormat="1" applyFont="1" applyBorder="1" applyAlignment="1" applyProtection="1">
      <alignment horizontal="center"/>
      <protection hidden="1"/>
    </xf>
    <xf numFmtId="0" fontId="1" fillId="0" borderId="13"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5" fillId="0" borderId="0" xfId="57" applyFont="1" applyAlignment="1" applyProtection="1">
      <alignment horizontal="left"/>
      <protection hidden="1"/>
    </xf>
    <xf numFmtId="0" fontId="1" fillId="0" borderId="10" xfId="0" applyFont="1" applyFill="1" applyBorder="1" applyAlignment="1" applyProtection="1">
      <alignment horizontal="center" vertical="center" wrapText="1"/>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wrapText="1"/>
      <protection hidden="1"/>
    </xf>
    <xf numFmtId="0" fontId="1" fillId="0" borderId="0" xfId="57" applyFont="1" applyBorder="1" applyAlignment="1" applyProtection="1">
      <alignment horizontal="center" vertical="center" wrapText="1"/>
      <protection hidden="1"/>
    </xf>
    <xf numFmtId="0" fontId="1" fillId="0" borderId="0" xfId="57" applyFont="1" applyFill="1" applyBorder="1" applyAlignment="1" applyProtection="1">
      <alignment horizontal="center"/>
      <protection hidden="1"/>
    </xf>
    <xf numFmtId="0" fontId="1" fillId="0" borderId="0" xfId="0" applyFont="1" applyAlignment="1" applyProtection="1">
      <alignment/>
      <protection hidden="1"/>
    </xf>
    <xf numFmtId="0" fontId="70" fillId="0" borderId="10" xfId="0" applyFont="1" applyFill="1" applyBorder="1" applyAlignment="1" applyProtection="1">
      <alignment horizontal="center" vertical="center" wrapText="1"/>
      <protection hidden="1"/>
    </xf>
    <xf numFmtId="2" fontId="1" fillId="0" borderId="10" xfId="0" applyNumberFormat="1"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10" xfId="0" applyFont="1" applyFill="1" applyBorder="1" applyAlignment="1" applyProtection="1">
      <alignment horizontal="left" vertical="center" wrapText="1"/>
      <protection/>
    </xf>
    <xf numFmtId="49" fontId="19" fillId="0" borderId="10" xfId="53" applyNumberFormat="1" applyFont="1" applyBorder="1" applyAlignment="1" applyProtection="1">
      <alignment horizontal="left" vertical="center"/>
      <protection locked="0"/>
    </xf>
    <xf numFmtId="49" fontId="1" fillId="0" borderId="11" xfId="0" applyNumberFormat="1" applyFont="1" applyFill="1" applyBorder="1" applyAlignment="1" applyProtection="1">
      <alignment horizontal="left" vertical="center" wrapText="1"/>
      <protection locked="0"/>
    </xf>
    <xf numFmtId="0" fontId="1" fillId="0" borderId="11" xfId="0" applyNumberFormat="1" applyFont="1" applyFill="1" applyBorder="1" applyAlignment="1" applyProtection="1">
      <alignment horizontal="left" vertical="center" wrapText="1"/>
      <protection locked="0"/>
    </xf>
    <xf numFmtId="0" fontId="0" fillId="32" borderId="0" xfId="0" applyFill="1" applyAlignment="1" applyProtection="1">
      <alignment/>
      <protection locked="0"/>
    </xf>
    <xf numFmtId="2" fontId="5" fillId="0" borderId="10" xfId="0" applyNumberFormat="1" applyFont="1" applyBorder="1" applyAlignment="1" applyProtection="1">
      <alignment horizontal="center"/>
      <protection hidden="1"/>
    </xf>
    <xf numFmtId="0" fontId="71" fillId="0" borderId="0" xfId="0" applyFont="1" applyAlignment="1">
      <alignment/>
    </xf>
    <xf numFmtId="0" fontId="71" fillId="0" borderId="0" xfId="0" applyFont="1" applyAlignment="1">
      <alignment horizontal="center"/>
    </xf>
    <xf numFmtId="0" fontId="1" fillId="0" borderId="0" xfId="57" applyFont="1" applyAlignment="1">
      <alignment vertical="center"/>
      <protection/>
    </xf>
    <xf numFmtId="0" fontId="1" fillId="0" borderId="0" xfId="57" applyFont="1" applyFill="1" applyAlignment="1">
      <alignment horizontal="center"/>
      <protection/>
    </xf>
    <xf numFmtId="0" fontId="1" fillId="0" borderId="0" xfId="57" applyFont="1" applyAlignment="1" applyProtection="1">
      <alignment horizontal="right" vertical="center"/>
      <protection hidden="1"/>
    </xf>
    <xf numFmtId="0" fontId="5" fillId="0" borderId="0" xfId="57" applyFont="1" applyAlignment="1" applyProtection="1">
      <alignment horizontal="left" vertical="center"/>
      <protection hidden="1"/>
    </xf>
    <xf numFmtId="49" fontId="69" fillId="0" borderId="10" xfId="57" applyNumberFormat="1" applyFont="1" applyBorder="1" applyAlignment="1" applyProtection="1">
      <alignment horizontal="center" vertical="center"/>
      <protection hidden="1" locked="0"/>
    </xf>
    <xf numFmtId="0" fontId="72" fillId="0" borderId="10" xfId="0" applyFont="1" applyBorder="1" applyAlignment="1" applyProtection="1">
      <alignment horizontal="center" vertical="top" wrapText="1"/>
      <protection locked="0"/>
    </xf>
    <xf numFmtId="0" fontId="69" fillId="0" borderId="10" xfId="0" applyFont="1" applyBorder="1" applyAlignment="1" applyProtection="1">
      <alignment horizontal="center"/>
      <protection locked="0"/>
    </xf>
    <xf numFmtId="1" fontId="69" fillId="0" borderId="10" xfId="0" applyNumberFormat="1" applyFont="1" applyBorder="1" applyAlignment="1" applyProtection="1">
      <alignment horizontal="center"/>
      <protection locked="0"/>
    </xf>
    <xf numFmtId="0" fontId="69" fillId="0" borderId="10" xfId="0" applyFont="1" applyBorder="1" applyAlignment="1" applyProtection="1">
      <alignment horizontal="center" vertical="top" wrapText="1"/>
      <protection locked="0"/>
    </xf>
    <xf numFmtId="0" fontId="1" fillId="0" borderId="0" xfId="57" applyFont="1" applyAlignment="1">
      <alignment horizontal="right" vertical="center"/>
      <protection/>
    </xf>
    <xf numFmtId="0" fontId="71" fillId="0" borderId="0" xfId="0" applyFont="1" applyAlignment="1">
      <alignment horizontal="center" vertical="center"/>
    </xf>
    <xf numFmtId="2" fontId="70" fillId="0" borderId="0" xfId="57" applyNumberFormat="1" applyFont="1" applyFill="1" applyAlignment="1">
      <alignment horizontal="center" vertical="center"/>
      <protection/>
    </xf>
    <xf numFmtId="14" fontId="5" fillId="0" borderId="0" xfId="0" applyNumberFormat="1" applyFont="1" applyAlignment="1" applyProtection="1">
      <alignment horizontal="center"/>
      <protection locked="0"/>
    </xf>
    <xf numFmtId="14" fontId="5" fillId="0" borderId="0" xfId="57" applyNumberFormat="1" applyFont="1" applyAlignment="1" applyProtection="1">
      <alignment horizontal="center"/>
      <protection locked="0"/>
    </xf>
    <xf numFmtId="14" fontId="5" fillId="0" borderId="0" xfId="0" applyNumberFormat="1" applyFont="1" applyAlignment="1" applyProtection="1">
      <alignment horizontal="center" vertical="center"/>
      <protection locked="0"/>
    </xf>
    <xf numFmtId="14" fontId="15" fillId="0" borderId="0" xfId="0" applyNumberFormat="1" applyFont="1" applyAlignment="1" applyProtection="1">
      <alignment horizontal="center"/>
      <protection locked="0"/>
    </xf>
    <xf numFmtId="14" fontId="20" fillId="0" borderId="0" xfId="0" applyNumberFormat="1" applyFont="1" applyAlignment="1" applyProtection="1">
      <alignment horizontal="center"/>
      <protection locked="0"/>
    </xf>
    <xf numFmtId="0" fontId="1" fillId="0" borderId="10" xfId="59" applyFont="1" applyBorder="1" applyAlignment="1" applyProtection="1">
      <alignment horizontal="center" vertical="center" wrapText="1"/>
      <protection hidden="1"/>
    </xf>
    <xf numFmtId="0" fontId="1" fillId="0" borderId="0" xfId="57" applyFont="1" applyFill="1">
      <alignment/>
      <protection/>
    </xf>
    <xf numFmtId="0" fontId="1" fillId="0" borderId="0" xfId="57" applyFont="1" applyFill="1" applyAlignment="1">
      <alignment vertical="center"/>
      <protection/>
    </xf>
    <xf numFmtId="0" fontId="70" fillId="0" borderId="0" xfId="57" applyFont="1" applyFill="1" applyAlignment="1">
      <alignment horizontal="center"/>
      <protection/>
    </xf>
    <xf numFmtId="1" fontId="1" fillId="0" borderId="0" xfId="57" applyNumberFormat="1" applyFont="1" applyFill="1" applyBorder="1" applyAlignment="1">
      <alignment horizontal="center" vertical="center"/>
      <protection/>
    </xf>
    <xf numFmtId="4" fontId="5" fillId="0" borderId="0" xfId="57" applyNumberFormat="1" applyFont="1" applyFill="1" applyBorder="1" applyAlignment="1" applyProtection="1">
      <alignment horizontal="center" vertical="center"/>
      <protection hidden="1"/>
    </xf>
    <xf numFmtId="2" fontId="73" fillId="0" borderId="0" xfId="57" applyNumberFormat="1" applyFont="1" applyFill="1" applyAlignment="1">
      <alignment horizontal="center" vertical="center"/>
      <protection/>
    </xf>
    <xf numFmtId="2" fontId="5" fillId="0" borderId="0" xfId="57" applyNumberFormat="1" applyFont="1" applyFill="1" applyAlignment="1" applyProtection="1">
      <alignment horizontal="center" vertical="center"/>
      <protection hidden="1"/>
    </xf>
    <xf numFmtId="2" fontId="5" fillId="0" borderId="0" xfId="57" applyNumberFormat="1" applyFont="1" applyFill="1" applyAlignment="1">
      <alignment horizontal="center" vertical="center"/>
      <protection/>
    </xf>
    <xf numFmtId="0" fontId="8" fillId="0" borderId="0" xfId="57" applyFont="1" applyFill="1" applyAlignment="1">
      <alignment horizontal="center"/>
      <protection/>
    </xf>
    <xf numFmtId="0" fontId="8" fillId="0" borderId="0" xfId="57" applyFont="1" applyFill="1">
      <alignment/>
      <protection/>
    </xf>
    <xf numFmtId="0" fontId="5" fillId="0" borderId="0" xfId="59" applyFont="1" applyFill="1" applyAlignment="1">
      <alignment horizontal="center"/>
      <protection/>
    </xf>
    <xf numFmtId="0" fontId="5" fillId="0" borderId="0" xfId="59" applyFont="1" applyFill="1" applyAlignment="1">
      <alignment horizontal="left"/>
      <protection/>
    </xf>
    <xf numFmtId="0" fontId="74" fillId="0" borderId="15" xfId="0" applyFont="1" applyBorder="1" applyAlignment="1" applyProtection="1">
      <alignment horizontal="center" vertical="center"/>
      <protection locked="0"/>
    </xf>
    <xf numFmtId="0" fontId="1" fillId="0" borderId="16" xfId="57" applyFont="1" applyBorder="1" applyAlignment="1" applyProtection="1">
      <alignment horizontal="center" vertical="center" wrapText="1"/>
      <protection locked="0"/>
    </xf>
    <xf numFmtId="0" fontId="1" fillId="0" borderId="16" xfId="57" applyFont="1" applyBorder="1" applyAlignment="1" applyProtection="1">
      <alignment horizontal="center" vertical="center"/>
      <protection locked="0"/>
    </xf>
    <xf numFmtId="0" fontId="1" fillId="2" borderId="16" xfId="57" applyFont="1" applyFill="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1" fillId="0" borderId="10" xfId="57" applyFont="1" applyBorder="1" applyAlignment="1" applyProtection="1">
      <alignment horizontal="center" vertical="center" wrapText="1"/>
      <protection hidden="1"/>
    </xf>
    <xf numFmtId="0" fontId="1" fillId="0" borderId="0" xfId="59" applyFont="1" applyFill="1" applyBorder="1" applyAlignment="1">
      <alignment vertical="center" wrapText="1"/>
      <protection/>
    </xf>
    <xf numFmtId="0" fontId="8" fillId="0" borderId="10" xfId="59" applyFont="1" applyBorder="1" applyAlignment="1" applyProtection="1">
      <alignment horizontal="center" vertical="center"/>
      <protection/>
    </xf>
    <xf numFmtId="49" fontId="8" fillId="0" borderId="10" xfId="59" applyNumberFormat="1" applyFont="1" applyBorder="1" applyAlignment="1" applyProtection="1" quotePrefix="1">
      <alignment horizontal="center" vertical="center" wrapText="1"/>
      <protection/>
    </xf>
    <xf numFmtId="0" fontId="15" fillId="0" borderId="10" xfId="0" applyFont="1" applyBorder="1" applyAlignment="1" applyProtection="1">
      <alignment vertical="center" wrapText="1"/>
      <protection locked="0"/>
    </xf>
    <xf numFmtId="0" fontId="20" fillId="0" borderId="0" xfId="0" applyFont="1" applyAlignment="1">
      <alignment horizontal="center"/>
    </xf>
    <xf numFmtId="193" fontId="1" fillId="0" borderId="10" xfId="0" applyNumberFormat="1" applyFont="1" applyBorder="1" applyAlignment="1" applyProtection="1">
      <alignment horizontal="left" vertical="center"/>
      <protection locked="0"/>
    </xf>
    <xf numFmtId="193" fontId="1" fillId="0" borderId="0" xfId="0" applyNumberFormat="1" applyFont="1" applyAlignment="1" applyProtection="1">
      <alignment vertical="center"/>
      <protection hidden="1"/>
    </xf>
    <xf numFmtId="0" fontId="21" fillId="0" borderId="0" xfId="57" applyFont="1" applyAlignment="1">
      <alignment horizontal="center" vertical="center"/>
      <protection/>
    </xf>
    <xf numFmtId="14" fontId="74" fillId="0" borderId="15" xfId="0" applyNumberFormat="1" applyFont="1" applyBorder="1" applyAlignment="1" applyProtection="1">
      <alignment horizontal="center" vertical="center"/>
      <protection locked="0"/>
    </xf>
    <xf numFmtId="0" fontId="21" fillId="0" borderId="16" xfId="0" applyFont="1" applyBorder="1" applyAlignment="1" applyProtection="1">
      <alignment horizontal="center" vertical="center" wrapText="1"/>
      <protection locked="0"/>
    </xf>
    <xf numFmtId="0" fontId="74" fillId="0" borderId="10"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49" fontId="74" fillId="0" borderId="10" xfId="0" applyNumberFormat="1" applyFont="1" applyBorder="1" applyAlignment="1" applyProtection="1">
      <alignment horizontal="center" vertical="center" wrapText="1"/>
      <protection locked="0"/>
    </xf>
    <xf numFmtId="0" fontId="15" fillId="0" borderId="0" xfId="0" applyFont="1" applyAlignment="1" applyProtection="1">
      <alignment vertical="center"/>
      <protection/>
    </xf>
    <xf numFmtId="0" fontId="15" fillId="0" borderId="0" xfId="0" applyFont="1" applyAlignment="1" applyProtection="1">
      <alignment/>
      <protection/>
    </xf>
    <xf numFmtId="0" fontId="21" fillId="0" borderId="0" xfId="57" applyFont="1" applyAlignment="1" applyProtection="1">
      <alignment horizontal="left" vertical="center"/>
      <protection hidden="1"/>
    </xf>
    <xf numFmtId="0" fontId="21" fillId="0" borderId="0" xfId="0" applyFont="1" applyAlignment="1">
      <alignment/>
    </xf>
    <xf numFmtId="0" fontId="21" fillId="0" borderId="0" xfId="57" applyFont="1" applyBorder="1" applyAlignment="1" applyProtection="1">
      <alignment vertical="center" wrapText="1"/>
      <protection hidden="1"/>
    </xf>
    <xf numFmtId="0" fontId="21" fillId="0" borderId="0" xfId="0" applyFont="1" applyAlignment="1">
      <alignment vertical="center"/>
    </xf>
    <xf numFmtId="0" fontId="21" fillId="0" borderId="0" xfId="57" applyFont="1" applyAlignment="1" applyProtection="1">
      <alignment horizontal="right" vertical="center"/>
      <protection hidden="1"/>
    </xf>
    <xf numFmtId="0" fontId="22" fillId="0" borderId="0" xfId="57" applyFont="1" applyAlignment="1" applyProtection="1">
      <alignment horizontal="left" vertical="center"/>
      <protection hidden="1"/>
    </xf>
    <xf numFmtId="14" fontId="22" fillId="0" borderId="0" xfId="57" applyNumberFormat="1" applyFont="1" applyAlignment="1" applyProtection="1">
      <alignment horizontal="center"/>
      <protection locked="0"/>
    </xf>
    <xf numFmtId="0" fontId="21" fillId="0" borderId="17" xfId="0" applyFont="1" applyBorder="1" applyAlignment="1" applyProtection="1">
      <alignment horizontal="center" vertical="center" wrapText="1"/>
      <protection hidden="1"/>
    </xf>
    <xf numFmtId="0" fontId="21" fillId="0" borderId="18" xfId="59" applyFont="1" applyBorder="1" applyAlignment="1">
      <alignment horizontal="center" vertical="center"/>
      <protection/>
    </xf>
    <xf numFmtId="0" fontId="21" fillId="0" borderId="18" xfId="59" applyFont="1" applyFill="1" applyBorder="1" applyAlignment="1">
      <alignment horizontal="center" vertical="center" wrapText="1"/>
      <protection/>
    </xf>
    <xf numFmtId="0" fontId="21" fillId="0" borderId="0" xfId="0" applyFont="1" applyAlignment="1">
      <alignment horizontal="center" vertical="center"/>
    </xf>
    <xf numFmtId="0" fontId="22" fillId="0" borderId="10" xfId="0" applyFont="1" applyFill="1" applyBorder="1" applyAlignment="1" applyProtection="1">
      <alignment horizontal="center" vertical="center"/>
      <protection hidden="1"/>
    </xf>
    <xf numFmtId="0" fontId="22" fillId="0" borderId="0" xfId="0" applyFont="1" applyFill="1" applyAlignment="1">
      <alignment horizontal="center" vertical="center"/>
    </xf>
    <xf numFmtId="0" fontId="22" fillId="0" borderId="0" xfId="0" applyFont="1" applyAlignment="1" applyProtection="1">
      <alignment horizontal="center" vertical="center"/>
      <protection hidden="1"/>
    </xf>
    <xf numFmtId="0" fontId="21" fillId="32" borderId="0" xfId="0" applyFont="1" applyFill="1" applyBorder="1" applyAlignment="1">
      <alignment/>
    </xf>
    <xf numFmtId="0" fontId="22" fillId="0" borderId="0" xfId="0" applyFont="1" applyFill="1" applyBorder="1" applyAlignment="1">
      <alignment vertical="center"/>
    </xf>
    <xf numFmtId="0" fontId="22" fillId="0" borderId="0" xfId="0" applyFont="1" applyFill="1" applyAlignment="1">
      <alignment vertical="center"/>
    </xf>
    <xf numFmtId="0" fontId="21" fillId="0" borderId="0" xfId="0" applyFont="1" applyAlignment="1">
      <alignment horizontal="center"/>
    </xf>
    <xf numFmtId="0" fontId="21" fillId="32" borderId="0" xfId="0" applyFont="1" applyFill="1" applyAlignment="1">
      <alignment/>
    </xf>
    <xf numFmtId="49" fontId="21" fillId="0" borderId="0" xfId="57" applyNumberFormat="1" applyFont="1" applyBorder="1" applyAlignment="1" applyProtection="1">
      <alignment horizontal="left"/>
      <protection hidden="1"/>
    </xf>
    <xf numFmtId="0" fontId="21" fillId="0" borderId="0" xfId="0" applyFont="1" applyAlignment="1">
      <alignment horizontal="left"/>
    </xf>
    <xf numFmtId="0" fontId="21" fillId="0" borderId="0" xfId="57" applyNumberFormat="1" applyFont="1" applyBorder="1" applyAlignment="1" applyProtection="1">
      <alignment horizontal="left"/>
      <protection hidden="1"/>
    </xf>
    <xf numFmtId="0" fontId="1" fillId="0" borderId="10" xfId="59" applyFont="1" applyFill="1" applyBorder="1" applyAlignment="1" applyProtection="1">
      <alignment horizontal="center" vertical="center"/>
      <protection locked="0"/>
    </xf>
    <xf numFmtId="1" fontId="1" fillId="0" borderId="10" xfId="59" applyNumberFormat="1" applyFont="1" applyFill="1" applyBorder="1" applyAlignment="1" applyProtection="1">
      <alignment horizontal="center" vertical="center"/>
      <protection locked="0"/>
    </xf>
    <xf numFmtId="0" fontId="69" fillId="0" borderId="0" xfId="57" applyNumberFormat="1" applyFont="1" applyBorder="1" applyAlignment="1" applyProtection="1">
      <alignment horizontal="center"/>
      <protection hidden="1"/>
    </xf>
    <xf numFmtId="0" fontId="8" fillId="0" borderId="10" xfId="59" applyFont="1" applyFill="1" applyBorder="1" applyAlignment="1" applyProtection="1">
      <alignment horizontal="center" vertical="center" wrapText="1"/>
      <protection/>
    </xf>
    <xf numFmtId="0" fontId="74" fillId="0" borderId="15" xfId="0" applyFont="1" applyBorder="1" applyAlignment="1" applyProtection="1">
      <alignment horizontal="center" vertical="center" wrapText="1"/>
      <protection locked="0"/>
    </xf>
    <xf numFmtId="0" fontId="74" fillId="0" borderId="0" xfId="0" applyFont="1" applyBorder="1" applyAlignment="1" applyProtection="1">
      <alignment horizontal="center" vertical="center" wrapText="1"/>
      <protection locked="0"/>
    </xf>
    <xf numFmtId="1" fontId="75" fillId="0" borderId="0" xfId="0" applyNumberFormat="1" applyFont="1" applyBorder="1" applyAlignment="1" applyProtection="1">
      <alignment horizontal="center" vertical="center" wrapText="1"/>
      <protection locked="0"/>
    </xf>
    <xf numFmtId="193" fontId="74" fillId="0" borderId="0" xfId="0" applyNumberFormat="1" applyFont="1" applyBorder="1" applyAlignment="1" applyProtection="1">
      <alignment horizontal="center" vertical="center" wrapText="1"/>
      <protection locked="0"/>
    </xf>
    <xf numFmtId="49" fontId="74" fillId="0" borderId="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protection/>
    </xf>
    <xf numFmtId="0" fontId="21" fillId="0" borderId="10" xfId="0" applyFont="1" applyBorder="1" applyAlignment="1" applyProtection="1">
      <alignment horizontal="center" vertical="center" wrapText="1"/>
      <protection/>
    </xf>
    <xf numFmtId="0" fontId="23" fillId="0" borderId="10" xfId="0" applyFont="1" applyFill="1" applyBorder="1" applyAlignment="1" applyProtection="1">
      <alignment horizontal="left" vertical="justify" wrapText="1"/>
      <protection/>
    </xf>
    <xf numFmtId="0" fontId="23" fillId="0" borderId="10" xfId="0" applyFont="1" applyBorder="1" applyAlignment="1" applyProtection="1">
      <alignment horizontal="center" vertical="center" wrapText="1"/>
      <protection/>
    </xf>
    <xf numFmtId="0" fontId="23" fillId="0" borderId="10" xfId="0" applyFont="1" applyFill="1" applyBorder="1" applyAlignment="1" applyProtection="1">
      <alignment horizontal="left" vertical="center" wrapText="1"/>
      <protection/>
    </xf>
    <xf numFmtId="0" fontId="23" fillId="0" borderId="10" xfId="0" applyFont="1" applyFill="1" applyBorder="1" applyAlignment="1" applyProtection="1">
      <alignment horizontal="center" vertical="center" wrapText="1"/>
      <protection/>
    </xf>
    <xf numFmtId="0" fontId="21" fillId="0" borderId="10" xfId="0" applyFont="1" applyFill="1" applyBorder="1" applyAlignment="1" applyProtection="1">
      <alignment horizontal="left" vertical="center" wrapText="1"/>
      <protection/>
    </xf>
    <xf numFmtId="0" fontId="22" fillId="0" borderId="19" xfId="0" applyFont="1" applyBorder="1" applyAlignment="1" applyProtection="1">
      <alignment horizontal="center" vertical="center"/>
      <protection/>
    </xf>
    <xf numFmtId="49" fontId="22" fillId="0" borderId="19" xfId="0" applyNumberFormat="1" applyFont="1" applyBorder="1" applyAlignment="1" applyProtection="1">
      <alignment horizontal="center" vertical="center"/>
      <protection/>
    </xf>
    <xf numFmtId="49" fontId="22" fillId="32" borderId="10" xfId="0" applyNumberFormat="1" applyFont="1" applyFill="1" applyBorder="1" applyAlignment="1" applyProtection="1">
      <alignment horizontal="center" vertical="center"/>
      <protection/>
    </xf>
    <xf numFmtId="49" fontId="22" fillId="0" borderId="10" xfId="0" applyNumberFormat="1" applyFont="1" applyFill="1" applyBorder="1" applyAlignment="1" applyProtection="1">
      <alignment horizontal="center" vertical="center"/>
      <protection/>
    </xf>
    <xf numFmtId="0" fontId="21" fillId="0" borderId="10" xfId="0" applyFont="1" applyBorder="1" applyAlignment="1" applyProtection="1">
      <alignment horizontal="center" vertical="center"/>
      <protection locked="0"/>
    </xf>
    <xf numFmtId="1" fontId="22" fillId="0" borderId="10" xfId="0" applyNumberFormat="1" applyFont="1" applyFill="1" applyBorder="1" applyAlignment="1" applyProtection="1">
      <alignment horizontal="center" vertical="center"/>
      <protection locked="0"/>
    </xf>
    <xf numFmtId="0" fontId="21" fillId="0" borderId="0" xfId="57" applyFont="1" applyBorder="1" applyAlignment="1" applyProtection="1">
      <alignment horizontal="center" vertical="center" wrapText="1"/>
      <protection/>
    </xf>
    <xf numFmtId="0" fontId="21" fillId="0" borderId="0" xfId="57" applyFont="1" applyAlignment="1" applyProtection="1">
      <alignment horizontal="center" vertical="center"/>
      <protection/>
    </xf>
    <xf numFmtId="0" fontId="21" fillId="0" borderId="0" xfId="57" applyFont="1" applyFill="1" applyBorder="1" applyAlignment="1" applyProtection="1">
      <alignment horizontal="center" vertical="center"/>
      <protection/>
    </xf>
    <xf numFmtId="49" fontId="21" fillId="0" borderId="0" xfId="57" applyNumberFormat="1" applyFont="1" applyBorder="1" applyAlignment="1" applyProtection="1">
      <alignment horizontal="center" vertical="center" wrapText="1"/>
      <protection locked="0"/>
    </xf>
    <xf numFmtId="49" fontId="21" fillId="0" borderId="0" xfId="57" applyNumberFormat="1" applyFont="1" applyBorder="1" applyAlignment="1" applyProtection="1">
      <alignment horizontal="center" vertical="center"/>
      <protection locked="0"/>
    </xf>
    <xf numFmtId="0" fontId="75" fillId="0" borderId="0" xfId="0" applyFont="1" applyAlignment="1" applyProtection="1">
      <alignment/>
      <protection locked="0"/>
    </xf>
    <xf numFmtId="0" fontId="75" fillId="0" borderId="0" xfId="0" applyFont="1" applyAlignment="1" applyProtection="1">
      <alignment horizontal="center"/>
      <protection locked="0"/>
    </xf>
    <xf numFmtId="0" fontId="75" fillId="0" borderId="0" xfId="0" applyFont="1" applyAlignment="1" applyProtection="1">
      <alignment horizontal="left"/>
      <protection locked="0"/>
    </xf>
    <xf numFmtId="0" fontId="76" fillId="0" borderId="0" xfId="0" applyFont="1" applyAlignment="1" applyProtection="1">
      <alignment horizontal="left"/>
      <protection locked="0"/>
    </xf>
    <xf numFmtId="0" fontId="77" fillId="0" borderId="0" xfId="0" applyFont="1" applyAlignment="1" applyProtection="1">
      <alignment horizontal="center" vertical="center"/>
      <protection locked="0"/>
    </xf>
    <xf numFmtId="0" fontId="77" fillId="0" borderId="0" xfId="0" applyFont="1" applyAlignment="1" applyProtection="1">
      <alignment horizontal="right" vertical="center"/>
      <protection locked="0"/>
    </xf>
    <xf numFmtId="0" fontId="77" fillId="0" borderId="0" xfId="0" applyFont="1" applyAlignment="1" applyProtection="1">
      <alignment horizontal="left" vertical="center"/>
      <protection locked="0"/>
    </xf>
    <xf numFmtId="49" fontId="74" fillId="0" borderId="15" xfId="0" applyNumberFormat="1" applyFont="1" applyBorder="1" applyAlignment="1" applyProtection="1">
      <alignment horizontal="center" vertical="center" wrapText="1"/>
      <protection locked="0"/>
    </xf>
    <xf numFmtId="0" fontId="75" fillId="0" borderId="0" xfId="0" applyFont="1" applyAlignment="1" applyProtection="1">
      <alignment horizontal="center" wrapText="1"/>
      <protection locked="0"/>
    </xf>
    <xf numFmtId="0" fontId="77" fillId="0" borderId="0" xfId="0" applyFont="1" applyAlignment="1" applyProtection="1">
      <alignment/>
      <protection locked="0"/>
    </xf>
    <xf numFmtId="0" fontId="77" fillId="0" borderId="0"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protection locked="0"/>
    </xf>
    <xf numFmtId="0" fontId="21" fillId="2" borderId="10" xfId="0" applyFont="1" applyFill="1" applyBorder="1" applyAlignment="1" applyProtection="1">
      <alignment horizontal="center" vertical="center" wrapText="1"/>
      <protection locked="0"/>
    </xf>
    <xf numFmtId="49" fontId="74" fillId="0" borderId="15" xfId="0" applyNumberFormat="1" applyFont="1" applyBorder="1" applyAlignment="1" applyProtection="1">
      <alignment horizontal="center" vertical="center"/>
      <protection locked="0"/>
    </xf>
    <xf numFmtId="0" fontId="74" fillId="0" borderId="0" xfId="0" applyFont="1" applyBorder="1" applyAlignment="1" applyProtection="1">
      <alignment vertical="center"/>
      <protection locked="0"/>
    </xf>
    <xf numFmtId="0" fontId="77" fillId="0" borderId="0" xfId="0" applyFont="1" applyBorder="1" applyAlignment="1" applyProtection="1">
      <alignment vertical="center"/>
      <protection locked="0"/>
    </xf>
    <xf numFmtId="0" fontId="75" fillId="0" borderId="0" xfId="0" applyFont="1" applyAlignment="1" applyProtection="1">
      <alignment horizontal="center" vertical="center"/>
      <protection locked="0"/>
    </xf>
    <xf numFmtId="0" fontId="78" fillId="0" borderId="0" xfId="0" applyFont="1" applyBorder="1" applyAlignment="1" applyProtection="1">
      <alignment vertical="center"/>
      <protection locked="0"/>
    </xf>
    <xf numFmtId="0" fontId="79" fillId="0" borderId="0" xfId="0" applyFont="1" applyBorder="1" applyAlignment="1" applyProtection="1">
      <alignment vertical="center"/>
      <protection locked="0"/>
    </xf>
    <xf numFmtId="0" fontId="80" fillId="0" borderId="0" xfId="0" applyFont="1" applyAlignment="1" applyProtection="1">
      <alignment/>
      <protection locked="0"/>
    </xf>
    <xf numFmtId="0" fontId="80" fillId="0" borderId="0" xfId="0" applyFont="1" applyAlignment="1" applyProtection="1">
      <alignment horizontal="center" vertical="center"/>
      <protection locked="0"/>
    </xf>
    <xf numFmtId="0" fontId="1" fillId="0" borderId="0" xfId="0" applyFont="1" applyAlignment="1" applyProtection="1">
      <alignment/>
      <protection locked="0"/>
    </xf>
    <xf numFmtId="14" fontId="74" fillId="0" borderId="15" xfId="0"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1" fillId="0" borderId="0" xfId="57" applyNumberFormat="1" applyFont="1" applyFill="1" applyBorder="1" applyAlignment="1" applyProtection="1">
      <alignment horizontal="center" vertical="center" wrapText="1"/>
      <protection locked="0"/>
    </xf>
    <xf numFmtId="1" fontId="1" fillId="0" borderId="0" xfId="57" applyNumberFormat="1" applyFont="1" applyBorder="1" applyAlignment="1" applyProtection="1">
      <alignment horizontal="center" vertical="center" wrapText="1"/>
      <protection locked="0"/>
    </xf>
    <xf numFmtId="1" fontId="21" fillId="0" borderId="0" xfId="57" applyNumberFormat="1" applyFont="1" applyBorder="1" applyAlignment="1" applyProtection="1">
      <alignment horizontal="center" vertical="center" wrapText="1"/>
      <protection locked="0"/>
    </xf>
    <xf numFmtId="14" fontId="74" fillId="0" borderId="0" xfId="0" applyNumberFormat="1" applyFont="1" applyBorder="1" applyAlignment="1" applyProtection="1">
      <alignment horizontal="center" vertical="center" wrapText="1"/>
      <protection locked="0"/>
    </xf>
    <xf numFmtId="49" fontId="74" fillId="0" borderId="0" xfId="0" applyNumberFormat="1" applyFont="1" applyBorder="1" applyAlignment="1" applyProtection="1">
      <alignment horizontal="center" vertical="center"/>
      <protection locked="0"/>
    </xf>
    <xf numFmtId="0" fontId="74" fillId="0" borderId="0" xfId="0" applyFont="1" applyBorder="1" applyAlignment="1" applyProtection="1">
      <alignment horizontal="center" vertical="center"/>
      <protection locked="0"/>
    </xf>
    <xf numFmtId="14" fontId="74" fillId="0" borderId="0" xfId="0" applyNumberFormat="1" applyFont="1" applyBorder="1" applyAlignment="1" applyProtection="1">
      <alignment horizontal="center" vertical="center"/>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5" fillId="0" borderId="0" xfId="0" applyFont="1" applyBorder="1" applyAlignment="1">
      <alignment horizontal="center"/>
    </xf>
    <xf numFmtId="0" fontId="5" fillId="34" borderId="0" xfId="0" applyFont="1" applyFill="1" applyBorder="1" applyAlignment="1" applyProtection="1">
      <alignment horizontal="center"/>
      <protection locked="0"/>
    </xf>
    <xf numFmtId="0" fontId="1" fillId="0" borderId="10" xfId="0" applyFont="1" applyBorder="1" applyAlignment="1">
      <alignment horizontal="left" vertical="center"/>
    </xf>
    <xf numFmtId="0" fontId="1" fillId="0" borderId="0" xfId="0" applyFont="1" applyBorder="1" applyAlignment="1">
      <alignment horizontal="left" vertical="center"/>
    </xf>
    <xf numFmtId="0" fontId="5" fillId="0" borderId="10" xfId="0" applyFont="1" applyBorder="1" applyAlignment="1">
      <alignment horizontal="center" vertical="center"/>
    </xf>
    <xf numFmtId="0" fontId="1" fillId="6" borderId="10" xfId="59" applyFont="1" applyFill="1" applyBorder="1" applyAlignment="1" applyProtection="1">
      <alignment horizontal="center" vertical="center"/>
      <protection hidden="1"/>
    </xf>
    <xf numFmtId="0" fontId="1" fillId="0" borderId="0" xfId="57" applyFont="1" applyBorder="1" applyAlignment="1" applyProtection="1">
      <alignment horizontal="center" vertical="center" wrapText="1"/>
      <protection hidden="1"/>
    </xf>
    <xf numFmtId="0" fontId="8" fillId="6" borderId="10" xfId="59" applyFont="1" applyFill="1" applyBorder="1" applyAlignment="1" applyProtection="1">
      <alignment horizontal="center" vertical="center" wrapText="1"/>
      <protection hidden="1"/>
    </xf>
    <xf numFmtId="0" fontId="1" fillId="4" borderId="10" xfId="59" applyFont="1" applyFill="1" applyBorder="1" applyAlignment="1" applyProtection="1">
      <alignment horizontal="center" vertical="center" wrapText="1"/>
      <protection hidden="1"/>
    </xf>
    <xf numFmtId="0" fontId="1" fillId="4" borderId="16" xfId="59" applyFont="1" applyFill="1" applyBorder="1" applyAlignment="1" applyProtection="1">
      <alignment horizontal="center" vertical="center"/>
      <protection hidden="1"/>
    </xf>
    <xf numFmtId="0" fontId="1" fillId="4" borderId="15" xfId="59" applyFont="1" applyFill="1" applyBorder="1" applyAlignment="1" applyProtection="1">
      <alignment horizontal="center" vertical="center"/>
      <protection hidden="1"/>
    </xf>
    <xf numFmtId="0" fontId="8" fillId="0" borderId="16" xfId="59" applyFont="1" applyBorder="1" applyAlignment="1" applyProtection="1">
      <alignment horizontal="center" vertical="center" wrapText="1"/>
      <protection/>
    </xf>
    <xf numFmtId="0" fontId="8" fillId="0" borderId="15" xfId="59" applyFont="1" applyBorder="1" applyAlignment="1" applyProtection="1">
      <alignment horizontal="center" vertical="center" wrapText="1"/>
      <protection/>
    </xf>
    <xf numFmtId="0" fontId="8" fillId="0" borderId="16" xfId="59" applyFont="1" applyFill="1" applyBorder="1" applyAlignment="1" applyProtection="1">
      <alignment horizontal="center" vertical="center" wrapText="1"/>
      <protection/>
    </xf>
    <xf numFmtId="0" fontId="8" fillId="0" borderId="15" xfId="59" applyFont="1" applyFill="1" applyBorder="1" applyAlignment="1" applyProtection="1">
      <alignment horizontal="center" vertical="center" wrapText="1"/>
      <protection/>
    </xf>
    <xf numFmtId="0" fontId="8" fillId="0" borderId="10" xfId="59" applyFont="1" applyFill="1" applyBorder="1" applyAlignment="1" applyProtection="1">
      <alignment horizontal="center" vertical="center" wrapText="1"/>
      <protection hidden="1"/>
    </xf>
    <xf numFmtId="0" fontId="1" fillId="4" borderId="16" xfId="59" applyFont="1" applyFill="1" applyBorder="1" applyAlignment="1" applyProtection="1">
      <alignment horizontal="center" vertical="center" wrapText="1"/>
      <protection hidden="1"/>
    </xf>
    <xf numFmtId="0" fontId="1" fillId="4" borderId="15" xfId="59" applyFont="1" applyFill="1" applyBorder="1" applyAlignment="1" applyProtection="1">
      <alignment horizontal="center" vertical="center" wrapText="1"/>
      <protection hidden="1"/>
    </xf>
    <xf numFmtId="0" fontId="1" fillId="0" borderId="20" xfId="59" applyFont="1" applyFill="1" applyBorder="1" applyAlignment="1" applyProtection="1">
      <alignment horizontal="center" vertical="center"/>
      <protection hidden="1"/>
    </xf>
    <xf numFmtId="0" fontId="1" fillId="0" borderId="21" xfId="59" applyFont="1" applyFill="1" applyBorder="1" applyAlignment="1" applyProtection="1">
      <alignment horizontal="center" vertical="center"/>
      <protection hidden="1"/>
    </xf>
    <xf numFmtId="0" fontId="1" fillId="0" borderId="22" xfId="59" applyFont="1" applyFill="1" applyBorder="1" applyAlignment="1" applyProtection="1">
      <alignment horizontal="center" vertical="center"/>
      <protection hidden="1"/>
    </xf>
    <xf numFmtId="0" fontId="1" fillId="0" borderId="23" xfId="59" applyFont="1" applyFill="1" applyBorder="1" applyAlignment="1" applyProtection="1">
      <alignment horizontal="center" vertical="center"/>
      <protection hidden="1"/>
    </xf>
    <xf numFmtId="0" fontId="1" fillId="0" borderId="12" xfId="59" applyFont="1" applyFill="1" applyBorder="1" applyAlignment="1" applyProtection="1">
      <alignment horizontal="center" vertical="center"/>
      <protection hidden="1"/>
    </xf>
    <xf numFmtId="0" fontId="1" fillId="0" borderId="24" xfId="59" applyFont="1" applyFill="1" applyBorder="1" applyAlignment="1" applyProtection="1">
      <alignment horizontal="center" vertical="center"/>
      <protection hidden="1"/>
    </xf>
    <xf numFmtId="0" fontId="15" fillId="0" borderId="10" xfId="0" applyFont="1" applyBorder="1" applyAlignment="1" applyProtection="1">
      <alignment horizontal="right" wrapText="1"/>
      <protection locked="0"/>
    </xf>
    <xf numFmtId="0" fontId="8" fillId="0" borderId="0" xfId="0" applyFont="1" applyBorder="1" applyAlignment="1" applyProtection="1">
      <alignment horizontal="center" vertical="center" wrapText="1"/>
      <protection locked="0"/>
    </xf>
    <xf numFmtId="0" fontId="8" fillId="35" borderId="10" xfId="0" applyFont="1" applyFill="1" applyBorder="1" applyAlignment="1" applyProtection="1">
      <alignment horizontal="center" wrapText="1"/>
      <protection locked="0"/>
    </xf>
    <xf numFmtId="0" fontId="8" fillId="36" borderId="10" xfId="0" applyFont="1" applyFill="1" applyBorder="1" applyAlignment="1" applyProtection="1">
      <alignment horizontal="center" wrapText="1"/>
      <protection locked="0"/>
    </xf>
    <xf numFmtId="2" fontId="5" fillId="0" borderId="0" xfId="0" applyNumberFormat="1" applyFont="1" applyAlignment="1" applyProtection="1">
      <alignment horizontal="center"/>
      <protection locked="0"/>
    </xf>
    <xf numFmtId="0" fontId="8" fillId="35" borderId="10" xfId="0" applyFont="1" applyFill="1" applyBorder="1" applyAlignment="1" applyProtection="1">
      <alignment horizontal="center"/>
      <protection locked="0"/>
    </xf>
    <xf numFmtId="0" fontId="21" fillId="0" borderId="18" xfId="59" applyFont="1" applyBorder="1" applyAlignment="1" applyProtection="1">
      <alignment horizontal="center" vertical="center"/>
      <protection hidden="1"/>
    </xf>
    <xf numFmtId="0" fontId="21" fillId="0" borderId="0" xfId="0" applyFont="1" applyBorder="1" applyAlignment="1">
      <alignment horizontal="center" vertical="center" wrapText="1"/>
    </xf>
    <xf numFmtId="0" fontId="22" fillId="0" borderId="25" xfId="0" applyFont="1" applyBorder="1" applyAlignment="1">
      <alignment horizontal="center"/>
    </xf>
    <xf numFmtId="0" fontId="21" fillId="0" borderId="16" xfId="0" applyFont="1" applyFill="1" applyBorder="1" applyAlignment="1" applyProtection="1">
      <alignment horizontal="left" vertical="center" wrapText="1"/>
      <protection/>
    </xf>
    <xf numFmtId="0" fontId="21" fillId="0" borderId="15" xfId="0" applyFont="1" applyFill="1" applyBorder="1" applyAlignment="1" applyProtection="1">
      <alignment horizontal="left" vertical="center" wrapText="1"/>
      <protection/>
    </xf>
    <xf numFmtId="0" fontId="22" fillId="32" borderId="19" xfId="0" applyFont="1" applyFill="1" applyBorder="1" applyAlignment="1" applyProtection="1">
      <alignment horizontal="center" vertical="center"/>
      <protection/>
    </xf>
    <xf numFmtId="0" fontId="21" fillId="0" borderId="10" xfId="0" applyFont="1" applyFill="1" applyBorder="1" applyAlignment="1" applyProtection="1">
      <alignment horizontal="left" vertical="center" wrapText="1"/>
      <protection/>
    </xf>
    <xf numFmtId="0" fontId="75" fillId="0" borderId="10" xfId="0" applyFont="1" applyBorder="1" applyAlignment="1" applyProtection="1">
      <alignment horizontal="center" vertical="center" wrapText="1"/>
      <protection locked="0"/>
    </xf>
    <xf numFmtId="0" fontId="75" fillId="0" borderId="26" xfId="0" applyFont="1" applyBorder="1" applyAlignment="1" applyProtection="1">
      <alignment horizontal="center" vertical="center" wrapText="1"/>
      <protection locked="0"/>
    </xf>
    <xf numFmtId="0" fontId="74" fillId="2" borderId="10" xfId="0" applyFont="1" applyFill="1" applyBorder="1" applyAlignment="1" applyProtection="1">
      <alignment horizontal="center" vertical="center" wrapText="1"/>
      <protection locked="0"/>
    </xf>
    <xf numFmtId="0" fontId="74" fillId="2" borderId="26" xfId="0" applyFont="1" applyFill="1" applyBorder="1" applyAlignment="1" applyProtection="1">
      <alignment horizontal="center" vertical="center" wrapText="1"/>
      <protection locked="0"/>
    </xf>
    <xf numFmtId="0" fontId="74" fillId="0" borderId="10" xfId="0" applyFont="1" applyBorder="1" applyAlignment="1" applyProtection="1">
      <alignment horizontal="center" vertical="center" wrapText="1"/>
      <protection locked="0"/>
    </xf>
    <xf numFmtId="0" fontId="74" fillId="0" borderId="26" xfId="0" applyFont="1" applyBorder="1" applyAlignment="1" applyProtection="1">
      <alignment horizontal="center" vertical="center" wrapText="1"/>
      <protection locked="0"/>
    </xf>
    <xf numFmtId="0" fontId="75" fillId="2" borderId="18" xfId="0" applyFont="1" applyFill="1" applyBorder="1" applyAlignment="1" applyProtection="1">
      <alignment horizontal="center" vertical="center"/>
      <protection locked="0"/>
    </xf>
    <xf numFmtId="0" fontId="75" fillId="2" borderId="10" xfId="0" applyFont="1" applyFill="1" applyBorder="1" applyAlignment="1" applyProtection="1">
      <alignment horizontal="center" vertical="center"/>
      <protection locked="0"/>
    </xf>
    <xf numFmtId="0" fontId="75" fillId="2" borderId="26" xfId="0" applyFont="1" applyFill="1" applyBorder="1" applyAlignment="1" applyProtection="1">
      <alignment horizontal="center" vertical="center"/>
      <protection locked="0"/>
    </xf>
    <xf numFmtId="0" fontId="74" fillId="0" borderId="18" xfId="0" applyFont="1" applyBorder="1" applyAlignment="1" applyProtection="1">
      <alignment horizontal="center" vertical="center" wrapText="1"/>
      <protection locked="0"/>
    </xf>
    <xf numFmtId="0" fontId="74" fillId="0" borderId="27" xfId="0" applyFont="1" applyBorder="1" applyAlignment="1" applyProtection="1">
      <alignment horizontal="center" vertical="center" wrapText="1"/>
      <protection locked="0"/>
    </xf>
    <xf numFmtId="0" fontId="74" fillId="0" borderId="28" xfId="0" applyFont="1" applyBorder="1" applyAlignment="1" applyProtection="1">
      <alignment horizontal="center" vertical="center" wrapText="1"/>
      <protection locked="0"/>
    </xf>
    <xf numFmtId="0" fontId="74" fillId="0" borderId="29" xfId="0" applyFont="1" applyBorder="1" applyAlignment="1" applyProtection="1">
      <alignment horizontal="center" vertical="center" wrapText="1"/>
      <protection locked="0"/>
    </xf>
    <xf numFmtId="0" fontId="75" fillId="0" borderId="18" xfId="0" applyFont="1" applyBorder="1" applyAlignment="1" applyProtection="1">
      <alignment horizontal="center" vertical="center" wrapText="1"/>
      <protection locked="0"/>
    </xf>
    <xf numFmtId="0" fontId="75" fillId="2" borderId="10" xfId="0" applyFont="1" applyFill="1" applyBorder="1" applyAlignment="1" applyProtection="1">
      <alignment horizontal="center" vertical="center" wrapText="1"/>
      <protection locked="0"/>
    </xf>
    <xf numFmtId="0" fontId="75" fillId="2" borderId="26" xfId="0" applyFont="1" applyFill="1" applyBorder="1" applyAlignment="1" applyProtection="1">
      <alignment horizontal="center" vertical="center" wrapText="1"/>
      <protection locked="0"/>
    </xf>
    <xf numFmtId="0" fontId="74" fillId="0" borderId="15" xfId="0" applyFont="1" applyBorder="1" applyAlignment="1" applyProtection="1">
      <alignment horizontal="center" vertical="center" wrapText="1"/>
      <protection locked="0"/>
    </xf>
    <xf numFmtId="0" fontId="74" fillId="0" borderId="17"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74" fillId="0" borderId="30" xfId="0" applyFont="1" applyBorder="1" applyAlignment="1" applyProtection="1">
      <alignment horizontal="center" vertical="center" wrapText="1"/>
      <protection locked="0"/>
    </xf>
    <xf numFmtId="49" fontId="21" fillId="0" borderId="15" xfId="57" applyNumberFormat="1" applyFont="1" applyBorder="1" applyAlignment="1" applyProtection="1">
      <alignment horizontal="center" vertical="center"/>
      <protection locked="0"/>
    </xf>
    <xf numFmtId="49" fontId="21" fillId="0" borderId="10" xfId="57" applyNumberFormat="1" applyFont="1" applyBorder="1" applyAlignment="1" applyProtection="1">
      <alignment horizontal="center" vertical="center"/>
      <protection locked="0"/>
    </xf>
    <xf numFmtId="1" fontId="75" fillId="0" borderId="15" xfId="0" applyNumberFormat="1" applyFont="1" applyBorder="1" applyAlignment="1" applyProtection="1">
      <alignment horizontal="center" vertical="center" wrapText="1"/>
      <protection locked="0"/>
    </xf>
    <xf numFmtId="1" fontId="75" fillId="0" borderId="10" xfId="0" applyNumberFormat="1" applyFont="1" applyBorder="1" applyAlignment="1" applyProtection="1">
      <alignment horizontal="center" vertical="center" wrapText="1"/>
      <protection locked="0"/>
    </xf>
    <xf numFmtId="193" fontId="74" fillId="0" borderId="15" xfId="0" applyNumberFormat="1" applyFont="1" applyBorder="1" applyAlignment="1" applyProtection="1">
      <alignment horizontal="center" vertical="center" wrapText="1"/>
      <protection locked="0"/>
    </xf>
    <xf numFmtId="193" fontId="74" fillId="0" borderId="10" xfId="0" applyNumberFormat="1" applyFont="1" applyBorder="1" applyAlignment="1" applyProtection="1">
      <alignment horizontal="center" vertical="center" wrapText="1"/>
      <protection locked="0"/>
    </xf>
    <xf numFmtId="49" fontId="21" fillId="0" borderId="15" xfId="57" applyNumberFormat="1" applyFont="1" applyBorder="1" applyAlignment="1" applyProtection="1">
      <alignment horizontal="center" vertical="center" wrapText="1"/>
      <protection locked="0"/>
    </xf>
    <xf numFmtId="49" fontId="21" fillId="0" borderId="10" xfId="57" applyNumberFormat="1" applyFont="1" applyBorder="1" applyAlignment="1" applyProtection="1">
      <alignment horizontal="center" vertical="center" wrapText="1"/>
      <protection locked="0"/>
    </xf>
    <xf numFmtId="49" fontId="74" fillId="0" borderId="15" xfId="0" applyNumberFormat="1" applyFont="1" applyBorder="1" applyAlignment="1" applyProtection="1">
      <alignment horizontal="center" vertical="center" wrapText="1"/>
      <protection locked="0"/>
    </xf>
    <xf numFmtId="49" fontId="74" fillId="0" borderId="10" xfId="0" applyNumberFormat="1"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16"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xf numFmtId="0" fontId="77" fillId="0" borderId="0" xfId="0" applyFont="1" applyAlignment="1" applyProtection="1">
      <alignment horizontal="center" vertical="center"/>
      <protection locked="0"/>
    </xf>
    <xf numFmtId="0" fontId="77" fillId="0" borderId="0"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protection locked="0"/>
    </xf>
    <xf numFmtId="0" fontId="21" fillId="0" borderId="1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14" fontId="74" fillId="0" borderId="16" xfId="0" applyNumberFormat="1" applyFont="1" applyBorder="1" applyAlignment="1" applyProtection="1">
      <alignment horizontal="center" vertical="center"/>
      <protection locked="0"/>
    </xf>
    <xf numFmtId="14" fontId="74" fillId="0" borderId="31" xfId="0" applyNumberFormat="1" applyFont="1" applyBorder="1" applyAlignment="1" applyProtection="1">
      <alignment horizontal="center" vertical="center"/>
      <protection locked="0"/>
    </xf>
    <xf numFmtId="14" fontId="74" fillId="0" borderId="15" xfId="0" applyNumberFormat="1" applyFont="1" applyBorder="1" applyAlignment="1" applyProtection="1">
      <alignment horizontal="center" vertical="center"/>
      <protection locked="0"/>
    </xf>
    <xf numFmtId="0" fontId="21" fillId="0" borderId="31" xfId="0" applyFont="1" applyBorder="1" applyAlignment="1" applyProtection="1">
      <alignment horizontal="center" vertical="center" wrapText="1"/>
      <protection locked="0"/>
    </xf>
    <xf numFmtId="0" fontId="1" fillId="0" borderId="10" xfId="57" applyNumberFormat="1" applyFont="1" applyFill="1" applyBorder="1" applyAlignment="1" applyProtection="1">
      <alignment horizontal="center" vertical="center" wrapText="1"/>
      <protection locked="0"/>
    </xf>
    <xf numFmtId="1" fontId="1" fillId="0" borderId="10" xfId="57" applyNumberFormat="1" applyFont="1" applyBorder="1" applyAlignment="1" applyProtection="1">
      <alignment horizontal="center" vertical="center"/>
      <protection locked="0"/>
    </xf>
    <xf numFmtId="1" fontId="21" fillId="0" borderId="10" xfId="57" applyNumberFormat="1" applyFont="1" applyBorder="1" applyAlignment="1" applyProtection="1">
      <alignment horizontal="center" vertical="center" wrapText="1"/>
      <protection locked="0"/>
    </xf>
    <xf numFmtId="14" fontId="74" fillId="0" borderId="10" xfId="0" applyNumberFormat="1" applyFont="1" applyBorder="1" applyAlignment="1" applyProtection="1">
      <alignment horizontal="center" vertical="center" wrapText="1"/>
      <protection locked="0"/>
    </xf>
    <xf numFmtId="1" fontId="1" fillId="0" borderId="10" xfId="57" applyNumberFormat="1" applyFont="1" applyBorder="1" applyAlignment="1" applyProtection="1">
      <alignment horizontal="center" vertical="center" wrapText="1"/>
      <protection locked="0"/>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NumberFormat="1" applyFont="1" applyBorder="1" applyAlignment="1" applyProtection="1">
      <alignment vertical="center" wrapText="1"/>
      <protection locked="0"/>
    </xf>
    <xf numFmtId="0" fontId="1" fillId="0" borderId="13" xfId="0" applyNumberFormat="1" applyFont="1" applyBorder="1" applyAlignment="1" applyProtection="1">
      <alignment vertical="center" wrapText="1"/>
      <protection locked="0"/>
    </xf>
    <xf numFmtId="0" fontId="1" fillId="0" borderId="14" xfId="0" applyNumberFormat="1" applyFont="1" applyBorder="1" applyAlignment="1" applyProtection="1">
      <alignment vertical="center" wrapText="1"/>
      <protection locked="0"/>
    </xf>
    <xf numFmtId="0" fontId="1" fillId="0" borderId="32" xfId="0" applyNumberFormat="1" applyFont="1" applyBorder="1" applyAlignment="1" applyProtection="1">
      <alignment horizontal="center" vertical="center" wrapText="1"/>
      <protection locked="0"/>
    </xf>
    <xf numFmtId="0" fontId="1" fillId="0" borderId="13" xfId="0" applyNumberFormat="1" applyFont="1" applyBorder="1" applyAlignment="1" applyProtection="1">
      <alignment horizontal="center" vertical="center" wrapText="1"/>
      <protection locked="0"/>
    </xf>
    <xf numFmtId="0" fontId="1" fillId="0" borderId="14" xfId="0" applyNumberFormat="1" applyFont="1" applyBorder="1" applyAlignment="1" applyProtection="1">
      <alignment horizontal="center" vertical="center" wrapText="1"/>
      <protection locked="0"/>
    </xf>
    <xf numFmtId="0" fontId="1" fillId="0" borderId="32" xfId="0" applyFont="1" applyBorder="1" applyAlignment="1">
      <alignment horizontal="center" vertical="center" wrapText="1"/>
    </xf>
    <xf numFmtId="0" fontId="1" fillId="0" borderId="32" xfId="0" applyFont="1" applyBorder="1" applyAlignment="1" applyProtection="1">
      <alignment vertical="center" wrapText="1"/>
      <protection locked="0"/>
    </xf>
    <xf numFmtId="0" fontId="1" fillId="0" borderId="13"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2"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 fillId="0" borderId="14" xfId="0" applyFont="1" applyBorder="1" applyAlignment="1" applyProtection="1">
      <alignment vertical="center" wrapText="1"/>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7" xfId="58"/>
    <cellStyle name="Normal_Sheet1 2" xfId="59"/>
    <cellStyle name="Note" xfId="60"/>
    <cellStyle name="Output" xfId="61"/>
    <cellStyle name="Percent" xfId="62"/>
    <cellStyle name="Title" xfId="63"/>
    <cellStyle name="Total" xfId="64"/>
    <cellStyle name="Warning Text" xfId="65"/>
  </cellStyles>
  <dxfs count="6">
    <dxf>
      <font>
        <color rgb="FF9C0006"/>
      </font>
      <fill>
        <patternFill>
          <bgColor rgb="FFFFC7CE"/>
        </patternFill>
      </fill>
    </dxf>
    <dxf>
      <font>
        <b/>
        <i val="0"/>
      </font>
    </dxf>
    <dxf>
      <font>
        <color rgb="FF9C0006"/>
      </font>
      <fill>
        <patternFill>
          <bgColor rgb="FFFFC7CE"/>
        </patternFill>
      </fill>
    </dxf>
    <dxf>
      <font>
        <b/>
        <i val="0"/>
        <color rgb="FFFF0000"/>
      </font>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P60"/>
  <sheetViews>
    <sheetView zoomScalePageLayoutView="0" workbookViewId="0" topLeftCell="A1">
      <selection activeCell="G28" sqref="G28"/>
    </sheetView>
  </sheetViews>
  <sheetFormatPr defaultColWidth="9.00390625" defaultRowHeight="12.75"/>
  <cols>
    <col min="1" max="1" width="16.8515625" style="98" customWidth="1"/>
    <col min="2" max="2" width="9.00390625" style="98" bestFit="1" customWidth="1"/>
    <col min="3" max="3" width="39.7109375" style="98" customWidth="1"/>
    <col min="4" max="4" width="5.421875" style="98" customWidth="1"/>
    <col min="5" max="40" width="9.00390625" style="98" customWidth="1"/>
    <col min="41" max="41" width="44.7109375" style="98" hidden="1" customWidth="1"/>
    <col min="42" max="42" width="9.00390625" style="98" hidden="1" customWidth="1"/>
    <col min="43" max="16384" width="9.00390625" style="98" customWidth="1"/>
  </cols>
  <sheetData>
    <row r="1" ht="12.75"/>
    <row r="2" spans="1:3" ht="12.75">
      <c r="A2" s="118" t="s">
        <v>341</v>
      </c>
      <c r="B2" s="398" t="s">
        <v>405</v>
      </c>
      <c r="C2" s="398"/>
    </row>
    <row r="3" spans="1:3" ht="7.5" customHeight="1">
      <c r="A3" s="117"/>
      <c r="B3" s="397"/>
      <c r="C3" s="397"/>
    </row>
    <row r="4" spans="1:42" s="108" customFormat="1" ht="15" customHeight="1">
      <c r="A4" s="401" t="s">
        <v>0</v>
      </c>
      <c r="B4" s="401"/>
      <c r="C4" s="220" t="s">
        <v>406</v>
      </c>
      <c r="AP4" s="305">
        <f ca="1">TODAY()+25</f>
        <v>45114</v>
      </c>
    </row>
    <row r="5" spans="1:3" s="108" customFormat="1" ht="15" customHeight="1">
      <c r="A5" s="399" t="s">
        <v>320</v>
      </c>
      <c r="B5" s="399"/>
      <c r="C5" s="221">
        <v>11111111</v>
      </c>
    </row>
    <row r="6" spans="1:41" s="108" customFormat="1" ht="15" customHeight="1">
      <c r="A6" s="394" t="s">
        <v>339</v>
      </c>
      <c r="B6" s="112" t="s">
        <v>321</v>
      </c>
      <c r="C6" s="222" t="s">
        <v>407</v>
      </c>
      <c r="AO6" s="108" t="str">
        <f>CONCATENATE("Loc.",PROPER(C7)," ","Str.",PROPER(C8)," ","Nr.",C9)</f>
        <v>Loc.Constanta Str.Nume Strada Sediu Social Nr.1A</v>
      </c>
    </row>
    <row r="7" spans="1:3" s="108" customFormat="1" ht="15" customHeight="1">
      <c r="A7" s="394"/>
      <c r="B7" s="112" t="s">
        <v>322</v>
      </c>
      <c r="C7" s="222" t="s">
        <v>407</v>
      </c>
    </row>
    <row r="8" spans="1:41" s="108" customFormat="1" ht="15" customHeight="1">
      <c r="A8" s="394"/>
      <c r="B8" s="112" t="s">
        <v>323</v>
      </c>
      <c r="C8" s="222" t="s">
        <v>408</v>
      </c>
      <c r="AO8" s="108" t="str">
        <f>CONCATENATE("Tel:",C13," ","Fax",C14," ","E-mail"," ",C15)</f>
        <v>Tel:0241/XXXXXX Fax0241/XXXXXX E-mail societate@email.ro</v>
      </c>
    </row>
    <row r="9" spans="1:3" s="108" customFormat="1" ht="15" customHeight="1">
      <c r="A9" s="394"/>
      <c r="B9" s="112" t="s">
        <v>324</v>
      </c>
      <c r="C9" s="222" t="s">
        <v>409</v>
      </c>
    </row>
    <row r="10" spans="1:3" s="108" customFormat="1" ht="15" customHeight="1">
      <c r="A10" s="394"/>
      <c r="B10" s="112" t="s">
        <v>325</v>
      </c>
      <c r="C10" s="222"/>
    </row>
    <row r="11" spans="1:3" s="108" customFormat="1" ht="15" customHeight="1">
      <c r="A11" s="394"/>
      <c r="B11" s="112" t="s">
        <v>326</v>
      </c>
      <c r="C11" s="222"/>
    </row>
    <row r="12" spans="1:3" s="108" customFormat="1" ht="15" customHeight="1">
      <c r="A12" s="394" t="s">
        <v>327</v>
      </c>
      <c r="B12" s="112" t="s">
        <v>328</v>
      </c>
      <c r="C12" s="222" t="s">
        <v>499</v>
      </c>
    </row>
    <row r="13" spans="1:3" s="108" customFormat="1" ht="15" customHeight="1">
      <c r="A13" s="394"/>
      <c r="B13" s="112" t="s">
        <v>329</v>
      </c>
      <c r="C13" s="222" t="s">
        <v>410</v>
      </c>
    </row>
    <row r="14" spans="1:3" s="108" customFormat="1" ht="15" customHeight="1">
      <c r="A14" s="394"/>
      <c r="B14" s="112" t="s">
        <v>330</v>
      </c>
      <c r="C14" s="222" t="s">
        <v>410</v>
      </c>
    </row>
    <row r="15" spans="1:3" s="108" customFormat="1" ht="15" customHeight="1">
      <c r="A15" s="394"/>
      <c r="B15" s="113" t="s">
        <v>3</v>
      </c>
      <c r="C15" s="255" t="s">
        <v>411</v>
      </c>
    </row>
    <row r="16" spans="1:3" s="108" customFormat="1" ht="15" customHeight="1">
      <c r="A16" s="394"/>
      <c r="B16" s="113" t="s">
        <v>331</v>
      </c>
      <c r="C16" s="255" t="s">
        <v>412</v>
      </c>
    </row>
    <row r="17" spans="1:3" s="108" customFormat="1" ht="15" customHeight="1">
      <c r="A17" s="394" t="s">
        <v>332</v>
      </c>
      <c r="B17" s="112" t="s">
        <v>333</v>
      </c>
      <c r="C17" s="222" t="s">
        <v>413</v>
      </c>
    </row>
    <row r="18" spans="1:3" s="108" customFormat="1" ht="15" customHeight="1">
      <c r="A18" s="394"/>
      <c r="B18" s="112" t="s">
        <v>334</v>
      </c>
      <c r="C18" s="222" t="s">
        <v>407</v>
      </c>
    </row>
    <row r="19" spans="1:3" s="108" customFormat="1" ht="15" customHeight="1">
      <c r="A19" s="394"/>
      <c r="B19" s="112" t="s">
        <v>335</v>
      </c>
      <c r="C19" s="222" t="s">
        <v>414</v>
      </c>
    </row>
    <row r="20" spans="1:41" s="108" customFormat="1" ht="15" customHeight="1">
      <c r="A20" s="394" t="s">
        <v>1</v>
      </c>
      <c r="B20" s="112" t="s">
        <v>336</v>
      </c>
      <c r="C20" s="222" t="s">
        <v>415</v>
      </c>
      <c r="AO20" s="108" t="str">
        <f>CONCATENATE(PROPER(C20)," ",PROPER(C21))</f>
        <v>Nume Repl Legal Prenume Repl</v>
      </c>
    </row>
    <row r="21" spans="1:3" s="108" customFormat="1" ht="15" customHeight="1">
      <c r="A21" s="394"/>
      <c r="B21" s="112" t="s">
        <v>337</v>
      </c>
      <c r="C21" s="222" t="s">
        <v>416</v>
      </c>
    </row>
    <row r="22" spans="1:3" s="108" customFormat="1" ht="15" customHeight="1">
      <c r="A22" s="394"/>
      <c r="B22" s="112" t="s">
        <v>9</v>
      </c>
      <c r="C22" s="223">
        <v>120120120120</v>
      </c>
    </row>
    <row r="23" spans="1:3" s="108" customFormat="1" ht="15" customHeight="1">
      <c r="A23" s="394"/>
      <c r="B23" s="112" t="s">
        <v>2</v>
      </c>
      <c r="C23" s="222" t="s">
        <v>417</v>
      </c>
    </row>
    <row r="24" spans="1:3" s="108" customFormat="1" ht="15" customHeight="1">
      <c r="A24" s="394"/>
      <c r="B24" s="112" t="s">
        <v>3</v>
      </c>
      <c r="C24" s="255" t="s">
        <v>418</v>
      </c>
    </row>
    <row r="25" spans="1:3" s="108" customFormat="1" ht="4.5" customHeight="1">
      <c r="A25" s="400"/>
      <c r="B25" s="400"/>
      <c r="C25" s="400"/>
    </row>
    <row r="26" spans="1:3" s="108" customFormat="1" ht="15" customHeight="1">
      <c r="A26" s="395" t="s">
        <v>340</v>
      </c>
      <c r="B26" s="225" t="s">
        <v>321</v>
      </c>
      <c r="C26" s="222" t="s">
        <v>407</v>
      </c>
    </row>
    <row r="27" spans="1:41" s="108" customFormat="1" ht="15" customHeight="1">
      <c r="A27" s="395"/>
      <c r="B27" s="225" t="s">
        <v>322</v>
      </c>
      <c r="C27" s="222" t="s">
        <v>407</v>
      </c>
      <c r="AO27" s="114" t="str">
        <f>CONCATENATE("Loc.",PROPER(C27)," ","Str.",C28," ","Nr.",C29)</f>
        <v>Loc.Constanta Str.nume strada punct de lucru Nr.1 </v>
      </c>
    </row>
    <row r="28" spans="1:3" s="108" customFormat="1" ht="15" customHeight="1">
      <c r="A28" s="395"/>
      <c r="B28" s="225" t="s">
        <v>323</v>
      </c>
      <c r="C28" s="222" t="s">
        <v>419</v>
      </c>
    </row>
    <row r="29" spans="1:3" s="108" customFormat="1" ht="15" customHeight="1">
      <c r="A29" s="395"/>
      <c r="B29" s="225" t="s">
        <v>324</v>
      </c>
      <c r="C29" s="222" t="s">
        <v>420</v>
      </c>
    </row>
    <row r="30" spans="1:3" s="108" customFormat="1" ht="15" customHeight="1">
      <c r="A30" s="395"/>
      <c r="B30" s="225" t="s">
        <v>325</v>
      </c>
      <c r="C30" s="222" t="s">
        <v>421</v>
      </c>
    </row>
    <row r="31" spans="1:3" s="108" customFormat="1" ht="15" customHeight="1">
      <c r="A31" s="395"/>
      <c r="B31" s="225" t="s">
        <v>326</v>
      </c>
      <c r="C31" s="222"/>
    </row>
    <row r="32" spans="1:3" s="108" customFormat="1" ht="15" customHeight="1">
      <c r="A32" s="395" t="s">
        <v>338</v>
      </c>
      <c r="B32" s="225" t="s">
        <v>328</v>
      </c>
      <c r="C32" s="222" t="s">
        <v>422</v>
      </c>
    </row>
    <row r="33" spans="1:41" s="108" customFormat="1" ht="15" customHeight="1">
      <c r="A33" s="395"/>
      <c r="B33" s="225" t="s">
        <v>329</v>
      </c>
      <c r="C33" s="222" t="s">
        <v>410</v>
      </c>
      <c r="AO33" s="108" t="str">
        <f>CONCATENATE("Tel:",C33," ","Fax",C34," ","E-mail"," ",C35)</f>
        <v>Tel:0241/XXXXXX Fax0241/XXXXXX E-mail email@pct_lucru_daca_are.ro</v>
      </c>
    </row>
    <row r="34" spans="1:3" s="108" customFormat="1" ht="15" customHeight="1">
      <c r="A34" s="395"/>
      <c r="B34" s="225" t="s">
        <v>330</v>
      </c>
      <c r="C34" s="222" t="s">
        <v>410</v>
      </c>
    </row>
    <row r="35" spans="1:3" s="108" customFormat="1" ht="12.75">
      <c r="A35" s="395"/>
      <c r="B35" s="224" t="s">
        <v>3</v>
      </c>
      <c r="C35" s="255" t="s">
        <v>423</v>
      </c>
    </row>
    <row r="36" spans="1:3" s="108" customFormat="1" ht="25.5">
      <c r="A36" s="395"/>
      <c r="B36" s="224" t="s">
        <v>331</v>
      </c>
      <c r="C36" s="222" t="s">
        <v>424</v>
      </c>
    </row>
    <row r="37" spans="1:3" s="108" customFormat="1" ht="15" customHeight="1">
      <c r="A37" s="395" t="s">
        <v>4</v>
      </c>
      <c r="B37" s="224" t="s">
        <v>324</v>
      </c>
      <c r="C37" s="256" t="s">
        <v>425</v>
      </c>
    </row>
    <row r="38" spans="1:3" s="108" customFormat="1" ht="15" customHeight="1">
      <c r="A38" s="395"/>
      <c r="B38" s="224" t="s">
        <v>377</v>
      </c>
      <c r="C38" s="304" t="s">
        <v>554</v>
      </c>
    </row>
    <row r="39" spans="1:3" s="108" customFormat="1" ht="12.75">
      <c r="A39" s="395"/>
      <c r="B39" s="224" t="s">
        <v>376</v>
      </c>
      <c r="C39" s="304" t="s">
        <v>555</v>
      </c>
    </row>
    <row r="40" spans="1:3" s="108" customFormat="1" ht="15" customHeight="1">
      <c r="A40" s="396" t="s">
        <v>5</v>
      </c>
      <c r="B40" s="224" t="s">
        <v>324</v>
      </c>
      <c r="C40" s="256" t="s">
        <v>426</v>
      </c>
    </row>
    <row r="41" spans="1:3" s="108" customFormat="1" ht="15" customHeight="1">
      <c r="A41" s="396"/>
      <c r="B41" s="224" t="s">
        <v>377</v>
      </c>
      <c r="C41" s="304" t="s">
        <v>427</v>
      </c>
    </row>
    <row r="42" spans="1:3" s="108" customFormat="1" ht="12.75">
      <c r="A42" s="396"/>
      <c r="B42" s="224" t="s">
        <v>376</v>
      </c>
      <c r="C42" s="304" t="s">
        <v>483</v>
      </c>
    </row>
    <row r="43" spans="1:3" s="108" customFormat="1" ht="15" customHeight="1">
      <c r="A43" s="396" t="s">
        <v>305</v>
      </c>
      <c r="B43" s="224" t="s">
        <v>324</v>
      </c>
      <c r="C43" s="257"/>
    </row>
    <row r="44" spans="1:3" s="108" customFormat="1" ht="25.5">
      <c r="A44" s="396"/>
      <c r="B44" s="224" t="s">
        <v>6</v>
      </c>
      <c r="C44" s="304" t="s">
        <v>484</v>
      </c>
    </row>
    <row r="45" spans="1:3" s="108" customFormat="1" ht="28.5" customHeight="1">
      <c r="A45" s="254" t="s">
        <v>378</v>
      </c>
      <c r="B45" s="224" t="s">
        <v>379</v>
      </c>
      <c r="C45" s="222"/>
    </row>
    <row r="46" spans="1:3" s="108" customFormat="1" ht="7.5" customHeight="1">
      <c r="A46" s="115"/>
      <c r="B46" s="115"/>
      <c r="C46" s="116"/>
    </row>
    <row r="47" spans="1:2" ht="12.75">
      <c r="A47" s="110" t="s">
        <v>13</v>
      </c>
      <c r="B47" s="260" t="s">
        <v>380</v>
      </c>
    </row>
    <row r="48" spans="1:3" ht="12.75">
      <c r="A48" s="276" t="s">
        <v>401</v>
      </c>
      <c r="B48" s="105"/>
      <c r="C48" s="110" t="s">
        <v>290</v>
      </c>
    </row>
    <row r="49" spans="1:3" ht="12.75">
      <c r="A49" s="103"/>
      <c r="B49" s="105"/>
      <c r="C49" s="109" t="str">
        <f>AO20</f>
        <v>Nume Repl Legal Prenume Repl</v>
      </c>
    </row>
    <row r="50" spans="1:3" ht="12.75">
      <c r="A50" s="103"/>
      <c r="B50" s="105"/>
      <c r="C50" s="110" t="s">
        <v>381</v>
      </c>
    </row>
    <row r="51" spans="1:2" ht="12.75">
      <c r="A51" s="103"/>
      <c r="B51" s="105"/>
    </row>
    <row r="52" spans="1:3" ht="12.75">
      <c r="A52" s="103"/>
      <c r="B52" s="105"/>
      <c r="C52" s="104"/>
    </row>
    <row r="53" spans="1:3" ht="12.75">
      <c r="A53" s="103"/>
      <c r="B53" s="105"/>
      <c r="C53" s="104"/>
    </row>
    <row r="54" spans="1:3" ht="12.75">
      <c r="A54" s="111"/>
      <c r="B54" s="106"/>
      <c r="C54" s="104"/>
    </row>
    <row r="55" spans="1:3" ht="12.75">
      <c r="A55" s="111"/>
      <c r="B55" s="106"/>
      <c r="C55" s="104"/>
    </row>
    <row r="56" spans="1:3" ht="12.75">
      <c r="A56" s="111"/>
      <c r="B56" s="106"/>
      <c r="C56" s="104"/>
    </row>
    <row r="57" spans="1:3" ht="12.75">
      <c r="A57" s="111"/>
      <c r="B57" s="107"/>
      <c r="C57" s="104"/>
    </row>
    <row r="58" spans="1:3" ht="12.75">
      <c r="A58" s="111"/>
      <c r="B58" s="107"/>
      <c r="C58" s="104"/>
    </row>
    <row r="59" spans="1:3" ht="12.75">
      <c r="A59" s="111"/>
      <c r="C59" s="104"/>
    </row>
    <row r="60" ht="12.75">
      <c r="C60" s="104"/>
    </row>
  </sheetData>
  <sheetProtection password="FD18" sheet="1" objects="1" scenarios="1"/>
  <mergeCells count="14">
    <mergeCell ref="B2:C2"/>
    <mergeCell ref="A5:B5"/>
    <mergeCell ref="A25:C25"/>
    <mergeCell ref="A26:A31"/>
    <mergeCell ref="A32:A36"/>
    <mergeCell ref="A4:B4"/>
    <mergeCell ref="A6:A11"/>
    <mergeCell ref="A12:A16"/>
    <mergeCell ref="A17:A19"/>
    <mergeCell ref="A20:A24"/>
    <mergeCell ref="A37:A39"/>
    <mergeCell ref="A40:A42"/>
    <mergeCell ref="A43:A44"/>
    <mergeCell ref="B3:C3"/>
  </mergeCells>
  <conditionalFormatting sqref="C44:C45">
    <cfRule type="cellIs" priority="4" dxfId="4" operator="lessThanOrEqual" stopIfTrue="1">
      <formula>$AP$4</formula>
    </cfRule>
  </conditionalFormatting>
  <conditionalFormatting sqref="C42">
    <cfRule type="cellIs" priority="3" dxfId="4" operator="lessThanOrEqual" stopIfTrue="1">
      <formula>$AP$4</formula>
    </cfRule>
  </conditionalFormatting>
  <conditionalFormatting sqref="C39">
    <cfRule type="cellIs" priority="1" dxfId="3" operator="lessThanOrEqual" stopIfTrue="1">
      <formula>$AP$4</formula>
    </cfRule>
  </conditionalFormatting>
  <printOptions horizontalCentered="1"/>
  <pageMargins left="0.1968503937007874" right="0.1968503937007874" top="0.3937007874015748" bottom="0.1968503937007874" header="0.31496062992125984" footer="0.31496062992125984"/>
  <pageSetup horizontalDpi="600" verticalDpi="600" orientation="portrait" paperSize="9" scale="95" r:id="rId3"/>
  <colBreaks count="1" manualBreakCount="1">
    <brk id="5" max="65535" man="1"/>
  </colBreaks>
  <legacyDrawing r:id="rId2"/>
</worksheet>
</file>

<file path=xl/worksheets/sheet2.xml><?xml version="1.0" encoding="utf-8"?>
<worksheet xmlns="http://schemas.openxmlformats.org/spreadsheetml/2006/main" xmlns:r="http://schemas.openxmlformats.org/officeDocument/2006/relationships">
  <sheetPr>
    <tabColor rgb="FF8C3FC5"/>
  </sheetPr>
  <dimension ref="A2:CR64"/>
  <sheetViews>
    <sheetView workbookViewId="0" topLeftCell="A1">
      <selection activeCell="A5" sqref="A5"/>
    </sheetView>
  </sheetViews>
  <sheetFormatPr defaultColWidth="8.8515625" defaultRowHeight="12.75"/>
  <cols>
    <col min="1" max="1" width="4.28125" style="51" bestFit="1" customWidth="1"/>
    <col min="2" max="2" width="6.57421875" style="52" bestFit="1" customWidth="1"/>
    <col min="3" max="3" width="23.421875" style="52" customWidth="1"/>
    <col min="4" max="4" width="13.8515625" style="52" customWidth="1"/>
    <col min="5" max="5" width="16.28125" style="52" customWidth="1"/>
    <col min="6" max="6" width="11.28125" style="52" customWidth="1"/>
    <col min="7" max="7" width="10.00390625" style="52" customWidth="1"/>
    <col min="8" max="8" width="8.421875" style="52" customWidth="1"/>
    <col min="9" max="9" width="8.8515625" style="52" customWidth="1"/>
    <col min="10" max="10" width="10.8515625" style="52" customWidth="1"/>
    <col min="11" max="61" width="8.7109375" style="54" customWidth="1"/>
    <col min="62" max="81" width="6.7109375" style="54" customWidth="1"/>
    <col min="82" max="86" width="10.00390625" style="54" customWidth="1"/>
    <col min="87" max="88" width="10.00390625" style="54" hidden="1" customWidth="1"/>
    <col min="89" max="89" width="11.8515625" style="54" hidden="1" customWidth="1"/>
    <col min="90" max="91" width="10.00390625" style="54" hidden="1" customWidth="1"/>
    <col min="92" max="94" width="10.00390625" style="51" hidden="1" customWidth="1"/>
    <col min="95" max="95" width="8.7109375" style="51" hidden="1" customWidth="1"/>
    <col min="96" max="96" width="5.8515625" style="51" hidden="1" customWidth="1"/>
    <col min="97" max="124" width="10.00390625" style="51" customWidth="1"/>
    <col min="125" max="16384" width="8.8515625" style="51" customWidth="1"/>
  </cols>
  <sheetData>
    <row r="1" ht="9.75" customHeight="1"/>
    <row r="2" spans="3:4" ht="23.25" customHeight="1">
      <c r="C2" s="82" t="s">
        <v>14</v>
      </c>
      <c r="D2" s="211" t="str">
        <f>PROPER(Furnizor!B2)</f>
        <v>Sc  Denumire Furnizor Srl</v>
      </c>
    </row>
    <row r="3" spans="3:4" ht="12.75">
      <c r="C3" s="2" t="s">
        <v>15</v>
      </c>
      <c r="D3" s="121" t="str">
        <f>PROPER(Furnizor!AO27)</f>
        <v>Loc.Constanta Str.Nume Strada Punct De Lucru Nr.1 </v>
      </c>
    </row>
    <row r="4" spans="3:6" ht="12.75">
      <c r="C4" s="120" t="s">
        <v>289</v>
      </c>
      <c r="D4" s="121" t="str">
        <f>PROPER(Furnizor!C5)</f>
        <v>11111111</v>
      </c>
      <c r="F4" s="53"/>
    </row>
    <row r="5" spans="1:10" s="54" customFormat="1" ht="12.75">
      <c r="A5" s="51"/>
      <c r="B5" s="52"/>
      <c r="C5" s="55"/>
      <c r="D5" s="56"/>
      <c r="E5" s="46" t="s">
        <v>296</v>
      </c>
      <c r="F5" s="52"/>
      <c r="G5" s="52"/>
      <c r="H5" s="52"/>
      <c r="I5" s="275" t="s">
        <v>401</v>
      </c>
      <c r="J5" s="52"/>
    </row>
    <row r="6" spans="1:96" s="61" customFormat="1" ht="42" customHeight="1">
      <c r="A6" s="294" t="s">
        <v>17</v>
      </c>
      <c r="B6" s="293" t="s">
        <v>0</v>
      </c>
      <c r="C6" s="293" t="s">
        <v>8</v>
      </c>
      <c r="D6" s="295" t="s">
        <v>9</v>
      </c>
      <c r="E6" s="293" t="s">
        <v>18</v>
      </c>
      <c r="F6" s="296" t="s">
        <v>297</v>
      </c>
      <c r="G6" s="293" t="s">
        <v>10</v>
      </c>
      <c r="H6" s="293" t="s">
        <v>19</v>
      </c>
      <c r="I6" s="293" t="s">
        <v>298</v>
      </c>
      <c r="J6" s="293" t="s">
        <v>229</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Q6" s="61" t="s">
        <v>7</v>
      </c>
      <c r="CR6" s="62" t="s">
        <v>12</v>
      </c>
    </row>
    <row r="7" spans="1:96" s="59" customFormat="1" ht="12.75">
      <c r="A7" s="212">
        <v>1</v>
      </c>
      <c r="B7" s="227" t="str">
        <f>UPPER(Furnizor!$C$4)</f>
        <v>LXX</v>
      </c>
      <c r="C7" s="213"/>
      <c r="D7" s="212">
        <v>1234567891012</v>
      </c>
      <c r="E7" s="212" t="s">
        <v>212</v>
      </c>
      <c r="F7" s="212" t="s">
        <v>295</v>
      </c>
      <c r="G7" s="214"/>
      <c r="H7" s="215">
        <v>0</v>
      </c>
      <c r="I7" s="240">
        <f aca="true" t="shared" si="0" ref="I7:I46">IF(CO7&gt;0,0,IF(CO7=0,CN7))</f>
        <v>0</v>
      </c>
      <c r="J7" s="226">
        <f aca="true" t="shared" si="1" ref="J7:J46">IF(H7&gt;=7,I7,(H7*I7)/7)</f>
        <v>0</v>
      </c>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8"/>
      <c r="CE7" s="58"/>
      <c r="CF7" s="58"/>
      <c r="CG7" s="58"/>
      <c r="CH7" s="58"/>
      <c r="CI7" s="83">
        <f aca="true" t="shared" si="2" ref="CI7:CI38">IF(AND(E7="Medicina de laborator",F7="Primar"),40,IF(AND(E7="Medicina de laborator",F7="Specialist"),30,))</f>
        <v>40</v>
      </c>
      <c r="CJ7" s="83">
        <f aca="true" t="shared" si="3" ref="CJ7:CJ38">IF(AND(E7="Biolog_medical",F7="Principal"),25,IF(AND(E7="Biolog_medical",F7="Specialist"),20,IF(AND(E7="Chimist_medical",F7="Principal"),25,IF(AND(E7="Chimist_medical",F7="Specialist"),20,IF(AND(E7="Biochimist_medical",F7="Principal"),25,IF(AND(E7="Biochimist_medical",F7="Specialist"),20,))))))</f>
        <v>0</v>
      </c>
      <c r="CK7" s="83">
        <f aca="true" t="shared" si="4" ref="CK7:CK38">IF(AND(E7="Biolog",F7="Fara_Grad"),15,IF(AND(E7="Chimist",F7="Fara_Grad"),15,IF(AND(E7="Biochimist",F7="Fara_Grad"),15,)))</f>
        <v>0</v>
      </c>
      <c r="CL7" s="83">
        <f aca="true" t="shared" si="5" ref="CL7:CL38">IF(AND(E7="Asistent laborator",F7="Superioare"),10,IF(AND(E7="Asistent laborator",F7="Medii"),8,))</f>
        <v>0</v>
      </c>
      <c r="CM7" s="83">
        <f aca="true" t="shared" si="6" ref="CM7:CM38">IF(AND(E7="Farmacist",F7="Fara_Grad"),15,)</f>
        <v>0</v>
      </c>
      <c r="CN7" s="83">
        <f>SUM(CI7:CM7)</f>
        <v>40</v>
      </c>
      <c r="CO7" s="228">
        <f aca="true" t="shared" si="7" ref="CO7:CO38">COUNTBLANK(C7:F7)</f>
        <v>1</v>
      </c>
      <c r="CQ7" s="85">
        <f aca="true" ca="1" t="shared" si="8" ref="CQ7:CQ59">TODAY()+25</f>
        <v>45114</v>
      </c>
      <c r="CR7" s="84" t="e">
        <f>IF((#REF!&lt;=CQ7),1,0)</f>
        <v>#REF!</v>
      </c>
    </row>
    <row r="8" spans="1:96" s="59" customFormat="1" ht="12.75">
      <c r="A8" s="216">
        <v>2</v>
      </c>
      <c r="B8" s="227" t="str">
        <f>UPPER(Furnizor!$C$4)</f>
        <v>LXX</v>
      </c>
      <c r="C8" s="213" t="s">
        <v>428</v>
      </c>
      <c r="D8" s="212">
        <v>1234567891012</v>
      </c>
      <c r="E8" s="212" t="s">
        <v>299</v>
      </c>
      <c r="F8" s="212" t="s">
        <v>300</v>
      </c>
      <c r="G8" s="214"/>
      <c r="H8" s="217">
        <v>0</v>
      </c>
      <c r="I8" s="240">
        <f t="shared" si="0"/>
        <v>25</v>
      </c>
      <c r="J8" s="226">
        <f t="shared" si="1"/>
        <v>0</v>
      </c>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I8" s="83">
        <f t="shared" si="2"/>
        <v>0</v>
      </c>
      <c r="CJ8" s="83">
        <f t="shared" si="3"/>
        <v>25</v>
      </c>
      <c r="CK8" s="83">
        <f t="shared" si="4"/>
        <v>0</v>
      </c>
      <c r="CL8" s="83">
        <f t="shared" si="5"/>
        <v>0</v>
      </c>
      <c r="CM8" s="83">
        <f t="shared" si="6"/>
        <v>0</v>
      </c>
      <c r="CN8" s="83">
        <f aca="true" t="shared" si="9" ref="CN8:CN59">SUM(CI8:CM8)</f>
        <v>25</v>
      </c>
      <c r="CO8" s="228">
        <f t="shared" si="7"/>
        <v>0</v>
      </c>
      <c r="CQ8" s="85">
        <f ca="1" t="shared" si="8"/>
        <v>45114</v>
      </c>
      <c r="CR8" s="84" t="e">
        <f>IF((#REF!&lt;=CQ8),1,0)</f>
        <v>#REF!</v>
      </c>
    </row>
    <row r="9" spans="1:96" s="59" customFormat="1" ht="12.75">
      <c r="A9" s="216">
        <v>3</v>
      </c>
      <c r="B9" s="227" t="str">
        <f>UPPER(Furnizor!$C$4)</f>
        <v>LXX</v>
      </c>
      <c r="C9" s="218" t="s">
        <v>429</v>
      </c>
      <c r="D9" s="212">
        <v>1234567891012</v>
      </c>
      <c r="E9" s="212" t="s">
        <v>302</v>
      </c>
      <c r="F9" s="212" t="s">
        <v>431</v>
      </c>
      <c r="G9" s="267"/>
      <c r="H9" s="217">
        <v>0</v>
      </c>
      <c r="I9" s="240">
        <f t="shared" si="0"/>
        <v>15</v>
      </c>
      <c r="J9" s="226">
        <f t="shared" si="1"/>
        <v>0</v>
      </c>
      <c r="CI9" s="83">
        <f t="shared" si="2"/>
        <v>0</v>
      </c>
      <c r="CJ9" s="83">
        <f t="shared" si="3"/>
        <v>0</v>
      </c>
      <c r="CK9" s="83">
        <f t="shared" si="4"/>
        <v>15</v>
      </c>
      <c r="CL9" s="83">
        <f t="shared" si="5"/>
        <v>0</v>
      </c>
      <c r="CM9" s="83">
        <f t="shared" si="6"/>
        <v>0</v>
      </c>
      <c r="CN9" s="83">
        <f t="shared" si="9"/>
        <v>15</v>
      </c>
      <c r="CO9" s="228">
        <f t="shared" si="7"/>
        <v>0</v>
      </c>
      <c r="CQ9" s="85">
        <f ca="1" t="shared" si="8"/>
        <v>45114</v>
      </c>
      <c r="CR9" s="84" t="e">
        <f>IF((#REF!&lt;=CQ9),1,0)</f>
        <v>#REF!</v>
      </c>
    </row>
    <row r="10" spans="1:96" s="59" customFormat="1" ht="12.75">
      <c r="A10" s="212">
        <v>4</v>
      </c>
      <c r="B10" s="227" t="str">
        <f>UPPER(Furnizor!$C$4)</f>
        <v>LXX</v>
      </c>
      <c r="C10" s="213"/>
      <c r="D10" s="212"/>
      <c r="E10" s="212" t="s">
        <v>430</v>
      </c>
      <c r="F10" s="212" t="s">
        <v>20</v>
      </c>
      <c r="G10" s="270"/>
      <c r="H10" s="219"/>
      <c r="I10" s="240">
        <f t="shared" si="0"/>
        <v>0</v>
      </c>
      <c r="J10" s="226">
        <f t="shared" si="1"/>
        <v>0</v>
      </c>
      <c r="CI10" s="83">
        <f t="shared" si="2"/>
        <v>0</v>
      </c>
      <c r="CJ10" s="83">
        <f t="shared" si="3"/>
        <v>0</v>
      </c>
      <c r="CK10" s="83">
        <f t="shared" si="4"/>
        <v>0</v>
      </c>
      <c r="CL10" s="83">
        <f t="shared" si="5"/>
        <v>10</v>
      </c>
      <c r="CM10" s="83">
        <f t="shared" si="6"/>
        <v>0</v>
      </c>
      <c r="CN10" s="83">
        <f t="shared" si="9"/>
        <v>10</v>
      </c>
      <c r="CO10" s="228">
        <f t="shared" si="7"/>
        <v>2</v>
      </c>
      <c r="CQ10" s="85">
        <f ca="1" t="shared" si="8"/>
        <v>45114</v>
      </c>
      <c r="CR10" s="84" t="e">
        <f>IF((#REF!&lt;=CQ10),1,0)</f>
        <v>#REF!</v>
      </c>
    </row>
    <row r="11" spans="1:96" s="59" customFormat="1" ht="12.75">
      <c r="A11" s="216">
        <v>5</v>
      </c>
      <c r="B11" s="227" t="str">
        <f>UPPER(Furnizor!$C$4)</f>
        <v>LXX</v>
      </c>
      <c r="C11" s="213"/>
      <c r="D11" s="212"/>
      <c r="E11" s="212" t="s">
        <v>430</v>
      </c>
      <c r="F11" s="212" t="s">
        <v>301</v>
      </c>
      <c r="G11" s="270"/>
      <c r="H11" s="219"/>
      <c r="I11" s="240">
        <f t="shared" si="0"/>
        <v>0</v>
      </c>
      <c r="J11" s="226">
        <f t="shared" si="1"/>
        <v>0</v>
      </c>
      <c r="CI11" s="83">
        <f t="shared" si="2"/>
        <v>0</v>
      </c>
      <c r="CJ11" s="83">
        <f t="shared" si="3"/>
        <v>0</v>
      </c>
      <c r="CK11" s="83">
        <f t="shared" si="4"/>
        <v>0</v>
      </c>
      <c r="CL11" s="83">
        <f t="shared" si="5"/>
        <v>8</v>
      </c>
      <c r="CM11" s="83">
        <f t="shared" si="6"/>
        <v>0</v>
      </c>
      <c r="CN11" s="83">
        <f t="shared" si="9"/>
        <v>8</v>
      </c>
      <c r="CO11" s="228">
        <f t="shared" si="7"/>
        <v>2</v>
      </c>
      <c r="CQ11" s="85">
        <f ca="1" t="shared" si="8"/>
        <v>45114</v>
      </c>
      <c r="CR11" s="84" t="e">
        <f>IF((#REF!&lt;=CQ11),1,0)</f>
        <v>#REF!</v>
      </c>
    </row>
    <row r="12" spans="1:96" s="59" customFormat="1" ht="12.75">
      <c r="A12" s="216">
        <v>6</v>
      </c>
      <c r="B12" s="227" t="str">
        <f>UPPER(Furnizor!$C$4)</f>
        <v>LXX</v>
      </c>
      <c r="C12" s="218"/>
      <c r="D12" s="212"/>
      <c r="E12" s="212" t="s">
        <v>303</v>
      </c>
      <c r="F12" s="212" t="s">
        <v>213</v>
      </c>
      <c r="G12" s="270"/>
      <c r="H12" s="219"/>
      <c r="I12" s="240">
        <f t="shared" si="0"/>
        <v>0</v>
      </c>
      <c r="J12" s="226">
        <f t="shared" si="1"/>
        <v>0</v>
      </c>
      <c r="CI12" s="83">
        <f t="shared" si="2"/>
        <v>0</v>
      </c>
      <c r="CJ12" s="83">
        <f t="shared" si="3"/>
        <v>20</v>
      </c>
      <c r="CK12" s="83">
        <f t="shared" si="4"/>
        <v>0</v>
      </c>
      <c r="CL12" s="83">
        <f t="shared" si="5"/>
        <v>0</v>
      </c>
      <c r="CM12" s="83">
        <f t="shared" si="6"/>
        <v>0</v>
      </c>
      <c r="CN12" s="83">
        <f t="shared" si="9"/>
        <v>20</v>
      </c>
      <c r="CO12" s="228">
        <f t="shared" si="7"/>
        <v>2</v>
      </c>
      <c r="CQ12" s="85">
        <f ca="1" t="shared" si="8"/>
        <v>45114</v>
      </c>
      <c r="CR12" s="84" t="e">
        <f>IF((#REF!&lt;=CQ12),1,0)</f>
        <v>#REF!</v>
      </c>
    </row>
    <row r="13" spans="1:96" s="59" customFormat="1" ht="12.75" customHeight="1">
      <c r="A13" s="212">
        <v>7</v>
      </c>
      <c r="B13" s="227" t="str">
        <f>UPPER(Furnizor!$C$4)</f>
        <v>LXX</v>
      </c>
      <c r="C13" s="213"/>
      <c r="D13" s="212"/>
      <c r="E13" s="212" t="s">
        <v>304</v>
      </c>
      <c r="F13" s="212" t="s">
        <v>431</v>
      </c>
      <c r="G13" s="266"/>
      <c r="H13" s="219"/>
      <c r="I13" s="240">
        <f t="shared" si="0"/>
        <v>0</v>
      </c>
      <c r="J13" s="226">
        <f t="shared" si="1"/>
        <v>0</v>
      </c>
      <c r="CI13" s="83">
        <f t="shared" si="2"/>
        <v>0</v>
      </c>
      <c r="CJ13" s="83">
        <f t="shared" si="3"/>
        <v>0</v>
      </c>
      <c r="CK13" s="83">
        <f t="shared" si="4"/>
        <v>0</v>
      </c>
      <c r="CL13" s="83">
        <f t="shared" si="5"/>
        <v>0</v>
      </c>
      <c r="CM13" s="83">
        <f t="shared" si="6"/>
        <v>15</v>
      </c>
      <c r="CN13" s="83">
        <f t="shared" si="9"/>
        <v>15</v>
      </c>
      <c r="CO13" s="228">
        <f t="shared" si="7"/>
        <v>2</v>
      </c>
      <c r="CQ13" s="85">
        <f ca="1" t="shared" si="8"/>
        <v>45114</v>
      </c>
      <c r="CR13" s="84" t="e">
        <f>IF((#REF!&lt;=CQ13),1,0)</f>
        <v>#REF!</v>
      </c>
    </row>
    <row r="14" spans="1:96" s="59" customFormat="1" ht="12.75" customHeight="1">
      <c r="A14" s="216">
        <v>8</v>
      </c>
      <c r="B14" s="227" t="str">
        <f>UPPER(Furnizor!$C$4)</f>
        <v>LXX</v>
      </c>
      <c r="C14" s="268"/>
      <c r="D14" s="269"/>
      <c r="E14" s="212"/>
      <c r="F14" s="212"/>
      <c r="G14" s="266"/>
      <c r="H14" s="219"/>
      <c r="I14" s="240">
        <f t="shared" si="0"/>
        <v>0</v>
      </c>
      <c r="J14" s="226">
        <f t="shared" si="1"/>
        <v>0</v>
      </c>
      <c r="CI14" s="83">
        <f t="shared" si="2"/>
        <v>0</v>
      </c>
      <c r="CJ14" s="83">
        <f t="shared" si="3"/>
        <v>0</v>
      </c>
      <c r="CK14" s="83">
        <f t="shared" si="4"/>
        <v>0</v>
      </c>
      <c r="CL14" s="83">
        <f t="shared" si="5"/>
        <v>0</v>
      </c>
      <c r="CM14" s="83">
        <f t="shared" si="6"/>
        <v>0</v>
      </c>
      <c r="CN14" s="83">
        <f t="shared" si="9"/>
        <v>0</v>
      </c>
      <c r="CO14" s="228">
        <f t="shared" si="7"/>
        <v>4</v>
      </c>
      <c r="CQ14" s="85">
        <f ca="1" t="shared" si="8"/>
        <v>45114</v>
      </c>
      <c r="CR14" s="84" t="e">
        <f>IF((#REF!&lt;=CQ14),1,0)</f>
        <v>#REF!</v>
      </c>
    </row>
    <row r="15" spans="1:96" s="59" customFormat="1" ht="12.75" customHeight="1">
      <c r="A15" s="216">
        <v>9</v>
      </c>
      <c r="B15" s="227" t="str">
        <f>UPPER(Furnizor!$C$4)</f>
        <v>LXX</v>
      </c>
      <c r="C15" s="268"/>
      <c r="D15" s="269"/>
      <c r="E15" s="212"/>
      <c r="F15" s="212"/>
      <c r="G15" s="266"/>
      <c r="H15" s="219"/>
      <c r="I15" s="240">
        <f t="shared" si="0"/>
        <v>0</v>
      </c>
      <c r="J15" s="226">
        <f t="shared" si="1"/>
        <v>0</v>
      </c>
      <c r="CI15" s="83">
        <f t="shared" si="2"/>
        <v>0</v>
      </c>
      <c r="CJ15" s="83">
        <f t="shared" si="3"/>
        <v>0</v>
      </c>
      <c r="CK15" s="83">
        <f t="shared" si="4"/>
        <v>0</v>
      </c>
      <c r="CL15" s="83">
        <f t="shared" si="5"/>
        <v>0</v>
      </c>
      <c r="CM15" s="83">
        <f t="shared" si="6"/>
        <v>0</v>
      </c>
      <c r="CN15" s="83">
        <f t="shared" si="9"/>
        <v>0</v>
      </c>
      <c r="CO15" s="228">
        <f t="shared" si="7"/>
        <v>4</v>
      </c>
      <c r="CQ15" s="85">
        <f ca="1" t="shared" si="8"/>
        <v>45114</v>
      </c>
      <c r="CR15" s="84" t="e">
        <f>IF((#REF!&lt;=CQ15),1,0)</f>
        <v>#REF!</v>
      </c>
    </row>
    <row r="16" spans="1:96" s="59" customFormat="1" ht="12.75" customHeight="1">
      <c r="A16" s="212">
        <v>10</v>
      </c>
      <c r="B16" s="227" t="str">
        <f>UPPER(Furnizor!$C$4)</f>
        <v>LXX</v>
      </c>
      <c r="C16" s="268"/>
      <c r="D16" s="269"/>
      <c r="E16" s="212"/>
      <c r="F16" s="212"/>
      <c r="G16" s="266"/>
      <c r="H16" s="219"/>
      <c r="I16" s="240">
        <f t="shared" si="0"/>
        <v>0</v>
      </c>
      <c r="J16" s="226">
        <f t="shared" si="1"/>
        <v>0</v>
      </c>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CI16" s="83">
        <f t="shared" si="2"/>
        <v>0</v>
      </c>
      <c r="CJ16" s="83">
        <f t="shared" si="3"/>
        <v>0</v>
      </c>
      <c r="CK16" s="83">
        <f t="shared" si="4"/>
        <v>0</v>
      </c>
      <c r="CL16" s="83">
        <f t="shared" si="5"/>
        <v>0</v>
      </c>
      <c r="CM16" s="83">
        <f t="shared" si="6"/>
        <v>0</v>
      </c>
      <c r="CN16" s="83">
        <f t="shared" si="9"/>
        <v>0</v>
      </c>
      <c r="CO16" s="228">
        <f t="shared" si="7"/>
        <v>4</v>
      </c>
      <c r="CQ16" s="85">
        <f ca="1" t="shared" si="8"/>
        <v>45114</v>
      </c>
      <c r="CR16" s="84" t="e">
        <f>IF((#REF!&lt;=CQ16),1,0)</f>
        <v>#REF!</v>
      </c>
    </row>
    <row r="17" spans="1:96" s="59" customFormat="1" ht="12.75" customHeight="1">
      <c r="A17" s="216">
        <v>11</v>
      </c>
      <c r="B17" s="227" t="str">
        <f>UPPER(Furnizor!$C$4)</f>
        <v>LXX</v>
      </c>
      <c r="C17" s="268"/>
      <c r="D17" s="269"/>
      <c r="E17" s="212"/>
      <c r="F17" s="212"/>
      <c r="G17" s="266"/>
      <c r="H17" s="219"/>
      <c r="I17" s="240">
        <f t="shared" si="0"/>
        <v>0</v>
      </c>
      <c r="J17" s="226">
        <f t="shared" si="1"/>
        <v>0</v>
      </c>
      <c r="CI17" s="83">
        <f t="shared" si="2"/>
        <v>0</v>
      </c>
      <c r="CJ17" s="83">
        <f t="shared" si="3"/>
        <v>0</v>
      </c>
      <c r="CK17" s="83">
        <f t="shared" si="4"/>
        <v>0</v>
      </c>
      <c r="CL17" s="83">
        <f t="shared" si="5"/>
        <v>0</v>
      </c>
      <c r="CM17" s="83">
        <f t="shared" si="6"/>
        <v>0</v>
      </c>
      <c r="CN17" s="83">
        <f t="shared" si="9"/>
        <v>0</v>
      </c>
      <c r="CO17" s="228">
        <f t="shared" si="7"/>
        <v>4</v>
      </c>
      <c r="CQ17" s="85">
        <f ca="1" t="shared" si="8"/>
        <v>45114</v>
      </c>
      <c r="CR17" s="84" t="e">
        <f>IF((#REF!&lt;=CQ17),1,0)</f>
        <v>#REF!</v>
      </c>
    </row>
    <row r="18" spans="1:96" s="59" customFormat="1" ht="12.75" customHeight="1">
      <c r="A18" s="216">
        <v>12</v>
      </c>
      <c r="B18" s="227" t="str">
        <f>UPPER(Furnizor!$C$4)</f>
        <v>LXX</v>
      </c>
      <c r="C18" s="268"/>
      <c r="D18" s="269"/>
      <c r="E18" s="212"/>
      <c r="F18" s="212"/>
      <c r="G18" s="266"/>
      <c r="H18" s="219"/>
      <c r="I18" s="240">
        <f t="shared" si="0"/>
        <v>0</v>
      </c>
      <c r="J18" s="226">
        <f t="shared" si="1"/>
        <v>0</v>
      </c>
      <c r="CI18" s="83">
        <f t="shared" si="2"/>
        <v>0</v>
      </c>
      <c r="CJ18" s="83">
        <f t="shared" si="3"/>
        <v>0</v>
      </c>
      <c r="CK18" s="83">
        <f t="shared" si="4"/>
        <v>0</v>
      </c>
      <c r="CL18" s="83">
        <f t="shared" si="5"/>
        <v>0</v>
      </c>
      <c r="CM18" s="83">
        <f t="shared" si="6"/>
        <v>0</v>
      </c>
      <c r="CN18" s="83">
        <f t="shared" si="9"/>
        <v>0</v>
      </c>
      <c r="CO18" s="228">
        <f t="shared" si="7"/>
        <v>4</v>
      </c>
      <c r="CQ18" s="85">
        <f ca="1" t="shared" si="8"/>
        <v>45114</v>
      </c>
      <c r="CR18" s="84" t="e">
        <f>IF((#REF!&lt;=CQ18),1,0)</f>
        <v>#REF!</v>
      </c>
    </row>
    <row r="19" spans="1:96" s="59" customFormat="1" ht="12.75" customHeight="1">
      <c r="A19" s="212">
        <v>13</v>
      </c>
      <c r="B19" s="227" t="str">
        <f>UPPER(Furnizor!$C$4)</f>
        <v>LXX</v>
      </c>
      <c r="C19" s="268"/>
      <c r="D19" s="269"/>
      <c r="E19" s="212"/>
      <c r="F19" s="212"/>
      <c r="G19" s="266"/>
      <c r="H19" s="219"/>
      <c r="I19" s="240">
        <f t="shared" si="0"/>
        <v>0</v>
      </c>
      <c r="J19" s="226">
        <f t="shared" si="1"/>
        <v>0</v>
      </c>
      <c r="CI19" s="83">
        <f t="shared" si="2"/>
        <v>0</v>
      </c>
      <c r="CJ19" s="83">
        <f t="shared" si="3"/>
        <v>0</v>
      </c>
      <c r="CK19" s="83">
        <f t="shared" si="4"/>
        <v>0</v>
      </c>
      <c r="CL19" s="83">
        <f t="shared" si="5"/>
        <v>0</v>
      </c>
      <c r="CM19" s="83">
        <f t="shared" si="6"/>
        <v>0</v>
      </c>
      <c r="CN19" s="83">
        <f t="shared" si="9"/>
        <v>0</v>
      </c>
      <c r="CO19" s="228">
        <f t="shared" si="7"/>
        <v>4</v>
      </c>
      <c r="CQ19" s="85">
        <f ca="1" t="shared" si="8"/>
        <v>45114</v>
      </c>
      <c r="CR19" s="84" t="e">
        <f>IF((#REF!&lt;=CQ19),1,0)</f>
        <v>#REF!</v>
      </c>
    </row>
    <row r="20" spans="1:96" s="59" customFormat="1" ht="12.75" customHeight="1">
      <c r="A20" s="216">
        <v>14</v>
      </c>
      <c r="B20" s="227" t="str">
        <f>UPPER(Furnizor!$C$4)</f>
        <v>LXX</v>
      </c>
      <c r="C20" s="268"/>
      <c r="D20" s="269"/>
      <c r="E20" s="212"/>
      <c r="F20" s="212"/>
      <c r="G20" s="266"/>
      <c r="H20" s="219"/>
      <c r="I20" s="240">
        <f t="shared" si="0"/>
        <v>0</v>
      </c>
      <c r="J20" s="226">
        <f t="shared" si="1"/>
        <v>0</v>
      </c>
      <c r="CI20" s="83">
        <f t="shared" si="2"/>
        <v>0</v>
      </c>
      <c r="CJ20" s="83">
        <f t="shared" si="3"/>
        <v>0</v>
      </c>
      <c r="CK20" s="83">
        <f t="shared" si="4"/>
        <v>0</v>
      </c>
      <c r="CL20" s="83">
        <f t="shared" si="5"/>
        <v>0</v>
      </c>
      <c r="CM20" s="83">
        <f t="shared" si="6"/>
        <v>0</v>
      </c>
      <c r="CN20" s="83">
        <f t="shared" si="9"/>
        <v>0</v>
      </c>
      <c r="CO20" s="228">
        <f t="shared" si="7"/>
        <v>4</v>
      </c>
      <c r="CQ20" s="85">
        <f ca="1" t="shared" si="8"/>
        <v>45114</v>
      </c>
      <c r="CR20" s="84" t="e">
        <f>IF((#REF!&lt;=CQ20),1,0)</f>
        <v>#REF!</v>
      </c>
    </row>
    <row r="21" spans="1:96" s="59" customFormat="1" ht="12.75" customHeight="1">
      <c r="A21" s="216">
        <v>15</v>
      </c>
      <c r="B21" s="227" t="str">
        <f>UPPER(Furnizor!$C$4)</f>
        <v>LXX</v>
      </c>
      <c r="C21" s="268"/>
      <c r="D21" s="269"/>
      <c r="E21" s="212"/>
      <c r="F21" s="212"/>
      <c r="G21" s="266"/>
      <c r="H21" s="219"/>
      <c r="I21" s="240">
        <f t="shared" si="0"/>
        <v>0</v>
      </c>
      <c r="J21" s="226">
        <f t="shared" si="1"/>
        <v>0</v>
      </c>
      <c r="CI21" s="83">
        <f t="shared" si="2"/>
        <v>0</v>
      </c>
      <c r="CJ21" s="83">
        <f t="shared" si="3"/>
        <v>0</v>
      </c>
      <c r="CK21" s="83">
        <f t="shared" si="4"/>
        <v>0</v>
      </c>
      <c r="CL21" s="83">
        <f t="shared" si="5"/>
        <v>0</v>
      </c>
      <c r="CM21" s="83">
        <f t="shared" si="6"/>
        <v>0</v>
      </c>
      <c r="CN21" s="83">
        <f t="shared" si="9"/>
        <v>0</v>
      </c>
      <c r="CO21" s="228">
        <f t="shared" si="7"/>
        <v>4</v>
      </c>
      <c r="CQ21" s="85">
        <f ca="1" t="shared" si="8"/>
        <v>45114</v>
      </c>
      <c r="CR21" s="84" t="e">
        <f>IF((#REF!&lt;=CQ21),1,0)</f>
        <v>#REF!</v>
      </c>
    </row>
    <row r="22" spans="1:96" s="59" customFormat="1" ht="12.75" customHeight="1">
      <c r="A22" s="212">
        <v>16</v>
      </c>
      <c r="B22" s="227" t="str">
        <f>UPPER(Furnizor!$C$4)</f>
        <v>LXX</v>
      </c>
      <c r="C22" s="268"/>
      <c r="D22" s="269"/>
      <c r="E22" s="212"/>
      <c r="F22" s="212"/>
      <c r="G22" s="266"/>
      <c r="H22" s="219"/>
      <c r="I22" s="240">
        <f t="shared" si="0"/>
        <v>0</v>
      </c>
      <c r="J22" s="226">
        <f t="shared" si="1"/>
        <v>0</v>
      </c>
      <c r="CI22" s="83">
        <f t="shared" si="2"/>
        <v>0</v>
      </c>
      <c r="CJ22" s="83">
        <f t="shared" si="3"/>
        <v>0</v>
      </c>
      <c r="CK22" s="83">
        <f t="shared" si="4"/>
        <v>0</v>
      </c>
      <c r="CL22" s="83">
        <f t="shared" si="5"/>
        <v>0</v>
      </c>
      <c r="CM22" s="83">
        <f t="shared" si="6"/>
        <v>0</v>
      </c>
      <c r="CN22" s="83">
        <f t="shared" si="9"/>
        <v>0</v>
      </c>
      <c r="CO22" s="228">
        <f t="shared" si="7"/>
        <v>4</v>
      </c>
      <c r="CQ22" s="85">
        <f ca="1" t="shared" si="8"/>
        <v>45114</v>
      </c>
      <c r="CR22" s="84" t="e">
        <f>IF((#REF!&lt;=CQ22),1,0)</f>
        <v>#REF!</v>
      </c>
    </row>
    <row r="23" spans="1:96" s="59" customFormat="1" ht="12.75" customHeight="1">
      <c r="A23" s="212">
        <v>17</v>
      </c>
      <c r="B23" s="227" t="str">
        <f>UPPER(Furnizor!$C$4)</f>
        <v>LXX</v>
      </c>
      <c r="C23" s="218"/>
      <c r="D23" s="216"/>
      <c r="E23" s="212"/>
      <c r="F23" s="212"/>
      <c r="G23" s="214"/>
      <c r="H23" s="219"/>
      <c r="I23" s="240">
        <f t="shared" si="0"/>
        <v>0</v>
      </c>
      <c r="J23" s="226">
        <f t="shared" si="1"/>
        <v>0</v>
      </c>
      <c r="CI23" s="83">
        <f t="shared" si="2"/>
        <v>0</v>
      </c>
      <c r="CJ23" s="83">
        <f t="shared" si="3"/>
        <v>0</v>
      </c>
      <c r="CK23" s="83">
        <f t="shared" si="4"/>
        <v>0</v>
      </c>
      <c r="CL23" s="83">
        <f t="shared" si="5"/>
        <v>0</v>
      </c>
      <c r="CM23" s="83">
        <f t="shared" si="6"/>
        <v>0</v>
      </c>
      <c r="CN23" s="83">
        <f t="shared" si="9"/>
        <v>0</v>
      </c>
      <c r="CO23" s="228">
        <f t="shared" si="7"/>
        <v>4</v>
      </c>
      <c r="CQ23" s="85">
        <f ca="1" t="shared" si="8"/>
        <v>45114</v>
      </c>
      <c r="CR23" s="84" t="e">
        <f>IF((#REF!&lt;=CQ23),1,0)</f>
        <v>#REF!</v>
      </c>
    </row>
    <row r="24" spans="1:96" s="59" customFormat="1" ht="12.75" customHeight="1">
      <c r="A24" s="216">
        <v>18</v>
      </c>
      <c r="B24" s="227" t="str">
        <f>UPPER(Furnizor!$C$4)</f>
        <v>LXX</v>
      </c>
      <c r="C24" s="218"/>
      <c r="D24" s="216"/>
      <c r="E24" s="212"/>
      <c r="F24" s="212"/>
      <c r="G24" s="214"/>
      <c r="H24" s="219"/>
      <c r="I24" s="240">
        <f t="shared" si="0"/>
        <v>0</v>
      </c>
      <c r="J24" s="226">
        <f t="shared" si="1"/>
        <v>0</v>
      </c>
      <c r="CI24" s="83">
        <f t="shared" si="2"/>
        <v>0</v>
      </c>
      <c r="CJ24" s="83">
        <f t="shared" si="3"/>
        <v>0</v>
      </c>
      <c r="CK24" s="83">
        <f t="shared" si="4"/>
        <v>0</v>
      </c>
      <c r="CL24" s="83">
        <f t="shared" si="5"/>
        <v>0</v>
      </c>
      <c r="CM24" s="83">
        <f t="shared" si="6"/>
        <v>0</v>
      </c>
      <c r="CN24" s="83">
        <f t="shared" si="9"/>
        <v>0</v>
      </c>
      <c r="CO24" s="228">
        <f t="shared" si="7"/>
        <v>4</v>
      </c>
      <c r="CQ24" s="85">
        <f ca="1" t="shared" si="8"/>
        <v>45114</v>
      </c>
      <c r="CR24" s="84" t="e">
        <f>IF((#REF!&lt;=CQ24),1,0)</f>
        <v>#REF!</v>
      </c>
    </row>
    <row r="25" spans="1:96" s="59" customFormat="1" ht="12.75" customHeight="1">
      <c r="A25" s="216">
        <v>19</v>
      </c>
      <c r="B25" s="227" t="str">
        <f>UPPER(Furnizor!$C$4)</f>
        <v>LXX</v>
      </c>
      <c r="C25" s="218"/>
      <c r="D25" s="216"/>
      <c r="E25" s="212"/>
      <c r="F25" s="212"/>
      <c r="G25" s="214"/>
      <c r="H25" s="219"/>
      <c r="I25" s="240">
        <f t="shared" si="0"/>
        <v>0</v>
      </c>
      <c r="J25" s="226">
        <f t="shared" si="1"/>
        <v>0</v>
      </c>
      <c r="CI25" s="83">
        <f t="shared" si="2"/>
        <v>0</v>
      </c>
      <c r="CJ25" s="83">
        <f t="shared" si="3"/>
        <v>0</v>
      </c>
      <c r="CK25" s="83">
        <f t="shared" si="4"/>
        <v>0</v>
      </c>
      <c r="CL25" s="83">
        <f t="shared" si="5"/>
        <v>0</v>
      </c>
      <c r="CM25" s="83">
        <f t="shared" si="6"/>
        <v>0</v>
      </c>
      <c r="CN25" s="83">
        <f t="shared" si="9"/>
        <v>0</v>
      </c>
      <c r="CO25" s="228">
        <f t="shared" si="7"/>
        <v>4</v>
      </c>
      <c r="CQ25" s="85">
        <f ca="1" t="shared" si="8"/>
        <v>45114</v>
      </c>
      <c r="CR25" s="84" t="e">
        <f>IF((#REF!&lt;=CQ25),1,0)</f>
        <v>#REF!</v>
      </c>
    </row>
    <row r="26" spans="1:96" s="59" customFormat="1" ht="12.75" customHeight="1">
      <c r="A26" s="212">
        <v>20</v>
      </c>
      <c r="B26" s="227" t="str">
        <f>UPPER(Furnizor!$C$4)</f>
        <v>LXX</v>
      </c>
      <c r="C26" s="218"/>
      <c r="D26" s="216"/>
      <c r="E26" s="212"/>
      <c r="F26" s="212"/>
      <c r="G26" s="214"/>
      <c r="H26" s="219"/>
      <c r="I26" s="240">
        <f t="shared" si="0"/>
        <v>0</v>
      </c>
      <c r="J26" s="226">
        <f t="shared" si="1"/>
        <v>0</v>
      </c>
      <c r="CI26" s="83">
        <f t="shared" si="2"/>
        <v>0</v>
      </c>
      <c r="CJ26" s="83">
        <f t="shared" si="3"/>
        <v>0</v>
      </c>
      <c r="CK26" s="83">
        <f t="shared" si="4"/>
        <v>0</v>
      </c>
      <c r="CL26" s="83">
        <f t="shared" si="5"/>
        <v>0</v>
      </c>
      <c r="CM26" s="83">
        <f t="shared" si="6"/>
        <v>0</v>
      </c>
      <c r="CN26" s="83">
        <f t="shared" si="9"/>
        <v>0</v>
      </c>
      <c r="CO26" s="228">
        <f t="shared" si="7"/>
        <v>4</v>
      </c>
      <c r="CQ26" s="85">
        <f ca="1" t="shared" si="8"/>
        <v>45114</v>
      </c>
      <c r="CR26" s="84" t="e">
        <f>IF((#REF!&lt;=CQ26),1,0)</f>
        <v>#REF!</v>
      </c>
    </row>
    <row r="27" spans="1:96" s="59" customFormat="1" ht="12.75" customHeight="1">
      <c r="A27" s="216">
        <v>21</v>
      </c>
      <c r="B27" s="227" t="str">
        <f>UPPER(Furnizor!$C$4)</f>
        <v>LXX</v>
      </c>
      <c r="C27" s="218"/>
      <c r="D27" s="216"/>
      <c r="E27" s="212"/>
      <c r="F27" s="212"/>
      <c r="G27" s="214"/>
      <c r="H27" s="219"/>
      <c r="I27" s="240">
        <f t="shared" si="0"/>
        <v>0</v>
      </c>
      <c r="J27" s="226">
        <f t="shared" si="1"/>
        <v>0</v>
      </c>
      <c r="CI27" s="83">
        <f t="shared" si="2"/>
        <v>0</v>
      </c>
      <c r="CJ27" s="83">
        <f t="shared" si="3"/>
        <v>0</v>
      </c>
      <c r="CK27" s="83">
        <f t="shared" si="4"/>
        <v>0</v>
      </c>
      <c r="CL27" s="83">
        <f t="shared" si="5"/>
        <v>0</v>
      </c>
      <c r="CM27" s="83">
        <f t="shared" si="6"/>
        <v>0</v>
      </c>
      <c r="CN27" s="83">
        <f t="shared" si="9"/>
        <v>0</v>
      </c>
      <c r="CO27" s="228">
        <f t="shared" si="7"/>
        <v>4</v>
      </c>
      <c r="CQ27" s="85">
        <f ca="1" t="shared" si="8"/>
        <v>45114</v>
      </c>
      <c r="CR27" s="84" t="e">
        <f>IF((#REF!&lt;=CQ27),1,0)</f>
        <v>#REF!</v>
      </c>
    </row>
    <row r="28" spans="1:96" s="59" customFormat="1" ht="12.75" customHeight="1">
      <c r="A28" s="216">
        <v>22</v>
      </c>
      <c r="B28" s="227" t="str">
        <f>UPPER(Furnizor!$C$4)</f>
        <v>LXX</v>
      </c>
      <c r="C28" s="218"/>
      <c r="D28" s="216"/>
      <c r="E28" s="212"/>
      <c r="F28" s="212"/>
      <c r="G28" s="214"/>
      <c r="H28" s="219"/>
      <c r="I28" s="240">
        <f t="shared" si="0"/>
        <v>0</v>
      </c>
      <c r="J28" s="226">
        <f t="shared" si="1"/>
        <v>0</v>
      </c>
      <c r="CI28" s="83">
        <f t="shared" si="2"/>
        <v>0</v>
      </c>
      <c r="CJ28" s="83">
        <f t="shared" si="3"/>
        <v>0</v>
      </c>
      <c r="CK28" s="83">
        <f t="shared" si="4"/>
        <v>0</v>
      </c>
      <c r="CL28" s="83">
        <f t="shared" si="5"/>
        <v>0</v>
      </c>
      <c r="CM28" s="83">
        <f t="shared" si="6"/>
        <v>0</v>
      </c>
      <c r="CN28" s="83">
        <f t="shared" si="9"/>
        <v>0</v>
      </c>
      <c r="CO28" s="228">
        <f t="shared" si="7"/>
        <v>4</v>
      </c>
      <c r="CQ28" s="85">
        <f ca="1" t="shared" si="8"/>
        <v>45114</v>
      </c>
      <c r="CR28" s="84" t="e">
        <f>IF((#REF!&lt;=CQ28),1,0)</f>
        <v>#REF!</v>
      </c>
    </row>
    <row r="29" spans="1:96" s="59" customFormat="1" ht="12.75" customHeight="1">
      <c r="A29" s="212">
        <v>23</v>
      </c>
      <c r="B29" s="227" t="str">
        <f>UPPER(Furnizor!$C$4)</f>
        <v>LXX</v>
      </c>
      <c r="C29" s="218"/>
      <c r="D29" s="216"/>
      <c r="E29" s="212"/>
      <c r="F29" s="212"/>
      <c r="G29" s="214"/>
      <c r="H29" s="219"/>
      <c r="I29" s="240">
        <f t="shared" si="0"/>
        <v>0</v>
      </c>
      <c r="J29" s="226">
        <f t="shared" si="1"/>
        <v>0</v>
      </c>
      <c r="CI29" s="83">
        <f t="shared" si="2"/>
        <v>0</v>
      </c>
      <c r="CJ29" s="83">
        <f t="shared" si="3"/>
        <v>0</v>
      </c>
      <c r="CK29" s="83">
        <f t="shared" si="4"/>
        <v>0</v>
      </c>
      <c r="CL29" s="83">
        <f t="shared" si="5"/>
        <v>0</v>
      </c>
      <c r="CM29" s="83">
        <f t="shared" si="6"/>
        <v>0</v>
      </c>
      <c r="CN29" s="83">
        <f t="shared" si="9"/>
        <v>0</v>
      </c>
      <c r="CO29" s="228">
        <f t="shared" si="7"/>
        <v>4</v>
      </c>
      <c r="CQ29" s="85">
        <f ca="1" t="shared" si="8"/>
        <v>45114</v>
      </c>
      <c r="CR29" s="84" t="e">
        <f>IF((#REF!&lt;=CQ29),1,0)</f>
        <v>#REF!</v>
      </c>
    </row>
    <row r="30" spans="1:96" s="59" customFormat="1" ht="12.75" customHeight="1">
      <c r="A30" s="216">
        <v>24</v>
      </c>
      <c r="B30" s="227" t="str">
        <f>UPPER(Furnizor!$C$4)</f>
        <v>LXX</v>
      </c>
      <c r="C30" s="218"/>
      <c r="D30" s="216"/>
      <c r="E30" s="212"/>
      <c r="F30" s="212"/>
      <c r="G30" s="214"/>
      <c r="H30" s="219"/>
      <c r="I30" s="240">
        <f t="shared" si="0"/>
        <v>0</v>
      </c>
      <c r="J30" s="226">
        <f t="shared" si="1"/>
        <v>0</v>
      </c>
      <c r="CI30" s="83">
        <f t="shared" si="2"/>
        <v>0</v>
      </c>
      <c r="CJ30" s="83">
        <f t="shared" si="3"/>
        <v>0</v>
      </c>
      <c r="CK30" s="83">
        <f t="shared" si="4"/>
        <v>0</v>
      </c>
      <c r="CL30" s="83">
        <f t="shared" si="5"/>
        <v>0</v>
      </c>
      <c r="CM30" s="83">
        <f t="shared" si="6"/>
        <v>0</v>
      </c>
      <c r="CN30" s="83">
        <f t="shared" si="9"/>
        <v>0</v>
      </c>
      <c r="CO30" s="228">
        <f t="shared" si="7"/>
        <v>4</v>
      </c>
      <c r="CQ30" s="85">
        <f ca="1" t="shared" si="8"/>
        <v>45114</v>
      </c>
      <c r="CR30" s="84" t="e">
        <f>IF((#REF!&lt;=CQ30),1,0)</f>
        <v>#REF!</v>
      </c>
    </row>
    <row r="31" spans="1:96" s="59" customFormat="1" ht="12.75" customHeight="1">
      <c r="A31" s="216">
        <v>25</v>
      </c>
      <c r="B31" s="227" t="str">
        <f>UPPER(Furnizor!$C$4)</f>
        <v>LXX</v>
      </c>
      <c r="C31" s="218"/>
      <c r="D31" s="216"/>
      <c r="E31" s="212"/>
      <c r="F31" s="212"/>
      <c r="G31" s="214"/>
      <c r="H31" s="219"/>
      <c r="I31" s="240">
        <f t="shared" si="0"/>
        <v>0</v>
      </c>
      <c r="J31" s="226">
        <f t="shared" si="1"/>
        <v>0</v>
      </c>
      <c r="CI31" s="83">
        <f t="shared" si="2"/>
        <v>0</v>
      </c>
      <c r="CJ31" s="83">
        <f t="shared" si="3"/>
        <v>0</v>
      </c>
      <c r="CK31" s="83">
        <f t="shared" si="4"/>
        <v>0</v>
      </c>
      <c r="CL31" s="83">
        <f t="shared" si="5"/>
        <v>0</v>
      </c>
      <c r="CM31" s="83">
        <f t="shared" si="6"/>
        <v>0</v>
      </c>
      <c r="CN31" s="83">
        <f t="shared" si="9"/>
        <v>0</v>
      </c>
      <c r="CO31" s="228">
        <f t="shared" si="7"/>
        <v>4</v>
      </c>
      <c r="CQ31" s="85">
        <f ca="1" t="shared" si="8"/>
        <v>45114</v>
      </c>
      <c r="CR31" s="84" t="e">
        <f>IF((#REF!&lt;=CQ31),1,0)</f>
        <v>#REF!</v>
      </c>
    </row>
    <row r="32" spans="1:96" s="59" customFormat="1" ht="12.75" customHeight="1">
      <c r="A32" s="212">
        <v>26</v>
      </c>
      <c r="B32" s="227" t="str">
        <f>UPPER(Furnizor!$C$4)</f>
        <v>LXX</v>
      </c>
      <c r="C32" s="218"/>
      <c r="D32" s="216"/>
      <c r="E32" s="212"/>
      <c r="F32" s="212"/>
      <c r="G32" s="214"/>
      <c r="H32" s="219"/>
      <c r="I32" s="240">
        <f t="shared" si="0"/>
        <v>0</v>
      </c>
      <c r="J32" s="226">
        <f t="shared" si="1"/>
        <v>0</v>
      </c>
      <c r="CI32" s="83">
        <f t="shared" si="2"/>
        <v>0</v>
      </c>
      <c r="CJ32" s="83">
        <f t="shared" si="3"/>
        <v>0</v>
      </c>
      <c r="CK32" s="83">
        <f t="shared" si="4"/>
        <v>0</v>
      </c>
      <c r="CL32" s="83">
        <f t="shared" si="5"/>
        <v>0</v>
      </c>
      <c r="CM32" s="83">
        <f t="shared" si="6"/>
        <v>0</v>
      </c>
      <c r="CN32" s="83">
        <f t="shared" si="9"/>
        <v>0</v>
      </c>
      <c r="CO32" s="228">
        <f t="shared" si="7"/>
        <v>4</v>
      </c>
      <c r="CQ32" s="85">
        <f ca="1" t="shared" si="8"/>
        <v>45114</v>
      </c>
      <c r="CR32" s="84" t="e">
        <f>IF((#REF!&lt;=CQ32),1,0)</f>
        <v>#REF!</v>
      </c>
    </row>
    <row r="33" spans="1:96" s="59" customFormat="1" ht="12.75" customHeight="1">
      <c r="A33" s="216">
        <v>27</v>
      </c>
      <c r="B33" s="227" t="str">
        <f>UPPER(Furnizor!$C$4)</f>
        <v>LXX</v>
      </c>
      <c r="C33" s="218"/>
      <c r="D33" s="216"/>
      <c r="E33" s="212"/>
      <c r="F33" s="212"/>
      <c r="G33" s="214"/>
      <c r="H33" s="219"/>
      <c r="I33" s="240">
        <f t="shared" si="0"/>
        <v>0</v>
      </c>
      <c r="J33" s="226">
        <f t="shared" si="1"/>
        <v>0</v>
      </c>
      <c r="CI33" s="83">
        <f t="shared" si="2"/>
        <v>0</v>
      </c>
      <c r="CJ33" s="83">
        <f t="shared" si="3"/>
        <v>0</v>
      </c>
      <c r="CK33" s="83">
        <f t="shared" si="4"/>
        <v>0</v>
      </c>
      <c r="CL33" s="83">
        <f t="shared" si="5"/>
        <v>0</v>
      </c>
      <c r="CM33" s="83">
        <f t="shared" si="6"/>
        <v>0</v>
      </c>
      <c r="CN33" s="83">
        <f t="shared" si="9"/>
        <v>0</v>
      </c>
      <c r="CO33" s="228">
        <f t="shared" si="7"/>
        <v>4</v>
      </c>
      <c r="CQ33" s="85">
        <f ca="1" t="shared" si="8"/>
        <v>45114</v>
      </c>
      <c r="CR33" s="84" t="e">
        <f>IF((#REF!&lt;=CQ33),1,0)</f>
        <v>#REF!</v>
      </c>
    </row>
    <row r="34" spans="1:96" s="59" customFormat="1" ht="12.75" customHeight="1">
      <c r="A34" s="216">
        <v>28</v>
      </c>
      <c r="B34" s="227" t="str">
        <f>UPPER(Furnizor!$C$4)</f>
        <v>LXX</v>
      </c>
      <c r="C34" s="218"/>
      <c r="D34" s="216"/>
      <c r="E34" s="212"/>
      <c r="F34" s="212"/>
      <c r="G34" s="214"/>
      <c r="H34" s="219"/>
      <c r="I34" s="240">
        <f t="shared" si="0"/>
        <v>0</v>
      </c>
      <c r="J34" s="226">
        <f t="shared" si="1"/>
        <v>0</v>
      </c>
      <c r="CI34" s="83">
        <f t="shared" si="2"/>
        <v>0</v>
      </c>
      <c r="CJ34" s="83">
        <f t="shared" si="3"/>
        <v>0</v>
      </c>
      <c r="CK34" s="83">
        <f t="shared" si="4"/>
        <v>0</v>
      </c>
      <c r="CL34" s="83">
        <f t="shared" si="5"/>
        <v>0</v>
      </c>
      <c r="CM34" s="83">
        <f t="shared" si="6"/>
        <v>0</v>
      </c>
      <c r="CN34" s="83">
        <f t="shared" si="9"/>
        <v>0</v>
      </c>
      <c r="CO34" s="228">
        <f t="shared" si="7"/>
        <v>4</v>
      </c>
      <c r="CQ34" s="85">
        <f ca="1" t="shared" si="8"/>
        <v>45114</v>
      </c>
      <c r="CR34" s="84" t="e">
        <f>IF((#REF!&lt;=CQ34),1,0)</f>
        <v>#REF!</v>
      </c>
    </row>
    <row r="35" spans="1:96" s="59" customFormat="1" ht="12.75" customHeight="1">
      <c r="A35" s="212">
        <v>29</v>
      </c>
      <c r="B35" s="227" t="str">
        <f>UPPER(Furnizor!$C$4)</f>
        <v>LXX</v>
      </c>
      <c r="C35" s="218"/>
      <c r="D35" s="216"/>
      <c r="E35" s="212"/>
      <c r="F35" s="212"/>
      <c r="G35" s="214"/>
      <c r="H35" s="219"/>
      <c r="I35" s="240">
        <f t="shared" si="0"/>
        <v>0</v>
      </c>
      <c r="J35" s="226">
        <f t="shared" si="1"/>
        <v>0</v>
      </c>
      <c r="CI35" s="83">
        <f t="shared" si="2"/>
        <v>0</v>
      </c>
      <c r="CJ35" s="83">
        <f t="shared" si="3"/>
        <v>0</v>
      </c>
      <c r="CK35" s="83">
        <f t="shared" si="4"/>
        <v>0</v>
      </c>
      <c r="CL35" s="83">
        <f t="shared" si="5"/>
        <v>0</v>
      </c>
      <c r="CM35" s="83">
        <f t="shared" si="6"/>
        <v>0</v>
      </c>
      <c r="CN35" s="83">
        <f t="shared" si="9"/>
        <v>0</v>
      </c>
      <c r="CO35" s="228">
        <f t="shared" si="7"/>
        <v>4</v>
      </c>
      <c r="CQ35" s="85">
        <f ca="1" t="shared" si="8"/>
        <v>45114</v>
      </c>
      <c r="CR35" s="84" t="e">
        <f>IF((#REF!&lt;=CQ35),1,0)</f>
        <v>#REF!</v>
      </c>
    </row>
    <row r="36" spans="1:96" s="59" customFormat="1" ht="12.75" customHeight="1">
      <c r="A36" s="216">
        <v>30</v>
      </c>
      <c r="B36" s="227" t="str">
        <f>UPPER(Furnizor!$C$4)</f>
        <v>LXX</v>
      </c>
      <c r="C36" s="218"/>
      <c r="D36" s="216"/>
      <c r="E36" s="212"/>
      <c r="F36" s="212"/>
      <c r="G36" s="214"/>
      <c r="H36" s="219"/>
      <c r="I36" s="240">
        <f t="shared" si="0"/>
        <v>0</v>
      </c>
      <c r="J36" s="226">
        <f t="shared" si="1"/>
        <v>0</v>
      </c>
      <c r="CI36" s="83">
        <f t="shared" si="2"/>
        <v>0</v>
      </c>
      <c r="CJ36" s="83">
        <f t="shared" si="3"/>
        <v>0</v>
      </c>
      <c r="CK36" s="83">
        <f t="shared" si="4"/>
        <v>0</v>
      </c>
      <c r="CL36" s="83">
        <f t="shared" si="5"/>
        <v>0</v>
      </c>
      <c r="CM36" s="83">
        <f t="shared" si="6"/>
        <v>0</v>
      </c>
      <c r="CN36" s="83">
        <f t="shared" si="9"/>
        <v>0</v>
      </c>
      <c r="CO36" s="228">
        <f t="shared" si="7"/>
        <v>4</v>
      </c>
      <c r="CQ36" s="85">
        <f ca="1" t="shared" si="8"/>
        <v>45114</v>
      </c>
      <c r="CR36" s="84" t="e">
        <f>IF((#REF!&lt;=CQ36),1,0)</f>
        <v>#REF!</v>
      </c>
    </row>
    <row r="37" spans="1:96" s="59" customFormat="1" ht="12.75" customHeight="1">
      <c r="A37" s="216">
        <v>31</v>
      </c>
      <c r="B37" s="227" t="str">
        <f>UPPER(Furnizor!$C$4)</f>
        <v>LXX</v>
      </c>
      <c r="C37" s="218"/>
      <c r="D37" s="216"/>
      <c r="E37" s="212"/>
      <c r="F37" s="212"/>
      <c r="G37" s="214"/>
      <c r="H37" s="219"/>
      <c r="I37" s="240">
        <f t="shared" si="0"/>
        <v>0</v>
      </c>
      <c r="J37" s="226">
        <f t="shared" si="1"/>
        <v>0</v>
      </c>
      <c r="CI37" s="83">
        <f t="shared" si="2"/>
        <v>0</v>
      </c>
      <c r="CJ37" s="83">
        <f t="shared" si="3"/>
        <v>0</v>
      </c>
      <c r="CK37" s="83">
        <f t="shared" si="4"/>
        <v>0</v>
      </c>
      <c r="CL37" s="83">
        <f t="shared" si="5"/>
        <v>0</v>
      </c>
      <c r="CM37" s="83">
        <f t="shared" si="6"/>
        <v>0</v>
      </c>
      <c r="CN37" s="83">
        <f t="shared" si="9"/>
        <v>0</v>
      </c>
      <c r="CO37" s="228">
        <f t="shared" si="7"/>
        <v>4</v>
      </c>
      <c r="CQ37" s="85">
        <f ca="1" t="shared" si="8"/>
        <v>45114</v>
      </c>
      <c r="CR37" s="84" t="e">
        <f>IF((#REF!&lt;=CQ37),1,0)</f>
        <v>#REF!</v>
      </c>
    </row>
    <row r="38" spans="1:96" s="59" customFormat="1" ht="12.75" customHeight="1">
      <c r="A38" s="212">
        <v>32</v>
      </c>
      <c r="B38" s="227" t="str">
        <f>UPPER(Furnizor!$C$4)</f>
        <v>LXX</v>
      </c>
      <c r="C38" s="218"/>
      <c r="D38" s="216"/>
      <c r="E38" s="212"/>
      <c r="F38" s="212"/>
      <c r="G38" s="214"/>
      <c r="H38" s="219"/>
      <c r="I38" s="240">
        <f t="shared" si="0"/>
        <v>0</v>
      </c>
      <c r="J38" s="226">
        <f t="shared" si="1"/>
        <v>0</v>
      </c>
      <c r="CI38" s="83">
        <f t="shared" si="2"/>
        <v>0</v>
      </c>
      <c r="CJ38" s="83">
        <f t="shared" si="3"/>
        <v>0</v>
      </c>
      <c r="CK38" s="83">
        <f t="shared" si="4"/>
        <v>0</v>
      </c>
      <c r="CL38" s="83">
        <f t="shared" si="5"/>
        <v>0</v>
      </c>
      <c r="CM38" s="83">
        <f t="shared" si="6"/>
        <v>0</v>
      </c>
      <c r="CN38" s="83">
        <f t="shared" si="9"/>
        <v>0</v>
      </c>
      <c r="CO38" s="228">
        <f t="shared" si="7"/>
        <v>4</v>
      </c>
      <c r="CQ38" s="85">
        <f ca="1" t="shared" si="8"/>
        <v>45114</v>
      </c>
      <c r="CR38" s="84" t="e">
        <f>IF((#REF!&lt;=CQ38),1,0)</f>
        <v>#REF!</v>
      </c>
    </row>
    <row r="39" spans="1:96" s="59" customFormat="1" ht="12.75" customHeight="1">
      <c r="A39" s="212">
        <v>33</v>
      </c>
      <c r="B39" s="227" t="str">
        <f>UPPER(Furnizor!$C$4)</f>
        <v>LXX</v>
      </c>
      <c r="C39" s="218"/>
      <c r="D39" s="216"/>
      <c r="E39" s="212"/>
      <c r="F39" s="212"/>
      <c r="G39" s="214"/>
      <c r="H39" s="219"/>
      <c r="I39" s="240">
        <f t="shared" si="0"/>
        <v>0</v>
      </c>
      <c r="J39" s="226">
        <f t="shared" si="1"/>
        <v>0</v>
      </c>
      <c r="CI39" s="83">
        <f aca="true" t="shared" si="10" ref="CI39:CI59">IF(AND(E39="Medicina de laborator",F39="Primar"),40,IF(AND(E39="Medicina de laborator",F39="Specialist"),30,))</f>
        <v>0</v>
      </c>
      <c r="CJ39" s="83">
        <f aca="true" t="shared" si="11" ref="CJ39:CJ59">IF(AND(E39="Biolog_medical",F39="Principal"),25,IF(AND(E39="Biolog_medical",F39="Specialist"),20,IF(AND(E39="Chimist_medical",F39="Principal"),25,IF(AND(E39="Chimist_medical",F39="Specialist"),20,IF(AND(E39="Biochimist_medical",F39="Principal"),25,IF(AND(E39="Biochimist_medical",F39="Specialist"),20,))))))</f>
        <v>0</v>
      </c>
      <c r="CK39" s="83">
        <f aca="true" t="shared" si="12" ref="CK39:CK59">IF(AND(E39="Biolog",F39="Fara_Grad"),15,IF(AND(E39="Chimist",F39="Fara_Grad"),15,IF(AND(E39="Biochimist",F39="Fara_Grad"),15,)))</f>
        <v>0</v>
      </c>
      <c r="CL39" s="83">
        <f aca="true" t="shared" si="13" ref="CL39:CL59">IF(AND(E39="Asistent laborator",F39="Superioare"),10,IF(AND(E39="Asistent laborator",F39="Medii"),8,))</f>
        <v>0</v>
      </c>
      <c r="CM39" s="83">
        <f aca="true" t="shared" si="14" ref="CM39:CM59">IF(AND(E39="Farmacist",F39="Fara_Grad"),15,)</f>
        <v>0</v>
      </c>
      <c r="CN39" s="83">
        <f t="shared" si="9"/>
        <v>0</v>
      </c>
      <c r="CO39" s="228">
        <f aca="true" t="shared" si="15" ref="CO39:CO59">COUNTBLANK(C39:F39)</f>
        <v>4</v>
      </c>
      <c r="CQ39" s="85">
        <f ca="1" t="shared" si="8"/>
        <v>45114</v>
      </c>
      <c r="CR39" s="84" t="e">
        <f>IF((#REF!&lt;=CQ39),1,0)</f>
        <v>#REF!</v>
      </c>
    </row>
    <row r="40" spans="1:96" s="59" customFormat="1" ht="12.75" customHeight="1">
      <c r="A40" s="216">
        <v>34</v>
      </c>
      <c r="B40" s="227" t="str">
        <f>UPPER(Furnizor!$C$4)</f>
        <v>LXX</v>
      </c>
      <c r="C40" s="218"/>
      <c r="D40" s="216"/>
      <c r="E40" s="212"/>
      <c r="F40" s="212"/>
      <c r="G40" s="214"/>
      <c r="H40" s="219"/>
      <c r="I40" s="240">
        <f t="shared" si="0"/>
        <v>0</v>
      </c>
      <c r="J40" s="226">
        <f t="shared" si="1"/>
        <v>0</v>
      </c>
      <c r="CI40" s="83">
        <f t="shared" si="10"/>
        <v>0</v>
      </c>
      <c r="CJ40" s="83">
        <f t="shared" si="11"/>
        <v>0</v>
      </c>
      <c r="CK40" s="83">
        <f t="shared" si="12"/>
        <v>0</v>
      </c>
      <c r="CL40" s="83">
        <f t="shared" si="13"/>
        <v>0</v>
      </c>
      <c r="CM40" s="83">
        <f t="shared" si="14"/>
        <v>0</v>
      </c>
      <c r="CN40" s="83">
        <f t="shared" si="9"/>
        <v>0</v>
      </c>
      <c r="CO40" s="228">
        <f t="shared" si="15"/>
        <v>4</v>
      </c>
      <c r="CQ40" s="85">
        <f ca="1" t="shared" si="8"/>
        <v>45114</v>
      </c>
      <c r="CR40" s="84" t="e">
        <f>IF((#REF!&lt;=CQ40),1,0)</f>
        <v>#REF!</v>
      </c>
    </row>
    <row r="41" spans="1:96" s="59" customFormat="1" ht="12.75" customHeight="1">
      <c r="A41" s="216">
        <v>35</v>
      </c>
      <c r="B41" s="227" t="str">
        <f>UPPER(Furnizor!$C$4)</f>
        <v>LXX</v>
      </c>
      <c r="C41" s="218"/>
      <c r="D41" s="216"/>
      <c r="E41" s="212"/>
      <c r="F41" s="212"/>
      <c r="G41" s="214"/>
      <c r="H41" s="219"/>
      <c r="I41" s="240">
        <f t="shared" si="0"/>
        <v>0</v>
      </c>
      <c r="J41" s="226">
        <f t="shared" si="1"/>
        <v>0</v>
      </c>
      <c r="CI41" s="83">
        <f t="shared" si="10"/>
        <v>0</v>
      </c>
      <c r="CJ41" s="83">
        <f t="shared" si="11"/>
        <v>0</v>
      </c>
      <c r="CK41" s="83">
        <f t="shared" si="12"/>
        <v>0</v>
      </c>
      <c r="CL41" s="83">
        <f t="shared" si="13"/>
        <v>0</v>
      </c>
      <c r="CM41" s="83">
        <f t="shared" si="14"/>
        <v>0</v>
      </c>
      <c r="CN41" s="83">
        <f t="shared" si="9"/>
        <v>0</v>
      </c>
      <c r="CO41" s="228">
        <f t="shared" si="15"/>
        <v>4</v>
      </c>
      <c r="CQ41" s="85">
        <f ca="1" t="shared" si="8"/>
        <v>45114</v>
      </c>
      <c r="CR41" s="84" t="e">
        <f>IF((#REF!&lt;=CQ41),1,0)</f>
        <v>#REF!</v>
      </c>
    </row>
    <row r="42" spans="1:96" s="59" customFormat="1" ht="12.75" customHeight="1">
      <c r="A42" s="212">
        <v>36</v>
      </c>
      <c r="B42" s="227" t="str">
        <f>UPPER(Furnizor!$C$4)</f>
        <v>LXX</v>
      </c>
      <c r="C42" s="218"/>
      <c r="D42" s="216"/>
      <c r="E42" s="212"/>
      <c r="F42" s="212"/>
      <c r="G42" s="214"/>
      <c r="H42" s="219"/>
      <c r="I42" s="240">
        <f t="shared" si="0"/>
        <v>0</v>
      </c>
      <c r="J42" s="226">
        <f t="shared" si="1"/>
        <v>0</v>
      </c>
      <c r="CI42" s="83">
        <f t="shared" si="10"/>
        <v>0</v>
      </c>
      <c r="CJ42" s="83">
        <f t="shared" si="11"/>
        <v>0</v>
      </c>
      <c r="CK42" s="83">
        <f t="shared" si="12"/>
        <v>0</v>
      </c>
      <c r="CL42" s="83">
        <f t="shared" si="13"/>
        <v>0</v>
      </c>
      <c r="CM42" s="83">
        <f t="shared" si="14"/>
        <v>0</v>
      </c>
      <c r="CN42" s="83">
        <f t="shared" si="9"/>
        <v>0</v>
      </c>
      <c r="CO42" s="228">
        <f t="shared" si="15"/>
        <v>4</v>
      </c>
      <c r="CQ42" s="85">
        <f ca="1" t="shared" si="8"/>
        <v>45114</v>
      </c>
      <c r="CR42" s="84" t="e">
        <f>IF((#REF!&lt;=CQ42),1,0)</f>
        <v>#REF!</v>
      </c>
    </row>
    <row r="43" spans="1:96" s="59" customFormat="1" ht="12.75" customHeight="1">
      <c r="A43" s="216">
        <v>37</v>
      </c>
      <c r="B43" s="227" t="str">
        <f>UPPER(Furnizor!$C$4)</f>
        <v>LXX</v>
      </c>
      <c r="C43" s="218"/>
      <c r="D43" s="216"/>
      <c r="E43" s="212"/>
      <c r="F43" s="212"/>
      <c r="G43" s="214"/>
      <c r="H43" s="219"/>
      <c r="I43" s="240">
        <f t="shared" si="0"/>
        <v>0</v>
      </c>
      <c r="J43" s="226">
        <f t="shared" si="1"/>
        <v>0</v>
      </c>
      <c r="CI43" s="83">
        <f t="shared" si="10"/>
        <v>0</v>
      </c>
      <c r="CJ43" s="83">
        <f t="shared" si="11"/>
        <v>0</v>
      </c>
      <c r="CK43" s="83">
        <f t="shared" si="12"/>
        <v>0</v>
      </c>
      <c r="CL43" s="83">
        <f t="shared" si="13"/>
        <v>0</v>
      </c>
      <c r="CM43" s="83">
        <f t="shared" si="14"/>
        <v>0</v>
      </c>
      <c r="CN43" s="83">
        <f t="shared" si="9"/>
        <v>0</v>
      </c>
      <c r="CO43" s="228">
        <f t="shared" si="15"/>
        <v>4</v>
      </c>
      <c r="CQ43" s="85">
        <f ca="1" t="shared" si="8"/>
        <v>45114</v>
      </c>
      <c r="CR43" s="84" t="e">
        <f>IF((#REF!&lt;=CQ43),1,0)</f>
        <v>#REF!</v>
      </c>
    </row>
    <row r="44" spans="1:96" s="59" customFormat="1" ht="12.75" customHeight="1">
      <c r="A44" s="216">
        <v>38</v>
      </c>
      <c r="B44" s="227" t="str">
        <f>UPPER(Furnizor!$C$4)</f>
        <v>LXX</v>
      </c>
      <c r="C44" s="218"/>
      <c r="D44" s="216"/>
      <c r="E44" s="212"/>
      <c r="F44" s="212"/>
      <c r="G44" s="214"/>
      <c r="H44" s="219"/>
      <c r="I44" s="240">
        <f t="shared" si="0"/>
        <v>0</v>
      </c>
      <c r="J44" s="226">
        <f t="shared" si="1"/>
        <v>0</v>
      </c>
      <c r="CI44" s="83">
        <f t="shared" si="10"/>
        <v>0</v>
      </c>
      <c r="CJ44" s="83">
        <f t="shared" si="11"/>
        <v>0</v>
      </c>
      <c r="CK44" s="83">
        <f t="shared" si="12"/>
        <v>0</v>
      </c>
      <c r="CL44" s="83">
        <f t="shared" si="13"/>
        <v>0</v>
      </c>
      <c r="CM44" s="83">
        <f t="shared" si="14"/>
        <v>0</v>
      </c>
      <c r="CN44" s="83">
        <f t="shared" si="9"/>
        <v>0</v>
      </c>
      <c r="CO44" s="228">
        <f t="shared" si="15"/>
        <v>4</v>
      </c>
      <c r="CQ44" s="85">
        <f ca="1" t="shared" si="8"/>
        <v>45114</v>
      </c>
      <c r="CR44" s="84" t="e">
        <f>IF((#REF!&lt;=CQ44),1,0)</f>
        <v>#REF!</v>
      </c>
    </row>
    <row r="45" spans="1:96" s="59" customFormat="1" ht="12.75" customHeight="1">
      <c r="A45" s="212">
        <v>39</v>
      </c>
      <c r="B45" s="227" t="str">
        <f>UPPER(Furnizor!$C$4)</f>
        <v>LXX</v>
      </c>
      <c r="C45" s="218"/>
      <c r="D45" s="216"/>
      <c r="E45" s="212"/>
      <c r="F45" s="212"/>
      <c r="G45" s="214"/>
      <c r="H45" s="219"/>
      <c r="I45" s="240">
        <f t="shared" si="0"/>
        <v>0</v>
      </c>
      <c r="J45" s="226">
        <f t="shared" si="1"/>
        <v>0</v>
      </c>
      <c r="CI45" s="83">
        <f t="shared" si="10"/>
        <v>0</v>
      </c>
      <c r="CJ45" s="83">
        <f t="shared" si="11"/>
        <v>0</v>
      </c>
      <c r="CK45" s="83">
        <f t="shared" si="12"/>
        <v>0</v>
      </c>
      <c r="CL45" s="83">
        <f t="shared" si="13"/>
        <v>0</v>
      </c>
      <c r="CM45" s="83">
        <f t="shared" si="14"/>
        <v>0</v>
      </c>
      <c r="CN45" s="83">
        <f t="shared" si="9"/>
        <v>0</v>
      </c>
      <c r="CO45" s="228">
        <f t="shared" si="15"/>
        <v>4</v>
      </c>
      <c r="CQ45" s="85">
        <f ca="1" t="shared" si="8"/>
        <v>45114</v>
      </c>
      <c r="CR45" s="84" t="e">
        <f>IF((#REF!&lt;=CQ45),1,0)</f>
        <v>#REF!</v>
      </c>
    </row>
    <row r="46" spans="1:96" s="59" customFormat="1" ht="12.75" customHeight="1">
      <c r="A46" s="216">
        <v>40</v>
      </c>
      <c r="B46" s="227" t="str">
        <f>UPPER(Furnizor!$C$4)</f>
        <v>LXX</v>
      </c>
      <c r="C46" s="218"/>
      <c r="D46" s="216"/>
      <c r="E46" s="212"/>
      <c r="F46" s="212"/>
      <c r="G46" s="214"/>
      <c r="H46" s="219"/>
      <c r="I46" s="240">
        <f t="shared" si="0"/>
        <v>0</v>
      </c>
      <c r="J46" s="226">
        <f t="shared" si="1"/>
        <v>0</v>
      </c>
      <c r="CI46" s="83">
        <f t="shared" si="10"/>
        <v>0</v>
      </c>
      <c r="CJ46" s="83">
        <f t="shared" si="11"/>
        <v>0</v>
      </c>
      <c r="CK46" s="83">
        <f t="shared" si="12"/>
        <v>0</v>
      </c>
      <c r="CL46" s="83">
        <f t="shared" si="13"/>
        <v>0</v>
      </c>
      <c r="CM46" s="83">
        <f t="shared" si="14"/>
        <v>0</v>
      </c>
      <c r="CN46" s="83">
        <f t="shared" si="9"/>
        <v>0</v>
      </c>
      <c r="CO46" s="228">
        <f t="shared" si="15"/>
        <v>4</v>
      </c>
      <c r="CQ46" s="85">
        <f ca="1" t="shared" si="8"/>
        <v>45114</v>
      </c>
      <c r="CR46" s="84" t="e">
        <f>IF((#REF!&lt;=CQ46),1,0)</f>
        <v>#REF!</v>
      </c>
    </row>
    <row r="47" spans="1:96" s="59" customFormat="1" ht="7.5" customHeight="1">
      <c r="A47" s="86"/>
      <c r="B47" s="229"/>
      <c r="C47" s="230"/>
      <c r="D47" s="231"/>
      <c r="E47" s="232"/>
      <c r="F47" s="232"/>
      <c r="G47" s="233"/>
      <c r="H47" s="234"/>
      <c r="I47" s="86"/>
      <c r="J47" s="235"/>
      <c r="CI47" s="83">
        <f t="shared" si="10"/>
        <v>0</v>
      </c>
      <c r="CJ47" s="83">
        <f t="shared" si="11"/>
        <v>0</v>
      </c>
      <c r="CK47" s="83">
        <f t="shared" si="12"/>
        <v>0</v>
      </c>
      <c r="CL47" s="83">
        <f t="shared" si="13"/>
        <v>0</v>
      </c>
      <c r="CM47" s="83">
        <f t="shared" si="14"/>
        <v>0</v>
      </c>
      <c r="CN47" s="83">
        <f t="shared" si="9"/>
        <v>0</v>
      </c>
      <c r="CO47" s="228">
        <f t="shared" si="15"/>
        <v>4</v>
      </c>
      <c r="CQ47" s="85">
        <f ca="1" t="shared" si="8"/>
        <v>45114</v>
      </c>
      <c r="CR47" s="84" t="e">
        <f>IF((#REF!&lt;=CQ47),1,0)</f>
        <v>#REF!</v>
      </c>
    </row>
    <row r="48" spans="1:96" ht="12.75" customHeight="1">
      <c r="A48" s="86"/>
      <c r="B48" s="87"/>
      <c r="C48" s="238" t="s">
        <v>353</v>
      </c>
      <c r="D48" s="237">
        <f>COUNT(D7:D46)</f>
        <v>3</v>
      </c>
      <c r="E48" s="86"/>
      <c r="F48" s="86"/>
      <c r="G48" s="87"/>
      <c r="H48" s="239" t="s">
        <v>354</v>
      </c>
      <c r="I48" s="92"/>
      <c r="J48" s="236">
        <f>SUM(J7:J46)</f>
        <v>0</v>
      </c>
      <c r="CI48" s="83">
        <f t="shared" si="10"/>
        <v>0</v>
      </c>
      <c r="CJ48" s="83">
        <f t="shared" si="11"/>
        <v>0</v>
      </c>
      <c r="CK48" s="83">
        <f t="shared" si="12"/>
        <v>0</v>
      </c>
      <c r="CL48" s="83">
        <f t="shared" si="13"/>
        <v>0</v>
      </c>
      <c r="CM48" s="83">
        <f t="shared" si="14"/>
        <v>0</v>
      </c>
      <c r="CN48" s="83">
        <f t="shared" si="9"/>
        <v>0</v>
      </c>
      <c r="CO48" s="228">
        <f t="shared" si="15"/>
        <v>2</v>
      </c>
      <c r="CQ48" s="85">
        <f ca="1" t="shared" si="8"/>
        <v>45114</v>
      </c>
      <c r="CR48" s="84" t="e">
        <f>IF((#REF!&lt;=CQ48),1,0)</f>
        <v>#REF!</v>
      </c>
    </row>
    <row r="49" spans="1:96" ht="12.75">
      <c r="A49" s="119"/>
      <c r="D49" s="88"/>
      <c r="E49" s="86"/>
      <c r="F49" s="86"/>
      <c r="G49" s="87"/>
      <c r="H49" s="91"/>
      <c r="I49" s="92"/>
      <c r="J49" s="93"/>
      <c r="CI49" s="83">
        <f t="shared" si="10"/>
        <v>0</v>
      </c>
      <c r="CJ49" s="83">
        <f t="shared" si="11"/>
        <v>0</v>
      </c>
      <c r="CK49" s="83">
        <f t="shared" si="12"/>
        <v>0</v>
      </c>
      <c r="CL49" s="83">
        <f t="shared" si="13"/>
        <v>0</v>
      </c>
      <c r="CM49" s="83">
        <f t="shared" si="14"/>
        <v>0</v>
      </c>
      <c r="CN49" s="83">
        <f t="shared" si="9"/>
        <v>0</v>
      </c>
      <c r="CO49" s="228">
        <f>COUNTBLANK(A49:F49)</f>
        <v>6</v>
      </c>
      <c r="CQ49" s="85">
        <f ca="1" t="shared" si="8"/>
        <v>45114</v>
      </c>
      <c r="CR49" s="84" t="e">
        <f>IF((#REF!&lt;=CQ49),1,0)</f>
        <v>#REF!</v>
      </c>
    </row>
    <row r="50" spans="2:96" ht="12.75" customHeight="1">
      <c r="B50" s="87"/>
      <c r="C50" s="119"/>
      <c r="D50" s="88"/>
      <c r="E50" s="86"/>
      <c r="F50" s="86"/>
      <c r="G50" s="87"/>
      <c r="H50" s="91"/>
      <c r="I50" s="92"/>
      <c r="J50" s="93"/>
      <c r="CI50" s="83">
        <f t="shared" si="10"/>
        <v>0</v>
      </c>
      <c r="CJ50" s="83">
        <f t="shared" si="11"/>
        <v>0</v>
      </c>
      <c r="CK50" s="83">
        <f t="shared" si="12"/>
        <v>0</v>
      </c>
      <c r="CL50" s="83">
        <f t="shared" si="13"/>
        <v>0</v>
      </c>
      <c r="CM50" s="83">
        <f t="shared" si="14"/>
        <v>0</v>
      </c>
      <c r="CN50" s="83">
        <f t="shared" si="9"/>
        <v>0</v>
      </c>
      <c r="CO50" s="228">
        <f>COUNTBLANK(B50:F50)</f>
        <v>5</v>
      </c>
      <c r="CQ50" s="85">
        <f ca="1" t="shared" si="8"/>
        <v>45114</v>
      </c>
      <c r="CR50" s="84" t="e">
        <f>IF((#REF!&lt;=CQ50),1,0)</f>
        <v>#REF!</v>
      </c>
    </row>
    <row r="51" spans="1:96" ht="12.75" customHeight="1">
      <c r="A51" s="86"/>
      <c r="B51" s="87"/>
      <c r="C51" s="119" t="s">
        <v>380</v>
      </c>
      <c r="D51" s="88"/>
      <c r="E51" s="86"/>
      <c r="F51" s="86"/>
      <c r="G51" s="87"/>
      <c r="H51" s="91"/>
      <c r="I51" s="92"/>
      <c r="J51" s="93"/>
      <c r="CI51" s="83">
        <f t="shared" si="10"/>
        <v>0</v>
      </c>
      <c r="CJ51" s="83">
        <f t="shared" si="11"/>
        <v>0</v>
      </c>
      <c r="CK51" s="83">
        <f t="shared" si="12"/>
        <v>0</v>
      </c>
      <c r="CL51" s="83">
        <f t="shared" si="13"/>
        <v>0</v>
      </c>
      <c r="CM51" s="83">
        <f t="shared" si="14"/>
        <v>0</v>
      </c>
      <c r="CN51" s="83">
        <f t="shared" si="9"/>
        <v>0</v>
      </c>
      <c r="CO51" s="228">
        <f t="shared" si="15"/>
        <v>3</v>
      </c>
      <c r="CQ51" s="85">
        <f ca="1" t="shared" si="8"/>
        <v>45114</v>
      </c>
      <c r="CR51" s="84" t="e">
        <f>IF((#REF!&lt;=CQ51),1,0)</f>
        <v>#REF!</v>
      </c>
    </row>
    <row r="52" spans="1:96" ht="12.75" customHeight="1">
      <c r="A52" s="86"/>
      <c r="B52" s="87"/>
      <c r="C52" s="338" t="s">
        <v>290</v>
      </c>
      <c r="D52" s="88"/>
      <c r="E52" s="86"/>
      <c r="F52" s="86"/>
      <c r="G52" s="87"/>
      <c r="H52" s="91"/>
      <c r="I52" s="92"/>
      <c r="J52" s="93"/>
      <c r="CI52" s="83">
        <f t="shared" si="10"/>
        <v>0</v>
      </c>
      <c r="CJ52" s="83">
        <f t="shared" si="11"/>
        <v>0</v>
      </c>
      <c r="CK52" s="83">
        <f t="shared" si="12"/>
        <v>0</v>
      </c>
      <c r="CL52" s="83">
        <f t="shared" si="13"/>
        <v>0</v>
      </c>
      <c r="CM52" s="83">
        <f t="shared" si="14"/>
        <v>0</v>
      </c>
      <c r="CN52" s="83">
        <f t="shared" si="9"/>
        <v>0</v>
      </c>
      <c r="CO52" s="228">
        <f t="shared" si="15"/>
        <v>3</v>
      </c>
      <c r="CQ52" s="85">
        <f ca="1" t="shared" si="8"/>
        <v>45114</v>
      </c>
      <c r="CR52" s="84" t="e">
        <f>IF((#REF!&lt;=CQ52),1,0)</f>
        <v>#REF!</v>
      </c>
    </row>
    <row r="53" spans="1:96" ht="12.75" customHeight="1">
      <c r="A53" s="86"/>
      <c r="B53" s="87"/>
      <c r="C53" s="119" t="s">
        <v>381</v>
      </c>
      <c r="D53" s="88"/>
      <c r="E53" s="86"/>
      <c r="F53" s="86"/>
      <c r="G53" s="87"/>
      <c r="H53" s="91"/>
      <c r="I53" s="92"/>
      <c r="J53" s="93"/>
      <c r="CI53" s="83">
        <f t="shared" si="10"/>
        <v>0</v>
      </c>
      <c r="CJ53" s="83">
        <f t="shared" si="11"/>
        <v>0</v>
      </c>
      <c r="CK53" s="83">
        <f t="shared" si="12"/>
        <v>0</v>
      </c>
      <c r="CL53" s="83">
        <f t="shared" si="13"/>
        <v>0</v>
      </c>
      <c r="CM53" s="83">
        <f t="shared" si="14"/>
        <v>0</v>
      </c>
      <c r="CN53" s="83">
        <f t="shared" si="9"/>
        <v>0</v>
      </c>
      <c r="CO53" s="228">
        <f t="shared" si="15"/>
        <v>3</v>
      </c>
      <c r="CQ53" s="85">
        <f ca="1" t="shared" si="8"/>
        <v>45114</v>
      </c>
      <c r="CR53" s="84" t="e">
        <f>IF((#REF!&lt;=CQ53),1,0)</f>
        <v>#REF!</v>
      </c>
    </row>
    <row r="54" spans="1:96" ht="12.75" customHeight="1">
      <c r="A54" s="86"/>
      <c r="B54" s="87"/>
      <c r="D54" s="88"/>
      <c r="E54" s="86"/>
      <c r="F54" s="86"/>
      <c r="G54" s="87"/>
      <c r="H54" s="91"/>
      <c r="I54" s="92"/>
      <c r="J54" s="93"/>
      <c r="CI54" s="83">
        <f t="shared" si="10"/>
        <v>0</v>
      </c>
      <c r="CJ54" s="83">
        <f t="shared" si="11"/>
        <v>0</v>
      </c>
      <c r="CK54" s="83">
        <f t="shared" si="12"/>
        <v>0</v>
      </c>
      <c r="CL54" s="83">
        <f t="shared" si="13"/>
        <v>0</v>
      </c>
      <c r="CM54" s="83">
        <f t="shared" si="14"/>
        <v>0</v>
      </c>
      <c r="CN54" s="83">
        <f t="shared" si="9"/>
        <v>0</v>
      </c>
      <c r="CO54" s="228">
        <f t="shared" si="15"/>
        <v>4</v>
      </c>
      <c r="CQ54" s="85">
        <f ca="1" t="shared" si="8"/>
        <v>45114</v>
      </c>
      <c r="CR54" s="84" t="e">
        <f>IF((#REF!&lt;=CQ54),1,0)</f>
        <v>#REF!</v>
      </c>
    </row>
    <row r="55" spans="1:96" ht="12.75" customHeight="1">
      <c r="A55" s="86"/>
      <c r="B55" s="87"/>
      <c r="C55" s="87"/>
      <c r="D55" s="88"/>
      <c r="E55" s="86"/>
      <c r="F55" s="86"/>
      <c r="G55" s="87"/>
      <c r="H55" s="91"/>
      <c r="I55" s="92"/>
      <c r="J55" s="93"/>
      <c r="CI55" s="83">
        <f t="shared" si="10"/>
        <v>0</v>
      </c>
      <c r="CJ55" s="83">
        <f t="shared" si="11"/>
        <v>0</v>
      </c>
      <c r="CK55" s="83">
        <f t="shared" si="12"/>
        <v>0</v>
      </c>
      <c r="CL55" s="83">
        <f t="shared" si="13"/>
        <v>0</v>
      </c>
      <c r="CM55" s="83">
        <f t="shared" si="14"/>
        <v>0</v>
      </c>
      <c r="CN55" s="83">
        <f t="shared" si="9"/>
        <v>0</v>
      </c>
      <c r="CO55" s="228">
        <f t="shared" si="15"/>
        <v>4</v>
      </c>
      <c r="CQ55" s="85">
        <f ca="1" t="shared" si="8"/>
        <v>45114</v>
      </c>
      <c r="CR55" s="84" t="e">
        <f>IF((#REF!&lt;=CQ55),1,0)</f>
        <v>#REF!</v>
      </c>
    </row>
    <row r="56" spans="1:96" ht="12.75" customHeight="1">
      <c r="A56" s="86"/>
      <c r="B56" s="87"/>
      <c r="C56" s="87"/>
      <c r="D56" s="88"/>
      <c r="E56" s="86"/>
      <c r="F56" s="86"/>
      <c r="G56" s="87"/>
      <c r="H56" s="91"/>
      <c r="I56" s="92"/>
      <c r="J56" s="93"/>
      <c r="CI56" s="83">
        <f t="shared" si="10"/>
        <v>0</v>
      </c>
      <c r="CJ56" s="83">
        <f t="shared" si="11"/>
        <v>0</v>
      </c>
      <c r="CK56" s="83">
        <f t="shared" si="12"/>
        <v>0</v>
      </c>
      <c r="CL56" s="83">
        <f t="shared" si="13"/>
        <v>0</v>
      </c>
      <c r="CM56" s="83">
        <f t="shared" si="14"/>
        <v>0</v>
      </c>
      <c r="CN56" s="83">
        <f t="shared" si="9"/>
        <v>0</v>
      </c>
      <c r="CO56" s="228">
        <f t="shared" si="15"/>
        <v>4</v>
      </c>
      <c r="CQ56" s="85">
        <f ca="1" t="shared" si="8"/>
        <v>45114</v>
      </c>
      <c r="CR56" s="84" t="e">
        <f>IF((#REF!&lt;=CQ56),1,0)</f>
        <v>#REF!</v>
      </c>
    </row>
    <row r="57" spans="1:96" ht="12.75" customHeight="1">
      <c r="A57" s="86"/>
      <c r="B57" s="87"/>
      <c r="C57" s="87"/>
      <c r="D57" s="88"/>
      <c r="E57" s="86"/>
      <c r="F57" s="86"/>
      <c r="G57" s="87"/>
      <c r="H57" s="91"/>
      <c r="I57" s="92"/>
      <c r="J57" s="93"/>
      <c r="CI57" s="83">
        <f t="shared" si="10"/>
        <v>0</v>
      </c>
      <c r="CJ57" s="83">
        <f t="shared" si="11"/>
        <v>0</v>
      </c>
      <c r="CK57" s="83">
        <f t="shared" si="12"/>
        <v>0</v>
      </c>
      <c r="CL57" s="83">
        <f t="shared" si="13"/>
        <v>0</v>
      </c>
      <c r="CM57" s="83">
        <f t="shared" si="14"/>
        <v>0</v>
      </c>
      <c r="CN57" s="83">
        <f t="shared" si="9"/>
        <v>0</v>
      </c>
      <c r="CO57" s="228">
        <f t="shared" si="15"/>
        <v>4</v>
      </c>
      <c r="CQ57" s="85">
        <f ca="1" t="shared" si="8"/>
        <v>45114</v>
      </c>
      <c r="CR57" s="84" t="e">
        <f>IF((#REF!&lt;=CQ57),1,0)</f>
        <v>#REF!</v>
      </c>
    </row>
    <row r="58" spans="1:96" ht="12.75" customHeight="1">
      <c r="A58" s="86"/>
      <c r="B58" s="87"/>
      <c r="C58" s="87"/>
      <c r="D58" s="88"/>
      <c r="E58" s="86"/>
      <c r="F58" s="86"/>
      <c r="G58" s="87"/>
      <c r="H58" s="91"/>
      <c r="I58" s="92"/>
      <c r="J58" s="93"/>
      <c r="CI58" s="83">
        <f t="shared" si="10"/>
        <v>0</v>
      </c>
      <c r="CJ58" s="83">
        <f t="shared" si="11"/>
        <v>0</v>
      </c>
      <c r="CK58" s="83">
        <f t="shared" si="12"/>
        <v>0</v>
      </c>
      <c r="CL58" s="83">
        <f t="shared" si="13"/>
        <v>0</v>
      </c>
      <c r="CM58" s="83">
        <f t="shared" si="14"/>
        <v>0</v>
      </c>
      <c r="CN58" s="83">
        <f t="shared" si="9"/>
        <v>0</v>
      </c>
      <c r="CO58" s="228">
        <f t="shared" si="15"/>
        <v>4</v>
      </c>
      <c r="CQ58" s="85">
        <f ca="1" t="shared" si="8"/>
        <v>45114</v>
      </c>
      <c r="CR58" s="84" t="e">
        <f>IF((#REF!&lt;=CQ58),1,0)</f>
        <v>#REF!</v>
      </c>
    </row>
    <row r="59" spans="1:96" ht="12.75" customHeight="1">
      <c r="A59" s="86"/>
      <c r="B59" s="87"/>
      <c r="C59" s="87"/>
      <c r="D59" s="88"/>
      <c r="E59" s="86"/>
      <c r="F59" s="86"/>
      <c r="G59" s="87"/>
      <c r="H59" s="91"/>
      <c r="I59" s="92"/>
      <c r="J59" s="93"/>
      <c r="CI59" s="83">
        <f t="shared" si="10"/>
        <v>0</v>
      </c>
      <c r="CJ59" s="83">
        <f t="shared" si="11"/>
        <v>0</v>
      </c>
      <c r="CK59" s="83">
        <f t="shared" si="12"/>
        <v>0</v>
      </c>
      <c r="CL59" s="83">
        <f t="shared" si="13"/>
        <v>0</v>
      </c>
      <c r="CM59" s="83">
        <f t="shared" si="14"/>
        <v>0</v>
      </c>
      <c r="CN59" s="83">
        <f t="shared" si="9"/>
        <v>0</v>
      </c>
      <c r="CO59" s="228">
        <f t="shared" si="15"/>
        <v>4</v>
      </c>
      <c r="CQ59" s="85">
        <f ca="1" t="shared" si="8"/>
        <v>45114</v>
      </c>
      <c r="CR59" s="84" t="e">
        <f>IF((#REF!&lt;=CQ59),1,0)</f>
        <v>#REF!</v>
      </c>
    </row>
    <row r="60" spans="1:10" ht="12.75" customHeight="1">
      <c r="A60" s="86"/>
      <c r="B60" s="87"/>
      <c r="C60" s="87"/>
      <c r="D60" s="88"/>
      <c r="E60" s="86"/>
      <c r="F60" s="86"/>
      <c r="G60" s="87"/>
      <c r="H60" s="91"/>
      <c r="I60" s="92"/>
      <c r="J60" s="93"/>
    </row>
    <row r="61" spans="1:10" ht="12.75" customHeight="1">
      <c r="A61" s="86"/>
      <c r="B61" s="87"/>
      <c r="C61" s="87"/>
      <c r="D61" s="88"/>
      <c r="E61" s="86"/>
      <c r="F61" s="86"/>
      <c r="G61" s="87"/>
      <c r="H61" s="91"/>
      <c r="I61" s="92"/>
      <c r="J61" s="93"/>
    </row>
    <row r="62" spans="1:10" ht="12.75" customHeight="1">
      <c r="A62" s="86"/>
      <c r="B62" s="87"/>
      <c r="C62" s="87"/>
      <c r="D62" s="88"/>
      <c r="E62" s="86"/>
      <c r="F62" s="86"/>
      <c r="G62" s="87"/>
      <c r="H62" s="91"/>
      <c r="I62" s="92"/>
      <c r="J62" s="93"/>
    </row>
    <row r="63" spans="1:10" ht="12.75" customHeight="1">
      <c r="A63" s="86"/>
      <c r="B63" s="89"/>
      <c r="C63" s="89"/>
      <c r="D63" s="90"/>
      <c r="E63" s="86"/>
      <c r="F63" s="86"/>
      <c r="G63" s="89"/>
      <c r="H63" s="94"/>
      <c r="I63" s="95"/>
      <c r="J63" s="96"/>
    </row>
    <row r="64" spans="8:10" ht="12.75" customHeight="1">
      <c r="H64" s="97"/>
      <c r="I64" s="97"/>
      <c r="J64" s="97"/>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sheetData>
  <sheetProtection password="FD18" sheet="1" formatCells="0" autoFilter="0"/>
  <autoFilter ref="C6:E46"/>
  <dataValidations count="4">
    <dataValidation type="decimal" allowBlank="1" showInputMessage="1" showErrorMessage="1" sqref="H7:H47">
      <formula1>0</formula1>
      <formula2>8</formula2>
    </dataValidation>
    <dataValidation type="list" allowBlank="1" showInputMessage="1" showErrorMessage="1" sqref="E47:E63">
      <formula1>"Medicina de laborator,Biolog_medical,Chimist_medical,Biochimist_medical,Biolog,Chimist,Biochimist,Asistent laborator"</formula1>
    </dataValidation>
    <dataValidation type="list" allowBlank="1" showInputMessage="1" showErrorMessage="1" sqref="F7:F63">
      <formula1>"Primar,Specialist,Principal,Fara_Grad,Medii,Superioare"</formula1>
    </dataValidation>
    <dataValidation type="list" allowBlank="1" showInputMessage="1" showErrorMessage="1" sqref="E7:E46">
      <formula1>"Medicina de laborator,Biolog_medical,Chimist_medical,Biochimist_medical,Biolog,Farmacist,Chimist,Biochimist,Asistent laborator"</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tabColor rgb="FF0000FF"/>
  </sheetPr>
  <dimension ref="A1:CY75"/>
  <sheetViews>
    <sheetView tabSelected="1" zoomScalePageLayoutView="0" workbookViewId="0" topLeftCell="A40">
      <selection activeCell="M7" sqref="M7"/>
    </sheetView>
  </sheetViews>
  <sheetFormatPr defaultColWidth="9.00390625" defaultRowHeight="12.75"/>
  <cols>
    <col min="1" max="1" width="12.8515625" style="7" customWidth="1"/>
    <col min="2" max="2" width="9.57421875" style="7" customWidth="1"/>
    <col min="3" max="3" width="12.28125" style="7" customWidth="1"/>
    <col min="4" max="4" width="8.28125" style="7" customWidth="1"/>
    <col min="5" max="5" width="11.140625" style="7" customWidth="1"/>
    <col min="6" max="6" width="7.140625" style="7" customWidth="1"/>
    <col min="7" max="7" width="8.140625" style="7" customWidth="1"/>
    <col min="8" max="8" width="14.140625" style="6" customWidth="1"/>
    <col min="9" max="9" width="8.7109375" style="6" customWidth="1"/>
    <col min="10" max="10" width="7.00390625" style="6" customWidth="1"/>
    <col min="11" max="11" width="10.140625" style="6" customWidth="1"/>
    <col min="12" max="12" width="8.140625" style="6" customWidth="1"/>
    <col min="13" max="13" width="6.7109375" style="7" customWidth="1"/>
    <col min="14" max="14" width="4.7109375" style="263" customWidth="1"/>
    <col min="15" max="76" width="7.421875" style="263" customWidth="1"/>
    <col min="77" max="77" width="13.140625" style="263" customWidth="1"/>
    <col min="78" max="78" width="9.8515625" style="263" customWidth="1"/>
    <col min="79" max="79" width="8.421875" style="263" hidden="1" customWidth="1"/>
    <col min="80" max="80" width="4.140625" style="280" hidden="1" customWidth="1"/>
    <col min="81" max="81" width="6.28125" style="280" hidden="1" customWidth="1"/>
    <col min="82" max="82" width="4.8515625" style="263" hidden="1" customWidth="1"/>
    <col min="83" max="83" width="4.28125" style="263" hidden="1" customWidth="1"/>
    <col min="84" max="84" width="4.7109375" style="263" hidden="1" customWidth="1"/>
    <col min="85" max="85" width="5.7109375" style="263" hidden="1" customWidth="1"/>
    <col min="86" max="86" width="6.7109375" style="263" hidden="1" customWidth="1"/>
    <col min="87" max="87" width="6.421875" style="263" hidden="1" customWidth="1"/>
    <col min="88" max="88" width="6.28125" style="263" hidden="1" customWidth="1"/>
    <col min="89" max="89" width="4.8515625" style="263" hidden="1" customWidth="1"/>
    <col min="90" max="90" width="7.57421875" style="263" hidden="1" customWidth="1"/>
    <col min="91" max="91" width="5.7109375" style="263" hidden="1" customWidth="1"/>
    <col min="92" max="92" width="5.140625" style="263" hidden="1" customWidth="1"/>
    <col min="93" max="93" width="2.8515625" style="280" hidden="1" customWidth="1"/>
    <col min="94" max="94" width="6.28125" style="280" hidden="1" customWidth="1"/>
    <col min="95" max="95" width="22.140625" style="280" hidden="1" customWidth="1"/>
    <col min="96" max="96" width="4.421875" style="280" hidden="1" customWidth="1"/>
    <col min="97" max="97" width="7.00390625" style="280" hidden="1" customWidth="1"/>
    <col min="98" max="98" width="9.00390625" style="280" hidden="1" customWidth="1"/>
    <col min="99" max="100" width="4.421875" style="280" hidden="1" customWidth="1"/>
    <col min="101" max="103" width="9.00390625" style="280" customWidth="1"/>
    <col min="104" max="123" width="9.00390625" style="6" customWidth="1"/>
    <col min="124" max="16384" width="9.00390625" style="6" customWidth="1"/>
  </cols>
  <sheetData>
    <row r="1" spans="1:12" ht="51">
      <c r="A1" s="50" t="s">
        <v>14</v>
      </c>
      <c r="B1" s="403" t="str">
        <f>PROPER(Furnizor!B2)</f>
        <v>Sc  Denumire Furnizor Srl</v>
      </c>
      <c r="C1" s="403"/>
      <c r="D1" s="403"/>
      <c r="E1" s="50"/>
      <c r="F1" s="50"/>
      <c r="G1" s="50"/>
      <c r="I1" s="122" t="s">
        <v>290</v>
      </c>
      <c r="J1" s="49"/>
      <c r="K1" s="48"/>
      <c r="L1" s="48"/>
    </row>
    <row r="2" spans="1:103" s="262" customFormat="1" ht="16.5" customHeight="1">
      <c r="A2" s="271" t="s">
        <v>15</v>
      </c>
      <c r="B2" s="211" t="str">
        <f>PROPER(Furnizor!AO27)</f>
        <v>Loc.Constanta Str.Nume Strada Punct De Lucru Nr.1 </v>
      </c>
      <c r="C2" s="264"/>
      <c r="D2" s="271"/>
      <c r="E2" s="271"/>
      <c r="F2" s="271"/>
      <c r="G2" s="271"/>
      <c r="I2" s="272" t="s">
        <v>380</v>
      </c>
      <c r="J2" s="47"/>
      <c r="K2" s="47"/>
      <c r="L2" s="47"/>
      <c r="M2" s="43"/>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281"/>
      <c r="CC2" s="281"/>
      <c r="CD2" s="71"/>
      <c r="CE2" s="71"/>
      <c r="CF2" s="71"/>
      <c r="CG2" s="71"/>
      <c r="CH2" s="71"/>
      <c r="CI2" s="71"/>
      <c r="CJ2" s="71"/>
      <c r="CK2" s="71"/>
      <c r="CL2" s="71"/>
      <c r="CM2" s="71"/>
      <c r="CN2" s="71"/>
      <c r="CO2" s="281"/>
      <c r="CP2" s="281"/>
      <c r="CQ2" s="281"/>
      <c r="CR2" s="281"/>
      <c r="CS2" s="281"/>
      <c r="CT2" s="281"/>
      <c r="CU2" s="281"/>
      <c r="CV2" s="281"/>
      <c r="CW2" s="281"/>
      <c r="CX2" s="281"/>
      <c r="CY2" s="281"/>
    </row>
    <row r="3" spans="1:12" ht="12.75">
      <c r="A3" s="45" t="s">
        <v>16</v>
      </c>
      <c r="B3" s="194" t="str">
        <f>PROPER(Furnizor!C4)</f>
        <v>Lxx</v>
      </c>
      <c r="C3" s="193"/>
      <c r="D3" s="45"/>
      <c r="E3" s="45"/>
      <c r="F3" s="45"/>
      <c r="G3" s="45"/>
      <c r="I3" s="261" t="s">
        <v>381</v>
      </c>
      <c r="J3" s="8"/>
      <c r="K3" s="8"/>
      <c r="L3" s="8"/>
    </row>
    <row r="4" spans="1:79" ht="12.75">
      <c r="A4" s="44" t="s">
        <v>289</v>
      </c>
      <c r="B4" s="195" t="str">
        <f>PROPER(Furnizor!C5)</f>
        <v>11111111</v>
      </c>
      <c r="C4" s="53"/>
      <c r="D4" s="20" t="s">
        <v>288</v>
      </c>
      <c r="F4" s="42"/>
      <c r="G4" s="42"/>
      <c r="J4" s="8"/>
      <c r="K4" s="8"/>
      <c r="L4" s="43" t="s">
        <v>13</v>
      </c>
      <c r="BZ4" s="42"/>
      <c r="CA4" s="42"/>
    </row>
    <row r="5" spans="1:79" ht="12.75">
      <c r="A5" s="9"/>
      <c r="B5" s="9"/>
      <c r="C5" s="9"/>
      <c r="D5" s="9"/>
      <c r="E5" s="9"/>
      <c r="F5" s="9"/>
      <c r="G5" s="9"/>
      <c r="H5" s="8"/>
      <c r="I5" s="8"/>
      <c r="J5" s="8"/>
      <c r="K5" s="8"/>
      <c r="L5" s="275" t="s">
        <v>401</v>
      </c>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row>
    <row r="6" spans="1:94" ht="51">
      <c r="A6" s="279" t="s">
        <v>241</v>
      </c>
      <c r="B6" s="279" t="s">
        <v>240</v>
      </c>
      <c r="C6" s="279" t="s">
        <v>286</v>
      </c>
      <c r="D6" s="279" t="s">
        <v>236</v>
      </c>
      <c r="E6" s="279" t="s">
        <v>285</v>
      </c>
      <c r="F6" s="279" t="s">
        <v>284</v>
      </c>
      <c r="G6" s="279" t="s">
        <v>283</v>
      </c>
      <c r="H6" s="279" t="s">
        <v>282</v>
      </c>
      <c r="I6" s="298" t="s">
        <v>281</v>
      </c>
      <c r="J6" s="298" t="s">
        <v>280</v>
      </c>
      <c r="K6" s="298" t="s">
        <v>542</v>
      </c>
      <c r="L6" s="298" t="s">
        <v>279</v>
      </c>
      <c r="M6" s="298" t="s">
        <v>278</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299" t="s">
        <v>277</v>
      </c>
      <c r="CB6" s="280" t="s">
        <v>276</v>
      </c>
      <c r="CC6" s="280" t="s">
        <v>400</v>
      </c>
      <c r="CD6" s="263" t="s">
        <v>275</v>
      </c>
      <c r="CE6" s="263" t="s">
        <v>274</v>
      </c>
      <c r="CF6" s="263" t="s">
        <v>273</v>
      </c>
      <c r="CG6" s="263" t="s">
        <v>272</v>
      </c>
      <c r="CH6" s="282" t="s">
        <v>271</v>
      </c>
      <c r="CI6" s="282" t="s">
        <v>270</v>
      </c>
      <c r="CJ6" s="282" t="s">
        <v>269</v>
      </c>
      <c r="CK6" s="282" t="s">
        <v>268</v>
      </c>
      <c r="CL6" s="282" t="s">
        <v>397</v>
      </c>
      <c r="CM6" s="282" t="s">
        <v>398</v>
      </c>
      <c r="CN6" s="282" t="s">
        <v>399</v>
      </c>
      <c r="CO6" s="280" t="s">
        <v>267</v>
      </c>
      <c r="CP6" s="280" t="s">
        <v>266</v>
      </c>
    </row>
    <row r="7" spans="1:103" s="43" customFormat="1" ht="54">
      <c r="A7" s="300" t="s">
        <v>203</v>
      </c>
      <c r="B7" s="38" t="s">
        <v>265</v>
      </c>
      <c r="C7" s="24" t="s">
        <v>264</v>
      </c>
      <c r="D7" s="24" t="s">
        <v>567</v>
      </c>
      <c r="E7" s="24" t="s">
        <v>44</v>
      </c>
      <c r="F7" s="38" t="s">
        <v>231</v>
      </c>
      <c r="G7" s="38" t="s">
        <v>231</v>
      </c>
      <c r="H7" s="63"/>
      <c r="I7" s="64"/>
      <c r="J7" s="64"/>
      <c r="K7" s="24"/>
      <c r="L7" s="24"/>
      <c r="M7" s="65">
        <f>CM7</f>
        <v>0</v>
      </c>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283">
        <f>IF(J7&gt;0,$CU$7-J7,0)</f>
        <v>0</v>
      </c>
      <c r="CB7" s="70">
        <f>CA7-8</f>
        <v>-8</v>
      </c>
      <c r="CC7" s="71">
        <f>CB7*20</f>
        <v>-160</v>
      </c>
      <c r="CD7" s="71">
        <f>IF(C7="pana la 18",10,IF(C7="&gt;18 cu formula leucocitara 5 Dif",25,IF(C7="&gt;22 cu formula leucocitara 5 Dif",30,0)))</f>
        <v>30</v>
      </c>
      <c r="CE7" s="71">
        <f>IF(D7="pana la 60",0,5)</f>
        <v>0</v>
      </c>
      <c r="CF7" s="71">
        <f>IF(C7="pana la 18",0,IF(E7="Nu",0,10))</f>
        <v>0</v>
      </c>
      <c r="CG7" s="71">
        <v>0</v>
      </c>
      <c r="CH7" s="72">
        <f>IF(CK7=1,CD7+CE7+CF7+CG7,0)</f>
        <v>0</v>
      </c>
      <c r="CI7" s="73">
        <f>COUNTBLANK(H7:J7)</f>
        <v>3</v>
      </c>
      <c r="CJ7" s="73">
        <f>IF(K7="Nu",0,IF(L7="Nu",0,1))</f>
        <v>1</v>
      </c>
      <c r="CK7" s="73">
        <f>IF(CI7&gt;0,0,IF(CJ7=0,0,1))</f>
        <v>0</v>
      </c>
      <c r="CL7" s="273">
        <f>IF(CA7&gt;12,0,IF(CA7&lt;=8,CH7,CH7-(CH7*CC7/100)))</f>
        <v>0</v>
      </c>
      <c r="CM7" s="273">
        <f>IF(CA7&lt;0,0,CL7)</f>
        <v>0</v>
      </c>
      <c r="CN7" s="273"/>
      <c r="CO7" s="71">
        <v>10</v>
      </c>
      <c r="CP7" s="71">
        <f>IF(CC7&gt;0,CO7-(CO7*CC7)/100,CO7)</f>
        <v>10</v>
      </c>
      <c r="CQ7" s="71" t="str">
        <f aca="true" t="shared" si="0" ref="CQ7:CQ52">$B$1</f>
        <v>Sc  Denumire Furnizor Srl</v>
      </c>
      <c r="CR7" s="71" t="str">
        <f aca="true" t="shared" si="1" ref="CR7:CR52">$B$3</f>
        <v>Lxx</v>
      </c>
      <c r="CS7" s="71" t="str">
        <f aca="true" t="shared" si="2" ref="CS7:CS52">$B$4</f>
        <v>11111111</v>
      </c>
      <c r="CT7" s="71"/>
      <c r="CU7" s="71">
        <f ca="1">YEAR(TODAY())</f>
        <v>2023</v>
      </c>
      <c r="CV7" s="71">
        <f ca="1">YEAR(TODAY())-12</f>
        <v>2011</v>
      </c>
      <c r="CW7" s="71"/>
      <c r="CX7" s="71"/>
      <c r="CY7" s="71"/>
    </row>
    <row r="8" spans="1:103" s="43" customFormat="1" ht="54">
      <c r="A8" s="300" t="s">
        <v>203</v>
      </c>
      <c r="B8" s="38" t="s">
        <v>265</v>
      </c>
      <c r="C8" s="24" t="s">
        <v>264</v>
      </c>
      <c r="D8" s="24" t="s">
        <v>263</v>
      </c>
      <c r="E8" s="24" t="s">
        <v>31</v>
      </c>
      <c r="F8" s="38" t="s">
        <v>231</v>
      </c>
      <c r="G8" s="38" t="s">
        <v>231</v>
      </c>
      <c r="H8" s="24"/>
      <c r="I8" s="126"/>
      <c r="J8" s="64"/>
      <c r="K8" s="24"/>
      <c r="L8" s="24"/>
      <c r="M8" s="65">
        <f>CM8</f>
        <v>0</v>
      </c>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283">
        <f aca="true" t="shared" si="3" ref="CA8:CA51">IF(J8&gt;0,$CU$7-J8,0)</f>
        <v>0</v>
      </c>
      <c r="CB8" s="70">
        <f>CA8-8</f>
        <v>-8</v>
      </c>
      <c r="CC8" s="71">
        <f>CB8*20</f>
        <v>-160</v>
      </c>
      <c r="CD8" s="71">
        <f>IF(C8="pana la 18",10,IF(C8="&gt;18 cu formula leucocitara 5 Dif",25,IF(C8="&gt;22 cu formula leucocitara 5 Dif",30,0)))</f>
        <v>30</v>
      </c>
      <c r="CE8" s="71">
        <f>IF(D8="pana la 60",0,5)</f>
        <v>5</v>
      </c>
      <c r="CF8" s="71">
        <f>IF(C8="pana la 18",0,IF(E8="Nu",0,10))</f>
        <v>10</v>
      </c>
      <c r="CG8" s="71">
        <v>0</v>
      </c>
      <c r="CH8" s="72">
        <f>IF(CK8=1,CD8+CE8+CF8+CG8,0)</f>
        <v>0</v>
      </c>
      <c r="CI8" s="73">
        <f>COUNTBLANK(H8:J8)</f>
        <v>3</v>
      </c>
      <c r="CJ8" s="73">
        <f>IF(K8="Nu",0,IF(L8="Nu",0,1))</f>
        <v>1</v>
      </c>
      <c r="CK8" s="73">
        <f>IF(CI8&gt;0,0,IF(CJ8=0,0,1))</f>
        <v>0</v>
      </c>
      <c r="CL8" s="273">
        <f aca="true" t="shared" si="4" ref="CL8:CL51">IF(CA8&gt;12,0,IF(CA8&lt;=8,CH8,CH8-(CH8*CC8/100)))</f>
        <v>0</v>
      </c>
      <c r="CM8" s="273">
        <f aca="true" t="shared" si="5" ref="CM8:CM51">IF(CA8&lt;0,0,CL8)</f>
        <v>0</v>
      </c>
      <c r="CN8" s="273"/>
      <c r="CO8" s="71">
        <v>10</v>
      </c>
      <c r="CP8" s="71">
        <f>IF(CC8&gt;0,CO8-(CO8*CC8)/100,CO8)</f>
        <v>10</v>
      </c>
      <c r="CQ8" s="71" t="str">
        <f t="shared" si="0"/>
        <v>Sc  Denumire Furnizor Srl</v>
      </c>
      <c r="CR8" s="71" t="str">
        <f t="shared" si="1"/>
        <v>Lxx</v>
      </c>
      <c r="CS8" s="71" t="str">
        <f t="shared" si="2"/>
        <v>11111111</v>
      </c>
      <c r="CT8" s="71"/>
      <c r="CU8" s="71"/>
      <c r="CV8" s="71"/>
      <c r="CW8" s="71"/>
      <c r="CX8" s="71"/>
      <c r="CY8" s="71"/>
    </row>
    <row r="9" spans="1:103" s="43" customFormat="1" ht="15.75" customHeight="1">
      <c r="A9" s="404" t="s">
        <v>262</v>
      </c>
      <c r="B9" s="404"/>
      <c r="C9" s="404"/>
      <c r="D9" s="404"/>
      <c r="E9" s="404"/>
      <c r="F9" s="404"/>
      <c r="G9" s="404"/>
      <c r="H9" s="123">
        <f>COUNTA(H7:H8)</f>
        <v>0</v>
      </c>
      <c r="I9" s="402" t="s">
        <v>229</v>
      </c>
      <c r="J9" s="402"/>
      <c r="K9" s="402"/>
      <c r="L9" s="402"/>
      <c r="M9" s="124">
        <f>IF(H9&gt;2,0,M7+M8)</f>
        <v>0</v>
      </c>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283">
        <f t="shared" si="3"/>
        <v>0</v>
      </c>
      <c r="CB9" s="70">
        <f>CA9-8</f>
        <v>-8</v>
      </c>
      <c r="CC9" s="71">
        <f>CB9*20</f>
        <v>-160</v>
      </c>
      <c r="CD9" s="71"/>
      <c r="CE9" s="71"/>
      <c r="CF9" s="71"/>
      <c r="CG9" s="71"/>
      <c r="CH9" s="72"/>
      <c r="CI9" s="73"/>
      <c r="CJ9" s="73"/>
      <c r="CK9" s="73"/>
      <c r="CL9" s="273">
        <f t="shared" si="4"/>
        <v>0</v>
      </c>
      <c r="CM9" s="273">
        <f t="shared" si="5"/>
        <v>0</v>
      </c>
      <c r="CN9" s="273"/>
      <c r="CO9" s="71"/>
      <c r="CP9" s="71"/>
      <c r="CQ9" s="71" t="str">
        <f t="shared" si="0"/>
        <v>Sc  Denumire Furnizor Srl</v>
      </c>
      <c r="CR9" s="71" t="str">
        <f t="shared" si="1"/>
        <v>Lxx</v>
      </c>
      <c r="CS9" s="71" t="str">
        <f t="shared" si="2"/>
        <v>11111111</v>
      </c>
      <c r="CT9" s="71"/>
      <c r="CU9" s="71"/>
      <c r="CV9" s="71"/>
      <c r="CW9" s="71"/>
      <c r="CX9" s="71"/>
      <c r="CY9" s="71"/>
    </row>
    <row r="10" spans="1:103" s="43" customFormat="1" ht="40.5">
      <c r="A10" s="408" t="s">
        <v>261</v>
      </c>
      <c r="B10" s="24" t="s">
        <v>260</v>
      </c>
      <c r="C10" s="25" t="s">
        <v>231</v>
      </c>
      <c r="D10" s="25" t="s">
        <v>231</v>
      </c>
      <c r="E10" s="25" t="s">
        <v>231</v>
      </c>
      <c r="F10" s="25" t="s">
        <v>231</v>
      </c>
      <c r="G10" s="25" t="s">
        <v>231</v>
      </c>
      <c r="H10" s="68"/>
      <c r="I10" s="64"/>
      <c r="J10" s="64"/>
      <c r="K10" s="24"/>
      <c r="L10" s="24"/>
      <c r="M10" s="65">
        <f>CM10</f>
        <v>0</v>
      </c>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283">
        <f t="shared" si="3"/>
        <v>0</v>
      </c>
      <c r="CB10" s="70">
        <f>CA10-8</f>
        <v>-8</v>
      </c>
      <c r="CC10" s="71">
        <f>CB10*20</f>
        <v>-160</v>
      </c>
      <c r="CD10" s="71">
        <f>IF(B10="coagulare semiautomat",10,20)</f>
        <v>10</v>
      </c>
      <c r="CE10" s="71">
        <v>0</v>
      </c>
      <c r="CF10" s="71">
        <v>0</v>
      </c>
      <c r="CG10" s="71">
        <v>0</v>
      </c>
      <c r="CH10" s="72">
        <f>IF(CK10=1,CD10+CE10+CF10+CG10,0)</f>
        <v>0</v>
      </c>
      <c r="CI10" s="73">
        <f>COUNTBLANK(H10:J10)</f>
        <v>3</v>
      </c>
      <c r="CJ10" s="73">
        <f>IF(K10="Nu",0,IF(L10="Nu",0,1))</f>
        <v>1</v>
      </c>
      <c r="CK10" s="73">
        <f>IF(CI10&gt;0,0,IF(CJ10=0,0,1))</f>
        <v>0</v>
      </c>
      <c r="CL10" s="273">
        <f t="shared" si="4"/>
        <v>0</v>
      </c>
      <c r="CM10" s="273">
        <f t="shared" si="5"/>
        <v>0</v>
      </c>
      <c r="CN10" s="273"/>
      <c r="CO10" s="71"/>
      <c r="CP10" s="71"/>
      <c r="CQ10" s="71" t="str">
        <f t="shared" si="0"/>
        <v>Sc  Denumire Furnizor Srl</v>
      </c>
      <c r="CR10" s="71" t="str">
        <f t="shared" si="1"/>
        <v>Lxx</v>
      </c>
      <c r="CS10" s="71" t="str">
        <f t="shared" si="2"/>
        <v>11111111</v>
      </c>
      <c r="CT10" s="71"/>
      <c r="CU10" s="71"/>
      <c r="CV10" s="71"/>
      <c r="CW10" s="71"/>
      <c r="CX10" s="71"/>
      <c r="CY10" s="71"/>
    </row>
    <row r="11" spans="1:103" s="43" customFormat="1" ht="27">
      <c r="A11" s="409"/>
      <c r="B11" s="24" t="s">
        <v>394</v>
      </c>
      <c r="C11" s="25" t="s">
        <v>231</v>
      </c>
      <c r="D11" s="25" t="s">
        <v>231</v>
      </c>
      <c r="E11" s="25" t="s">
        <v>231</v>
      </c>
      <c r="F11" s="25" t="s">
        <v>231</v>
      </c>
      <c r="G11" s="25" t="s">
        <v>231</v>
      </c>
      <c r="H11" s="125"/>
      <c r="I11" s="126"/>
      <c r="J11" s="64"/>
      <c r="K11" s="24"/>
      <c r="L11" s="24"/>
      <c r="M11" s="65">
        <f>CM11</f>
        <v>0</v>
      </c>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283">
        <f t="shared" si="3"/>
        <v>0</v>
      </c>
      <c r="CB11" s="70">
        <f>CA11-8</f>
        <v>-8</v>
      </c>
      <c r="CC11" s="71">
        <f>CB11*20</f>
        <v>-160</v>
      </c>
      <c r="CD11" s="71">
        <f>IF(B11="coagulare semiautomat",10,20)</f>
        <v>20</v>
      </c>
      <c r="CE11" s="71">
        <v>0</v>
      </c>
      <c r="CF11" s="71">
        <v>0</v>
      </c>
      <c r="CG11" s="71">
        <v>0</v>
      </c>
      <c r="CH11" s="72">
        <f>IF(CK11=1,CD11+CE11+CF11+CG11,0)</f>
        <v>0</v>
      </c>
      <c r="CI11" s="73">
        <f>COUNTBLANK(H11:J11)</f>
        <v>3</v>
      </c>
      <c r="CJ11" s="73">
        <f>IF(K11="Nu",0,IF(L11="Nu",0,1))</f>
        <v>1</v>
      </c>
      <c r="CK11" s="73">
        <f>IF(CI11&gt;0,0,IF(CJ11=0,0,1))</f>
        <v>0</v>
      </c>
      <c r="CL11" s="273">
        <f t="shared" si="4"/>
        <v>0</v>
      </c>
      <c r="CM11" s="273">
        <f t="shared" si="5"/>
        <v>0</v>
      </c>
      <c r="CN11" s="273"/>
      <c r="CO11" s="71"/>
      <c r="CP11" s="71"/>
      <c r="CQ11" s="71" t="str">
        <f t="shared" si="0"/>
        <v>Sc  Denumire Furnizor Srl</v>
      </c>
      <c r="CR11" s="71" t="str">
        <f t="shared" si="1"/>
        <v>Lxx</v>
      </c>
      <c r="CS11" s="71" t="str">
        <f t="shared" si="2"/>
        <v>11111111</v>
      </c>
      <c r="CT11" s="71"/>
      <c r="CU11" s="71"/>
      <c r="CV11" s="71"/>
      <c r="CW11" s="71"/>
      <c r="CX11" s="71"/>
      <c r="CY11" s="71"/>
    </row>
    <row r="12" spans="1:103" s="43" customFormat="1" ht="15.75" customHeight="1">
      <c r="A12" s="404" t="s">
        <v>244</v>
      </c>
      <c r="B12" s="404"/>
      <c r="C12" s="404"/>
      <c r="D12" s="404"/>
      <c r="E12" s="404"/>
      <c r="F12" s="404"/>
      <c r="G12" s="404"/>
      <c r="H12" s="123">
        <f>COUNTA(H10:H11)</f>
        <v>0</v>
      </c>
      <c r="I12" s="402" t="s">
        <v>229</v>
      </c>
      <c r="J12" s="402"/>
      <c r="K12" s="402"/>
      <c r="L12" s="402"/>
      <c r="M12" s="124">
        <f>IF(H12&gt;2,0,M10+M11)</f>
        <v>0</v>
      </c>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283"/>
      <c r="CB12" s="70"/>
      <c r="CC12" s="71"/>
      <c r="CD12" s="71"/>
      <c r="CE12" s="71"/>
      <c r="CF12" s="71"/>
      <c r="CG12" s="71"/>
      <c r="CH12" s="72"/>
      <c r="CI12" s="73"/>
      <c r="CJ12" s="73"/>
      <c r="CK12" s="73"/>
      <c r="CL12" s="273">
        <f t="shared" si="4"/>
        <v>0</v>
      </c>
      <c r="CM12" s="273">
        <f t="shared" si="5"/>
        <v>0</v>
      </c>
      <c r="CN12" s="273"/>
      <c r="CO12" s="71"/>
      <c r="CP12" s="71"/>
      <c r="CQ12" s="71" t="str">
        <f t="shared" si="0"/>
        <v>Sc  Denumire Furnizor Srl</v>
      </c>
      <c r="CR12" s="71" t="str">
        <f t="shared" si="1"/>
        <v>Lxx</v>
      </c>
      <c r="CS12" s="71" t="str">
        <f t="shared" si="2"/>
        <v>11111111</v>
      </c>
      <c r="CT12" s="71"/>
      <c r="CU12" s="71"/>
      <c r="CV12" s="71"/>
      <c r="CW12" s="71"/>
      <c r="CX12" s="71"/>
      <c r="CY12" s="71"/>
    </row>
    <row r="13" spans="1:97" s="71" customFormat="1" ht="40.5">
      <c r="A13" s="38" t="s">
        <v>538</v>
      </c>
      <c r="B13" s="25" t="s">
        <v>231</v>
      </c>
      <c r="C13" s="28" t="s">
        <v>231</v>
      </c>
      <c r="D13" s="24" t="s">
        <v>44</v>
      </c>
      <c r="E13" s="28" t="s">
        <v>231</v>
      </c>
      <c r="F13" s="28" t="s">
        <v>231</v>
      </c>
      <c r="G13" s="28" t="s">
        <v>231</v>
      </c>
      <c r="H13" s="28" t="s">
        <v>231</v>
      </c>
      <c r="I13" s="40" t="s">
        <v>231</v>
      </c>
      <c r="J13" s="40" t="s">
        <v>231</v>
      </c>
      <c r="K13" s="40" t="s">
        <v>231</v>
      </c>
      <c r="L13" s="40" t="s">
        <v>231</v>
      </c>
      <c r="M13" s="69">
        <f>IF(D13="Da",2,0)</f>
        <v>0</v>
      </c>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283"/>
      <c r="CB13" s="70"/>
      <c r="CH13" s="72"/>
      <c r="CI13" s="73"/>
      <c r="CJ13" s="73"/>
      <c r="CK13" s="73"/>
      <c r="CL13" s="273">
        <f t="shared" si="4"/>
        <v>0</v>
      </c>
      <c r="CM13" s="273">
        <f t="shared" si="5"/>
        <v>0</v>
      </c>
      <c r="CN13" s="273"/>
      <c r="CQ13" s="71" t="str">
        <f t="shared" si="0"/>
        <v>Sc  Denumire Furnizor Srl</v>
      </c>
      <c r="CR13" s="71" t="str">
        <f t="shared" si="1"/>
        <v>Lxx</v>
      </c>
      <c r="CS13" s="71" t="str">
        <f t="shared" si="2"/>
        <v>11111111</v>
      </c>
    </row>
    <row r="14" spans="1:97" s="71" customFormat="1" ht="27">
      <c r="A14" s="410" t="s">
        <v>539</v>
      </c>
      <c r="B14" s="34" t="s">
        <v>575</v>
      </c>
      <c r="C14" s="28" t="s">
        <v>231</v>
      </c>
      <c r="D14" s="28" t="s">
        <v>231</v>
      </c>
      <c r="E14" s="28" t="s">
        <v>231</v>
      </c>
      <c r="F14" s="28" t="s">
        <v>231</v>
      </c>
      <c r="G14" s="28" t="s">
        <v>231</v>
      </c>
      <c r="H14" s="34"/>
      <c r="I14" s="336"/>
      <c r="J14" s="336"/>
      <c r="K14" s="34"/>
      <c r="L14" s="34"/>
      <c r="M14" s="69">
        <f>CM14</f>
        <v>0</v>
      </c>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283">
        <f>IF(J14&gt;0,$CU$7-J14,0)</f>
        <v>0</v>
      </c>
      <c r="CB14" s="70">
        <f>CA14-8</f>
        <v>-8</v>
      </c>
      <c r="CC14" s="71">
        <f>CB14*20</f>
        <v>-160</v>
      </c>
      <c r="CD14" s="71">
        <f>IF(B14="semiautomat RH",5,10)</f>
        <v>5</v>
      </c>
      <c r="CE14" s="71">
        <v>0</v>
      </c>
      <c r="CF14" s="71">
        <v>0</v>
      </c>
      <c r="CG14" s="71">
        <v>0</v>
      </c>
      <c r="CH14" s="72">
        <f>IF(CK14=1,CD14+CE14+CF14+CG14,0)</f>
        <v>0</v>
      </c>
      <c r="CI14" s="73">
        <f>COUNTBLANK(H14:J14)</f>
        <v>3</v>
      </c>
      <c r="CJ14" s="73">
        <f>IF(K14="Nu",0,IF(L14="Nu",0,1))</f>
        <v>1</v>
      </c>
      <c r="CK14" s="73">
        <f>IF(CI14&gt;0,0,IF(CJ14=0,0,1))</f>
        <v>0</v>
      </c>
      <c r="CL14" s="273">
        <f>IF(CA14&gt;12,0,IF(CA14&lt;=8,CH14,CH14-(CH14*CC14/100)))</f>
        <v>0</v>
      </c>
      <c r="CM14" s="273">
        <f>IF(CA14&lt;0,0,CL14)</f>
        <v>0</v>
      </c>
      <c r="CN14" s="273"/>
      <c r="CQ14" s="71" t="str">
        <f t="shared" si="0"/>
        <v>Sc  Denumire Furnizor Srl</v>
      </c>
      <c r="CR14" s="71" t="str">
        <f t="shared" si="1"/>
        <v>Lxx</v>
      </c>
      <c r="CS14" s="71" t="str">
        <f t="shared" si="2"/>
        <v>11111111</v>
      </c>
    </row>
    <row r="15" spans="1:97" s="71" customFormat="1" ht="27">
      <c r="A15" s="411"/>
      <c r="B15" s="34" t="s">
        <v>568</v>
      </c>
      <c r="C15" s="28" t="s">
        <v>231</v>
      </c>
      <c r="D15" s="28" t="s">
        <v>231</v>
      </c>
      <c r="E15" s="28" t="s">
        <v>231</v>
      </c>
      <c r="F15" s="28" t="s">
        <v>231</v>
      </c>
      <c r="G15" s="28" t="s">
        <v>231</v>
      </c>
      <c r="H15" s="34"/>
      <c r="I15" s="336"/>
      <c r="J15" s="336"/>
      <c r="K15" s="34"/>
      <c r="L15" s="34"/>
      <c r="M15" s="69">
        <f>CM15</f>
        <v>0</v>
      </c>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283">
        <f>IF(J15&gt;0,$CU$7-J15,0)</f>
        <v>0</v>
      </c>
      <c r="CB15" s="70">
        <f>CA15-8</f>
        <v>-8</v>
      </c>
      <c r="CC15" s="71">
        <f>CB15*20</f>
        <v>-160</v>
      </c>
      <c r="CD15" s="71">
        <f>IF(B15="semiautomat RH",5,10)</f>
        <v>10</v>
      </c>
      <c r="CE15" s="71">
        <v>0</v>
      </c>
      <c r="CF15" s="71">
        <v>0</v>
      </c>
      <c r="CG15" s="71">
        <v>0</v>
      </c>
      <c r="CH15" s="72">
        <f>IF(CK15=1,CD15+CE15+CF15+CG15,0)</f>
        <v>0</v>
      </c>
      <c r="CI15" s="73">
        <f>COUNTBLANK(H15:J15)</f>
        <v>3</v>
      </c>
      <c r="CJ15" s="73">
        <f>IF(K15="Nu",0,IF(L15="Nu",0,1))</f>
        <v>1</v>
      </c>
      <c r="CK15" s="73">
        <f>IF(CI15&gt;0,0,IF(CJ15=0,0,1))</f>
        <v>0</v>
      </c>
      <c r="CL15" s="273">
        <f>IF(CA15&gt;12,0,IF(CA15&lt;=8,CH15,CH15-(CH15*CC15/100)))</f>
        <v>0</v>
      </c>
      <c r="CM15" s="273">
        <f>IF(CA15&lt;0,0,CL15)</f>
        <v>0</v>
      </c>
      <c r="CN15" s="273"/>
      <c r="CQ15" s="71" t="str">
        <f t="shared" si="0"/>
        <v>Sc  Denumire Furnizor Srl</v>
      </c>
      <c r="CR15" s="71" t="str">
        <f t="shared" si="1"/>
        <v>Lxx</v>
      </c>
      <c r="CS15" s="71" t="str">
        <f t="shared" si="2"/>
        <v>11111111</v>
      </c>
    </row>
    <row r="16" spans="1:103" s="43" customFormat="1" ht="15.75" customHeight="1">
      <c r="A16" s="404" t="s">
        <v>244</v>
      </c>
      <c r="B16" s="404"/>
      <c r="C16" s="404"/>
      <c r="D16" s="404"/>
      <c r="E16" s="404"/>
      <c r="F16" s="404"/>
      <c r="G16" s="404"/>
      <c r="H16" s="123">
        <f>COUNTA(H14:H15)</f>
        <v>0</v>
      </c>
      <c r="I16" s="402" t="s">
        <v>229</v>
      </c>
      <c r="J16" s="402"/>
      <c r="K16" s="402"/>
      <c r="L16" s="402"/>
      <c r="M16" s="124">
        <f>IF(H16&gt;2,0,M13+M14+M15)</f>
        <v>0</v>
      </c>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283"/>
      <c r="CB16" s="70"/>
      <c r="CC16" s="71"/>
      <c r="CD16" s="71"/>
      <c r="CE16" s="71"/>
      <c r="CF16" s="71"/>
      <c r="CG16" s="71"/>
      <c r="CH16" s="72"/>
      <c r="CI16" s="73"/>
      <c r="CJ16" s="73"/>
      <c r="CK16" s="73"/>
      <c r="CL16" s="273">
        <f>IF(CA16&gt;12,0,IF(CA16&lt;=8,CH16,CH16-(CH16*CC16/100)))</f>
        <v>0</v>
      </c>
      <c r="CM16" s="273">
        <f>IF(CA16&lt;0,0,CL16)</f>
        <v>0</v>
      </c>
      <c r="CN16" s="273"/>
      <c r="CO16" s="71"/>
      <c r="CP16" s="71"/>
      <c r="CQ16" s="71" t="str">
        <f t="shared" si="0"/>
        <v>Sc  Denumire Furnizor Srl</v>
      </c>
      <c r="CR16" s="71" t="str">
        <f t="shared" si="1"/>
        <v>Lxx</v>
      </c>
      <c r="CS16" s="71" t="str">
        <f t="shared" si="2"/>
        <v>11111111</v>
      </c>
      <c r="CT16" s="71"/>
      <c r="CU16" s="71"/>
      <c r="CV16" s="71"/>
      <c r="CW16" s="71"/>
      <c r="CX16" s="71"/>
      <c r="CY16" s="71"/>
    </row>
    <row r="17" spans="1:103" s="43" customFormat="1" ht="24.75" customHeight="1">
      <c r="A17" s="408" t="s">
        <v>536</v>
      </c>
      <c r="B17" s="24" t="s">
        <v>259</v>
      </c>
      <c r="C17" s="24" t="s">
        <v>537</v>
      </c>
      <c r="D17" s="25" t="s">
        <v>231</v>
      </c>
      <c r="E17" s="25" t="s">
        <v>231</v>
      </c>
      <c r="F17" s="25" t="s">
        <v>231</v>
      </c>
      <c r="G17" s="25" t="s">
        <v>231</v>
      </c>
      <c r="H17" s="63"/>
      <c r="I17" s="63"/>
      <c r="J17" s="64"/>
      <c r="K17" s="24"/>
      <c r="L17" s="24"/>
      <c r="M17" s="65">
        <f>CM17</f>
        <v>0</v>
      </c>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283">
        <f t="shared" si="3"/>
        <v>0</v>
      </c>
      <c r="CB17" s="70">
        <f>CA17-8</f>
        <v>-8</v>
      </c>
      <c r="CC17" s="71">
        <f>CB17*20</f>
        <v>-160</v>
      </c>
      <c r="CD17" s="71">
        <f>IF(C17="1 - 10 pozitii",5,IF(C17="11 - 20 pozitii",10,IF(C17="&gt;21 pozitii",15,0)))</f>
        <v>5</v>
      </c>
      <c r="CE17" s="71">
        <v>0</v>
      </c>
      <c r="CF17" s="71">
        <v>0</v>
      </c>
      <c r="CG17" s="71">
        <v>0</v>
      </c>
      <c r="CH17" s="72">
        <f>IF(CK17=1,CD17+CE17+CF17+CG17,0)</f>
        <v>0</v>
      </c>
      <c r="CI17" s="73">
        <f>COUNTBLANK(H17:J17)</f>
        <v>3</v>
      </c>
      <c r="CJ17" s="73">
        <f>IF(K17="Nu",0,IF(L17="Nu",0,1))</f>
        <v>1</v>
      </c>
      <c r="CK17" s="73">
        <f>IF(CI17&gt;0,0,IF(CJ17=0,0,1))</f>
        <v>0</v>
      </c>
      <c r="CL17" s="273">
        <f t="shared" si="4"/>
        <v>0</v>
      </c>
      <c r="CM17" s="273">
        <f t="shared" si="5"/>
        <v>0</v>
      </c>
      <c r="CN17" s="273"/>
      <c r="CO17" s="71"/>
      <c r="CP17" s="71"/>
      <c r="CQ17" s="71" t="str">
        <f t="shared" si="0"/>
        <v>Sc  Denumire Furnizor Srl</v>
      </c>
      <c r="CR17" s="71" t="str">
        <f t="shared" si="1"/>
        <v>Lxx</v>
      </c>
      <c r="CS17" s="71" t="str">
        <f t="shared" si="2"/>
        <v>11111111</v>
      </c>
      <c r="CT17" s="71"/>
      <c r="CU17" s="71"/>
      <c r="CV17" s="71"/>
      <c r="CW17" s="71"/>
      <c r="CX17" s="71"/>
      <c r="CY17" s="71"/>
    </row>
    <row r="18" spans="1:103" s="43" customFormat="1" ht="22.5" customHeight="1">
      <c r="A18" s="409"/>
      <c r="B18" s="24" t="s">
        <v>259</v>
      </c>
      <c r="C18" s="24" t="s">
        <v>535</v>
      </c>
      <c r="D18" s="25" t="s">
        <v>231</v>
      </c>
      <c r="E18" s="25" t="s">
        <v>231</v>
      </c>
      <c r="F18" s="25" t="s">
        <v>231</v>
      </c>
      <c r="G18" s="25" t="s">
        <v>231</v>
      </c>
      <c r="H18" s="74"/>
      <c r="I18" s="74"/>
      <c r="J18" s="64"/>
      <c r="K18" s="24"/>
      <c r="L18" s="24"/>
      <c r="M18" s="65">
        <f>CM18</f>
        <v>0</v>
      </c>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283">
        <f t="shared" si="3"/>
        <v>0</v>
      </c>
      <c r="CB18" s="70">
        <f>CA18-8</f>
        <v>-8</v>
      </c>
      <c r="CC18" s="71">
        <f>CB18*20</f>
        <v>-160</v>
      </c>
      <c r="CD18" s="71">
        <f>IF(C18="1 - 10 pozitii",5,IF(C18="11 - 20 pozitii",10,IF(C18="&gt;21 pozitii",15,0)))</f>
        <v>15</v>
      </c>
      <c r="CE18" s="71">
        <v>0</v>
      </c>
      <c r="CF18" s="71">
        <v>0</v>
      </c>
      <c r="CG18" s="71">
        <v>0</v>
      </c>
      <c r="CH18" s="72">
        <f>IF(CK18=1,CD18+CE18+CF18+CG18,0)</f>
        <v>0</v>
      </c>
      <c r="CI18" s="73">
        <f>COUNTBLANK(H18:J18)</f>
        <v>3</v>
      </c>
      <c r="CJ18" s="73">
        <f>IF(K18="Nu",0,IF(L18="Nu",0,1))</f>
        <v>1</v>
      </c>
      <c r="CK18" s="73">
        <f>IF(CI18&gt;0,0,IF(CJ18=0,0,1))</f>
        <v>0</v>
      </c>
      <c r="CL18" s="273">
        <f t="shared" si="4"/>
        <v>0</v>
      </c>
      <c r="CM18" s="273">
        <f t="shared" si="5"/>
        <v>0</v>
      </c>
      <c r="CN18" s="273"/>
      <c r="CO18" s="71"/>
      <c r="CP18" s="71"/>
      <c r="CQ18" s="71" t="str">
        <f t="shared" si="0"/>
        <v>Sc  Denumire Furnizor Srl</v>
      </c>
      <c r="CR18" s="71" t="str">
        <f t="shared" si="1"/>
        <v>Lxx</v>
      </c>
      <c r="CS18" s="71" t="str">
        <f t="shared" si="2"/>
        <v>11111111</v>
      </c>
      <c r="CT18" s="71"/>
      <c r="CU18" s="71"/>
      <c r="CV18" s="71"/>
      <c r="CW18" s="71"/>
      <c r="CX18" s="71"/>
      <c r="CY18" s="71"/>
    </row>
    <row r="19" spans="1:103" s="43" customFormat="1" ht="15.75" customHeight="1">
      <c r="A19" s="404" t="s">
        <v>244</v>
      </c>
      <c r="B19" s="404"/>
      <c r="C19" s="404"/>
      <c r="D19" s="404"/>
      <c r="E19" s="404"/>
      <c r="F19" s="404"/>
      <c r="G19" s="404"/>
      <c r="H19" s="123">
        <f>COUNTA(H17:H18)</f>
        <v>0</v>
      </c>
      <c r="I19" s="402" t="s">
        <v>229</v>
      </c>
      <c r="J19" s="402"/>
      <c r="K19" s="402"/>
      <c r="L19" s="402"/>
      <c r="M19" s="124">
        <f>IF(H19&gt;2,0,M17+M18)</f>
        <v>0</v>
      </c>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283"/>
      <c r="CB19" s="70"/>
      <c r="CC19" s="71"/>
      <c r="CD19" s="71"/>
      <c r="CE19" s="71"/>
      <c r="CF19" s="71"/>
      <c r="CG19" s="71"/>
      <c r="CH19" s="72"/>
      <c r="CI19" s="73"/>
      <c r="CJ19" s="73"/>
      <c r="CK19" s="73"/>
      <c r="CL19" s="273">
        <f t="shared" si="4"/>
        <v>0</v>
      </c>
      <c r="CM19" s="273">
        <f t="shared" si="5"/>
        <v>0</v>
      </c>
      <c r="CN19" s="273"/>
      <c r="CO19" s="71"/>
      <c r="CP19" s="71"/>
      <c r="CQ19" s="71" t="str">
        <f t="shared" si="0"/>
        <v>Sc  Denumire Furnizor Srl</v>
      </c>
      <c r="CR19" s="71" t="str">
        <f t="shared" si="1"/>
        <v>Lxx</v>
      </c>
      <c r="CS19" s="71" t="str">
        <f t="shared" si="2"/>
        <v>11111111</v>
      </c>
      <c r="CT19" s="71"/>
      <c r="CU19" s="71"/>
      <c r="CV19" s="71"/>
      <c r="CW19" s="71"/>
      <c r="CX19" s="71"/>
      <c r="CY19" s="71"/>
    </row>
    <row r="20" spans="1:97" s="71" customFormat="1" ht="27">
      <c r="A20" s="410" t="s">
        <v>257</v>
      </c>
      <c r="B20" s="339" t="s">
        <v>253</v>
      </c>
      <c r="C20" s="28" t="s">
        <v>258</v>
      </c>
      <c r="D20" s="34" t="s">
        <v>44</v>
      </c>
      <c r="E20" s="28" t="s">
        <v>231</v>
      </c>
      <c r="F20" s="28" t="s">
        <v>231</v>
      </c>
      <c r="G20" s="28" t="s">
        <v>231</v>
      </c>
      <c r="H20" s="28" t="s">
        <v>231</v>
      </c>
      <c r="I20" s="40" t="s">
        <v>231</v>
      </c>
      <c r="J20" s="40" t="s">
        <v>231</v>
      </c>
      <c r="K20" s="40" t="s">
        <v>231</v>
      </c>
      <c r="L20" s="40" t="s">
        <v>231</v>
      </c>
      <c r="M20" s="69">
        <f>IF(D20="Da",10,0)</f>
        <v>0</v>
      </c>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283"/>
      <c r="CB20" s="70"/>
      <c r="CH20" s="72"/>
      <c r="CI20" s="73"/>
      <c r="CJ20" s="73"/>
      <c r="CK20" s="73"/>
      <c r="CL20" s="273">
        <f t="shared" si="4"/>
        <v>0</v>
      </c>
      <c r="CM20" s="273">
        <f t="shared" si="5"/>
        <v>0</v>
      </c>
      <c r="CN20" s="273"/>
      <c r="CQ20" s="71" t="str">
        <f t="shared" si="0"/>
        <v>Sc  Denumire Furnizor Srl</v>
      </c>
      <c r="CR20" s="71" t="str">
        <f t="shared" si="1"/>
        <v>Lxx</v>
      </c>
      <c r="CS20" s="71" t="str">
        <f t="shared" si="2"/>
        <v>11111111</v>
      </c>
    </row>
    <row r="21" spans="1:103" s="43" customFormat="1" ht="27">
      <c r="A21" s="411"/>
      <c r="B21" s="339" t="s">
        <v>253</v>
      </c>
      <c r="C21" s="28" t="s">
        <v>256</v>
      </c>
      <c r="D21" s="24" t="s">
        <v>44</v>
      </c>
      <c r="E21" s="28" t="s">
        <v>231</v>
      </c>
      <c r="F21" s="28" t="s">
        <v>231</v>
      </c>
      <c r="G21" s="28" t="s">
        <v>231</v>
      </c>
      <c r="H21" s="28" t="s">
        <v>231</v>
      </c>
      <c r="I21" s="40" t="s">
        <v>231</v>
      </c>
      <c r="J21" s="40" t="s">
        <v>231</v>
      </c>
      <c r="K21" s="40" t="s">
        <v>231</v>
      </c>
      <c r="L21" s="40" t="s">
        <v>231</v>
      </c>
      <c r="M21" s="69">
        <f>IF(D21="Da",8,0)</f>
        <v>0</v>
      </c>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283"/>
      <c r="CB21" s="70"/>
      <c r="CC21" s="71"/>
      <c r="CD21" s="71"/>
      <c r="CE21" s="71"/>
      <c r="CF21" s="71"/>
      <c r="CG21" s="71"/>
      <c r="CH21" s="72"/>
      <c r="CI21" s="73"/>
      <c r="CJ21" s="73"/>
      <c r="CK21" s="73"/>
      <c r="CL21" s="273">
        <f t="shared" si="4"/>
        <v>0</v>
      </c>
      <c r="CM21" s="273">
        <f t="shared" si="5"/>
        <v>0</v>
      </c>
      <c r="CN21" s="273"/>
      <c r="CO21" s="71"/>
      <c r="CP21" s="71"/>
      <c r="CQ21" s="71" t="str">
        <f t="shared" si="0"/>
        <v>Sc  Denumire Furnizor Srl</v>
      </c>
      <c r="CR21" s="71" t="str">
        <f t="shared" si="1"/>
        <v>Lxx</v>
      </c>
      <c r="CS21" s="71" t="str">
        <f t="shared" si="2"/>
        <v>11111111</v>
      </c>
      <c r="CT21" s="71"/>
      <c r="CU21" s="71"/>
      <c r="CV21" s="71"/>
      <c r="CW21" s="71"/>
      <c r="CX21" s="71"/>
      <c r="CY21" s="71"/>
    </row>
    <row r="22" spans="1:103" s="43" customFormat="1" ht="53.25" customHeight="1">
      <c r="A22" s="410" t="s">
        <v>254</v>
      </c>
      <c r="B22" s="339" t="s">
        <v>253</v>
      </c>
      <c r="C22" s="28" t="s">
        <v>255</v>
      </c>
      <c r="D22" s="24" t="s">
        <v>44</v>
      </c>
      <c r="E22" s="28" t="s">
        <v>231</v>
      </c>
      <c r="F22" s="28" t="s">
        <v>231</v>
      </c>
      <c r="G22" s="28" t="s">
        <v>231</v>
      </c>
      <c r="H22" s="28" t="s">
        <v>231</v>
      </c>
      <c r="I22" s="40" t="s">
        <v>231</v>
      </c>
      <c r="J22" s="40" t="s">
        <v>231</v>
      </c>
      <c r="K22" s="40" t="s">
        <v>231</v>
      </c>
      <c r="L22" s="40" t="s">
        <v>231</v>
      </c>
      <c r="M22" s="69">
        <f>IF(D22="Da",10,0)</f>
        <v>0</v>
      </c>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283"/>
      <c r="CB22" s="70"/>
      <c r="CC22" s="71"/>
      <c r="CD22" s="71"/>
      <c r="CE22" s="71"/>
      <c r="CF22" s="71"/>
      <c r="CG22" s="71"/>
      <c r="CH22" s="72"/>
      <c r="CI22" s="73"/>
      <c r="CJ22" s="73"/>
      <c r="CK22" s="73"/>
      <c r="CL22" s="273">
        <f t="shared" si="4"/>
        <v>0</v>
      </c>
      <c r="CM22" s="273">
        <f t="shared" si="5"/>
        <v>0</v>
      </c>
      <c r="CN22" s="273"/>
      <c r="CO22" s="71"/>
      <c r="CP22" s="71"/>
      <c r="CQ22" s="71" t="str">
        <f t="shared" si="0"/>
        <v>Sc  Denumire Furnizor Srl</v>
      </c>
      <c r="CR22" s="71" t="str">
        <f t="shared" si="1"/>
        <v>Lxx</v>
      </c>
      <c r="CS22" s="71" t="str">
        <f t="shared" si="2"/>
        <v>11111111</v>
      </c>
      <c r="CT22" s="71"/>
      <c r="CU22" s="71"/>
      <c r="CV22" s="71"/>
      <c r="CW22" s="71"/>
      <c r="CX22" s="71"/>
      <c r="CY22" s="71"/>
    </row>
    <row r="23" spans="1:97" s="71" customFormat="1" ht="40.5">
      <c r="A23" s="411"/>
      <c r="B23" s="339" t="s">
        <v>253</v>
      </c>
      <c r="C23" s="28" t="s">
        <v>252</v>
      </c>
      <c r="D23" s="34" t="s">
        <v>44</v>
      </c>
      <c r="E23" s="28" t="s">
        <v>231</v>
      </c>
      <c r="F23" s="28" t="s">
        <v>231</v>
      </c>
      <c r="G23" s="28" t="s">
        <v>231</v>
      </c>
      <c r="H23" s="28" t="s">
        <v>231</v>
      </c>
      <c r="I23" s="40" t="s">
        <v>231</v>
      </c>
      <c r="J23" s="40" t="s">
        <v>231</v>
      </c>
      <c r="K23" s="40" t="s">
        <v>231</v>
      </c>
      <c r="L23" s="40" t="s">
        <v>231</v>
      </c>
      <c r="M23" s="69">
        <f>IF(D23="Da",8,0)</f>
        <v>0</v>
      </c>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283"/>
      <c r="CB23" s="70"/>
      <c r="CH23" s="72"/>
      <c r="CI23" s="73"/>
      <c r="CJ23" s="73"/>
      <c r="CK23" s="73"/>
      <c r="CL23" s="273">
        <f t="shared" si="4"/>
        <v>0</v>
      </c>
      <c r="CM23" s="273">
        <f t="shared" si="5"/>
        <v>0</v>
      </c>
      <c r="CN23" s="273"/>
      <c r="CQ23" s="71" t="str">
        <f t="shared" si="0"/>
        <v>Sc  Denumire Furnizor Srl</v>
      </c>
      <c r="CR23" s="71" t="str">
        <f t="shared" si="1"/>
        <v>Lxx</v>
      </c>
      <c r="CS23" s="71" t="str">
        <f t="shared" si="2"/>
        <v>11111111</v>
      </c>
    </row>
    <row r="24" spans="1:103" s="43" customFormat="1" ht="54">
      <c r="A24" s="38" t="s">
        <v>569</v>
      </c>
      <c r="B24" s="38" t="s">
        <v>234</v>
      </c>
      <c r="C24" s="39" t="s">
        <v>251</v>
      </c>
      <c r="D24" s="25" t="s">
        <v>231</v>
      </c>
      <c r="E24" s="25" t="s">
        <v>231</v>
      </c>
      <c r="F24" s="25" t="s">
        <v>231</v>
      </c>
      <c r="G24" s="25" t="s">
        <v>231</v>
      </c>
      <c r="H24" s="74"/>
      <c r="I24" s="74"/>
      <c r="J24" s="75"/>
      <c r="K24" s="24"/>
      <c r="L24" s="24"/>
      <c r="M24" s="65">
        <f>CM24</f>
        <v>0</v>
      </c>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283">
        <f t="shared" si="3"/>
        <v>0</v>
      </c>
      <c r="CB24" s="70">
        <f>CA24-8</f>
        <v>-8</v>
      </c>
      <c r="CC24" s="71">
        <f>CB24*20</f>
        <v>-160</v>
      </c>
      <c r="CD24" s="71">
        <f>IF(C24="de microbiologie",40,IF(C24="spectometrie de masa MALDI-Tof",60,0))</f>
        <v>40</v>
      </c>
      <c r="CE24" s="71">
        <v>0</v>
      </c>
      <c r="CF24" s="71">
        <v>0</v>
      </c>
      <c r="CG24" s="71">
        <v>0</v>
      </c>
      <c r="CH24" s="72">
        <f>IF(CK24=1,CD24+CE24+CF24+CG24,0)</f>
        <v>0</v>
      </c>
      <c r="CI24" s="73">
        <f>COUNTBLANK(H24:J24)</f>
        <v>3</v>
      </c>
      <c r="CJ24" s="73">
        <f>IF(K24="Nu",0,IF(L24="Nu",0,1))</f>
        <v>1</v>
      </c>
      <c r="CK24" s="73">
        <f>IF(CI24&gt;0,0,IF(CJ24=0,0,1))</f>
        <v>0</v>
      </c>
      <c r="CL24" s="273">
        <f t="shared" si="4"/>
        <v>0</v>
      </c>
      <c r="CM24" s="273">
        <f t="shared" si="5"/>
        <v>0</v>
      </c>
      <c r="CN24" s="273"/>
      <c r="CO24" s="71">
        <v>15</v>
      </c>
      <c r="CP24" s="71">
        <f>IF(CC24&gt;0,CO24-(CO24*CC24)/100,CO24)</f>
        <v>15</v>
      </c>
      <c r="CQ24" s="71" t="str">
        <f t="shared" si="0"/>
        <v>Sc  Denumire Furnizor Srl</v>
      </c>
      <c r="CR24" s="71" t="str">
        <f t="shared" si="1"/>
        <v>Lxx</v>
      </c>
      <c r="CS24" s="71" t="str">
        <f t="shared" si="2"/>
        <v>11111111</v>
      </c>
      <c r="CT24" s="71"/>
      <c r="CU24" s="71"/>
      <c r="CV24" s="71"/>
      <c r="CW24" s="71"/>
      <c r="CX24" s="71"/>
      <c r="CY24" s="71"/>
    </row>
    <row r="25" spans="1:97" s="71" customFormat="1" ht="54">
      <c r="A25" s="339" t="s">
        <v>569</v>
      </c>
      <c r="B25" s="339" t="s">
        <v>234</v>
      </c>
      <c r="C25" s="28" t="s">
        <v>541</v>
      </c>
      <c r="D25" s="28" t="s">
        <v>231</v>
      </c>
      <c r="E25" s="28" t="s">
        <v>231</v>
      </c>
      <c r="F25" s="28" t="s">
        <v>231</v>
      </c>
      <c r="G25" s="28" t="s">
        <v>231</v>
      </c>
      <c r="H25" s="336"/>
      <c r="I25" s="336"/>
      <c r="J25" s="337"/>
      <c r="K25" s="34"/>
      <c r="L25" s="34"/>
      <c r="M25" s="69">
        <f>CM25</f>
        <v>0</v>
      </c>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283">
        <f t="shared" si="3"/>
        <v>0</v>
      </c>
      <c r="CB25" s="70">
        <f>CA25-8</f>
        <v>-8</v>
      </c>
      <c r="CC25" s="71">
        <f>CB25*20</f>
        <v>-160</v>
      </c>
      <c r="CD25" s="71">
        <v>10</v>
      </c>
      <c r="CE25" s="71">
        <v>0</v>
      </c>
      <c r="CF25" s="71">
        <v>0</v>
      </c>
      <c r="CG25" s="71">
        <v>0</v>
      </c>
      <c r="CH25" s="72">
        <f>IF(CK25=1,CD25+CE25+CF25+CG25,0)</f>
        <v>0</v>
      </c>
      <c r="CI25" s="73">
        <f>COUNTBLANK(H25:J25)</f>
        <v>3</v>
      </c>
      <c r="CJ25" s="73">
        <f>IF(K25="Nu",0,IF(L25="Nu",0,1))</f>
        <v>1</v>
      </c>
      <c r="CK25" s="73">
        <f>IF(CI25&gt;0,0,IF(CJ25=0,0,1))</f>
        <v>0</v>
      </c>
      <c r="CL25" s="273">
        <f t="shared" si="4"/>
        <v>0</v>
      </c>
      <c r="CM25" s="273">
        <f t="shared" si="5"/>
        <v>0</v>
      </c>
      <c r="CN25" s="273"/>
      <c r="CO25" s="71">
        <v>10</v>
      </c>
      <c r="CP25" s="71">
        <f>IF(CC25&gt;0,CO25-(CO25*CC25)/100,CO25)</f>
        <v>10</v>
      </c>
      <c r="CQ25" s="71" t="str">
        <f t="shared" si="0"/>
        <v>Sc  Denumire Furnizor Srl</v>
      </c>
      <c r="CR25" s="71" t="str">
        <f t="shared" si="1"/>
        <v>Lxx</v>
      </c>
      <c r="CS25" s="71" t="str">
        <f t="shared" si="2"/>
        <v>11111111</v>
      </c>
    </row>
    <row r="26" spans="1:103" s="43" customFormat="1" ht="54">
      <c r="A26" s="38" t="s">
        <v>569</v>
      </c>
      <c r="B26" s="38" t="s">
        <v>234</v>
      </c>
      <c r="C26" s="39" t="s">
        <v>540</v>
      </c>
      <c r="D26" s="25" t="s">
        <v>231</v>
      </c>
      <c r="E26" s="25" t="s">
        <v>231</v>
      </c>
      <c r="F26" s="25" t="s">
        <v>231</v>
      </c>
      <c r="G26" s="25" t="s">
        <v>231</v>
      </c>
      <c r="H26" s="74"/>
      <c r="I26" s="74"/>
      <c r="J26" s="75"/>
      <c r="K26" s="24"/>
      <c r="L26" s="24"/>
      <c r="M26" s="65">
        <f>CM26</f>
        <v>0</v>
      </c>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283">
        <f t="shared" si="3"/>
        <v>0</v>
      </c>
      <c r="CB26" s="70">
        <f>CA26-8</f>
        <v>-8</v>
      </c>
      <c r="CC26" s="71">
        <f>CB26*20</f>
        <v>-160</v>
      </c>
      <c r="CD26" s="71">
        <f>IF(C26="de microbiologie",40,IF(C26="spectometrie de masa MALDI-Tof",60,0))</f>
        <v>60</v>
      </c>
      <c r="CE26" s="71">
        <v>0</v>
      </c>
      <c r="CF26" s="71">
        <v>0</v>
      </c>
      <c r="CG26" s="71">
        <v>0</v>
      </c>
      <c r="CH26" s="72">
        <f>IF(CK26=1,CD26+CE26+CF26+CG26,0)</f>
        <v>0</v>
      </c>
      <c r="CI26" s="73">
        <f>COUNTBLANK(H26:J26)</f>
        <v>3</v>
      </c>
      <c r="CJ26" s="73">
        <f>IF(K26="Nu",0,IF(L26="Nu",0,1))</f>
        <v>1</v>
      </c>
      <c r="CK26" s="73">
        <f>IF(CI26&gt;0,0,IF(CJ26=0,0,1))</f>
        <v>0</v>
      </c>
      <c r="CL26" s="273">
        <f t="shared" si="4"/>
        <v>0</v>
      </c>
      <c r="CM26" s="273">
        <f t="shared" si="5"/>
        <v>0</v>
      </c>
      <c r="CN26" s="273"/>
      <c r="CO26" s="71">
        <v>25</v>
      </c>
      <c r="CP26" s="71">
        <f>IF(CC26&gt;0,CO26-(CO26*CC26)/100,CO26)</f>
        <v>25</v>
      </c>
      <c r="CQ26" s="71" t="str">
        <f t="shared" si="0"/>
        <v>Sc  Denumire Furnizor Srl</v>
      </c>
      <c r="CR26" s="71" t="str">
        <f t="shared" si="1"/>
        <v>Lxx</v>
      </c>
      <c r="CS26" s="71" t="str">
        <f t="shared" si="2"/>
        <v>11111111</v>
      </c>
      <c r="CT26" s="71"/>
      <c r="CU26" s="71"/>
      <c r="CV26" s="71"/>
      <c r="CW26" s="71"/>
      <c r="CX26" s="71"/>
      <c r="CY26" s="71"/>
    </row>
    <row r="27" spans="1:97" s="71" customFormat="1" ht="54">
      <c r="A27" s="339" t="s">
        <v>569</v>
      </c>
      <c r="B27" s="339" t="s">
        <v>543</v>
      </c>
      <c r="C27" s="28" t="s">
        <v>251</v>
      </c>
      <c r="D27" s="28" t="s">
        <v>231</v>
      </c>
      <c r="E27" s="28" t="s">
        <v>231</v>
      </c>
      <c r="F27" s="28" t="s">
        <v>231</v>
      </c>
      <c r="G27" s="28" t="s">
        <v>231</v>
      </c>
      <c r="H27" s="336"/>
      <c r="I27" s="336"/>
      <c r="J27" s="337"/>
      <c r="K27" s="34"/>
      <c r="L27" s="34"/>
      <c r="M27" s="69">
        <f>CM27</f>
        <v>0</v>
      </c>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283">
        <f>IF(J27&gt;0,$CU$7-J27,0)</f>
        <v>0</v>
      </c>
      <c r="CB27" s="70">
        <f>CA27-8</f>
        <v>-8</v>
      </c>
      <c r="CC27" s="71">
        <f>CB27*20</f>
        <v>-160</v>
      </c>
      <c r="CD27" s="71">
        <v>10</v>
      </c>
      <c r="CE27" s="71">
        <v>0</v>
      </c>
      <c r="CF27" s="71">
        <v>0</v>
      </c>
      <c r="CG27" s="71">
        <v>0</v>
      </c>
      <c r="CH27" s="72">
        <f>IF(CK27=1,CD27+CE27+CF27+CG27,0)</f>
        <v>0</v>
      </c>
      <c r="CI27" s="73">
        <f>COUNTBLANK(H27:J27)</f>
        <v>3</v>
      </c>
      <c r="CJ27" s="73">
        <f>IF(K27="Nu",0,IF(L27="Nu",0,1))</f>
        <v>1</v>
      </c>
      <c r="CK27" s="73">
        <f>IF(CI27&gt;0,0,IF(CJ27=0,0,1))</f>
        <v>0</v>
      </c>
      <c r="CL27" s="273">
        <f>IF(CA27&gt;12,0,IF(CA27&lt;=8,CH27,CH27-(CH27*CC27/100)))</f>
        <v>0</v>
      </c>
      <c r="CM27" s="273">
        <f>IF(CA27&lt;0,0,CL27)</f>
        <v>0</v>
      </c>
      <c r="CN27" s="273"/>
      <c r="CO27" s="71">
        <v>25</v>
      </c>
      <c r="CP27" s="71">
        <f>IF(CC27&gt;0,CO27-(CO27*CC27)/100,CO27)</f>
        <v>25</v>
      </c>
      <c r="CQ27" s="71" t="str">
        <f t="shared" si="0"/>
        <v>Sc  Denumire Furnizor Srl</v>
      </c>
      <c r="CR27" s="71" t="str">
        <f t="shared" si="1"/>
        <v>Lxx</v>
      </c>
      <c r="CS27" s="71" t="str">
        <f t="shared" si="2"/>
        <v>11111111</v>
      </c>
    </row>
    <row r="28" spans="1:103" s="43" customFormat="1" ht="36" customHeight="1">
      <c r="A28" s="38" t="s">
        <v>250</v>
      </c>
      <c r="B28" s="38" t="s">
        <v>231</v>
      </c>
      <c r="C28" s="301" t="s">
        <v>249</v>
      </c>
      <c r="D28" s="24" t="s">
        <v>44</v>
      </c>
      <c r="E28" s="25" t="s">
        <v>231</v>
      </c>
      <c r="F28" s="25" t="s">
        <v>231</v>
      </c>
      <c r="G28" s="25" t="s">
        <v>231</v>
      </c>
      <c r="H28" s="37" t="s">
        <v>231</v>
      </c>
      <c r="I28" s="37" t="s">
        <v>231</v>
      </c>
      <c r="J28" s="36" t="s">
        <v>231</v>
      </c>
      <c r="K28" s="25" t="s">
        <v>231</v>
      </c>
      <c r="L28" s="25" t="s">
        <v>231</v>
      </c>
      <c r="M28" s="65">
        <f>IF(D28="Da",2,0)</f>
        <v>0</v>
      </c>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66"/>
      <c r="BY28" s="66"/>
      <c r="BZ28" s="66"/>
      <c r="CA28" s="283"/>
      <c r="CB28" s="70"/>
      <c r="CC28" s="71"/>
      <c r="CD28" s="71"/>
      <c r="CE28" s="71"/>
      <c r="CF28" s="71"/>
      <c r="CG28" s="71"/>
      <c r="CH28" s="72"/>
      <c r="CI28" s="73"/>
      <c r="CJ28" s="73"/>
      <c r="CK28" s="73"/>
      <c r="CL28" s="273">
        <f t="shared" si="4"/>
        <v>0</v>
      </c>
      <c r="CM28" s="273">
        <f t="shared" si="5"/>
        <v>0</v>
      </c>
      <c r="CN28" s="273"/>
      <c r="CO28" s="71"/>
      <c r="CP28" s="71"/>
      <c r="CQ28" s="71" t="str">
        <f t="shared" si="0"/>
        <v>Sc  Denumire Furnizor Srl</v>
      </c>
      <c r="CR28" s="71" t="str">
        <f t="shared" si="1"/>
        <v>Lxx</v>
      </c>
      <c r="CS28" s="71" t="str">
        <f t="shared" si="2"/>
        <v>11111111</v>
      </c>
      <c r="CT28" s="71"/>
      <c r="CU28" s="71"/>
      <c r="CV28" s="71"/>
      <c r="CW28" s="71"/>
      <c r="CX28" s="71"/>
      <c r="CY28" s="71"/>
    </row>
    <row r="29" spans="1:103" s="43" customFormat="1" ht="13.5">
      <c r="A29" s="404" t="s">
        <v>244</v>
      </c>
      <c r="B29" s="404"/>
      <c r="C29" s="404"/>
      <c r="D29" s="404"/>
      <c r="E29" s="404"/>
      <c r="F29" s="404"/>
      <c r="G29" s="404"/>
      <c r="H29" s="123">
        <f>COUNTA(H24:H27)</f>
        <v>0</v>
      </c>
      <c r="I29" s="402" t="s">
        <v>229</v>
      </c>
      <c r="J29" s="402"/>
      <c r="K29" s="402"/>
      <c r="L29" s="402"/>
      <c r="M29" s="124">
        <f>IF(H29&gt;2,0,M20+M21+M22+M23+M24+M25+M26+M27+M28)</f>
        <v>0</v>
      </c>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283"/>
      <c r="CB29" s="70"/>
      <c r="CC29" s="71"/>
      <c r="CD29" s="71"/>
      <c r="CE29" s="71"/>
      <c r="CF29" s="71"/>
      <c r="CG29" s="71"/>
      <c r="CH29" s="72"/>
      <c r="CI29" s="73"/>
      <c r="CJ29" s="73"/>
      <c r="CK29" s="73"/>
      <c r="CL29" s="273">
        <f t="shared" si="4"/>
        <v>0</v>
      </c>
      <c r="CM29" s="273">
        <f t="shared" si="5"/>
        <v>0</v>
      </c>
      <c r="CN29" s="273"/>
      <c r="CO29" s="71"/>
      <c r="CP29" s="71"/>
      <c r="CQ29" s="71" t="str">
        <f t="shared" si="0"/>
        <v>Sc  Denumire Furnizor Srl</v>
      </c>
      <c r="CR29" s="71" t="str">
        <f t="shared" si="1"/>
        <v>Lxx</v>
      </c>
      <c r="CS29" s="71" t="str">
        <f t="shared" si="2"/>
        <v>11111111</v>
      </c>
      <c r="CT29" s="71"/>
      <c r="CU29" s="71"/>
      <c r="CV29" s="71"/>
      <c r="CW29" s="71"/>
      <c r="CX29" s="71"/>
      <c r="CY29" s="71"/>
    </row>
    <row r="30" spans="1:97" s="71" customFormat="1" ht="54">
      <c r="A30" s="35" t="s">
        <v>247</v>
      </c>
      <c r="B30" s="34" t="s">
        <v>248</v>
      </c>
      <c r="C30" s="35" t="s">
        <v>247</v>
      </c>
      <c r="D30" s="29">
        <v>60</v>
      </c>
      <c r="E30" s="28" t="s">
        <v>231</v>
      </c>
      <c r="F30" s="34" t="s">
        <v>44</v>
      </c>
      <c r="G30" s="34" t="s">
        <v>31</v>
      </c>
      <c r="H30" s="63"/>
      <c r="I30" s="64"/>
      <c r="J30" s="76"/>
      <c r="K30" s="34"/>
      <c r="L30" s="34"/>
      <c r="M30" s="69">
        <f>CM30</f>
        <v>0</v>
      </c>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283">
        <f t="shared" si="3"/>
        <v>0</v>
      </c>
      <c r="CB30" s="70">
        <f aca="true" t="shared" si="6" ref="CB30:CB39">CA30-8</f>
        <v>-8</v>
      </c>
      <c r="CC30" s="71">
        <f aca="true" t="shared" si="7" ref="CC30:CC39">CB30*20</f>
        <v>-160</v>
      </c>
      <c r="CD30" s="71">
        <f>IF(B30="Analizor semiautomat",10,IF(B30="Analizor de ioni semiautomat",15,IF(B30="Automat",30,0)))</f>
        <v>15</v>
      </c>
      <c r="CE30" s="71">
        <f>IF(B30="Analizor semiautomat",0,IF(B30="Analizor de ioni semiautomat",0,IF(F30="Da",10,0)))</f>
        <v>0</v>
      </c>
      <c r="CF30" s="71">
        <f>IF(B30="Analizor semiautomat",0,IF(B30="Analizor de ioni semiautomat",0,IF(G30="Da",15,0)))</f>
        <v>0</v>
      </c>
      <c r="CG30" s="77">
        <f>IF(B30="Automat",(D30*0.06),0)</f>
        <v>0</v>
      </c>
      <c r="CH30" s="72">
        <f>IF(CK30=1,CD30+CE30+CF30+CG30,0)</f>
        <v>0</v>
      </c>
      <c r="CI30" s="73">
        <f>COUNTBLANK(H30:J30)</f>
        <v>3</v>
      </c>
      <c r="CJ30" s="73">
        <f>IF(K30="Nu",0,IF(L30="Nu",0,1))</f>
        <v>1</v>
      </c>
      <c r="CK30" s="73">
        <f>IF(CI30&gt;0,0,IF(CJ30=0,0,1))</f>
        <v>0</v>
      </c>
      <c r="CL30" s="273">
        <f t="shared" si="4"/>
        <v>0</v>
      </c>
      <c r="CM30" s="273">
        <f t="shared" si="5"/>
        <v>0</v>
      </c>
      <c r="CN30" s="273"/>
      <c r="CQ30" s="71" t="str">
        <f t="shared" si="0"/>
        <v>Sc  Denumire Furnizor Srl</v>
      </c>
      <c r="CR30" s="71" t="str">
        <f t="shared" si="1"/>
        <v>Lxx</v>
      </c>
      <c r="CS30" s="71" t="str">
        <f t="shared" si="2"/>
        <v>11111111</v>
      </c>
    </row>
    <row r="31" spans="1:97" s="71" customFormat="1" ht="54">
      <c r="A31" s="35" t="s">
        <v>247</v>
      </c>
      <c r="B31" s="34" t="s">
        <v>248</v>
      </c>
      <c r="C31" s="35" t="s">
        <v>247</v>
      </c>
      <c r="D31" s="29">
        <v>60</v>
      </c>
      <c r="E31" s="28" t="s">
        <v>231</v>
      </c>
      <c r="F31" s="34" t="s">
        <v>44</v>
      </c>
      <c r="G31" s="34" t="s">
        <v>31</v>
      </c>
      <c r="H31" s="63"/>
      <c r="I31" s="126"/>
      <c r="J31" s="127"/>
      <c r="K31" s="34"/>
      <c r="L31" s="34"/>
      <c r="M31" s="69">
        <f>CM31</f>
        <v>0</v>
      </c>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283">
        <f t="shared" si="3"/>
        <v>0</v>
      </c>
      <c r="CB31" s="70">
        <f t="shared" si="6"/>
        <v>-8</v>
      </c>
      <c r="CC31" s="71">
        <f t="shared" si="7"/>
        <v>-160</v>
      </c>
      <c r="CD31" s="71">
        <f>IF(B31="Analizor semiautomat",10,IF(B31="Analizor de ioni semiautomat",15,IF(B31="Automat",30,0)))</f>
        <v>15</v>
      </c>
      <c r="CE31" s="71">
        <f>IF(B31="Analizor semiautomat",0,IF(B31="Analizor de ioni semiautomat",0,IF(F31="Da",10,0)))</f>
        <v>0</v>
      </c>
      <c r="CF31" s="71">
        <f>IF(B31="Analizor semiautomat",0,IF(B31="Analizor de ioni semiautomat",0,IF(G31="Da",15,0)))</f>
        <v>0</v>
      </c>
      <c r="CG31" s="77">
        <f>IF(B31="Automat",(D31*0.06),0)</f>
        <v>0</v>
      </c>
      <c r="CH31" s="72">
        <f>IF(CK31=1,CD31+CE31+CF31+CG31,0)</f>
        <v>0</v>
      </c>
      <c r="CI31" s="73">
        <f>COUNTBLANK(H31:J31)</f>
        <v>3</v>
      </c>
      <c r="CJ31" s="73">
        <f>IF(K31="Nu",0,IF(L31="Nu",0,1))</f>
        <v>1</v>
      </c>
      <c r="CK31" s="73">
        <f>IF(CI31&gt;0,0,IF(CJ31=0,0,1))</f>
        <v>0</v>
      </c>
      <c r="CL31" s="273">
        <f t="shared" si="4"/>
        <v>0</v>
      </c>
      <c r="CM31" s="273">
        <f t="shared" si="5"/>
        <v>0</v>
      </c>
      <c r="CN31" s="273"/>
      <c r="CQ31" s="71" t="str">
        <f t="shared" si="0"/>
        <v>Sc  Denumire Furnizor Srl</v>
      </c>
      <c r="CR31" s="71" t="str">
        <f t="shared" si="1"/>
        <v>Lxx</v>
      </c>
      <c r="CS31" s="71" t="str">
        <f t="shared" si="2"/>
        <v>11111111</v>
      </c>
    </row>
    <row r="32" spans="1:97" s="71" customFormat="1" ht="16.5" customHeight="1">
      <c r="A32" s="35" t="s">
        <v>247</v>
      </c>
      <c r="B32" s="34" t="s">
        <v>234</v>
      </c>
      <c r="C32" s="35" t="s">
        <v>247</v>
      </c>
      <c r="D32" s="29"/>
      <c r="E32" s="28" t="s">
        <v>231</v>
      </c>
      <c r="F32" s="34"/>
      <c r="G32" s="34"/>
      <c r="H32" s="78"/>
      <c r="I32" s="79"/>
      <c r="J32" s="79"/>
      <c r="K32" s="34"/>
      <c r="L32" s="34"/>
      <c r="M32" s="69">
        <f>CM32</f>
        <v>0</v>
      </c>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c r="BZ32" s="66"/>
      <c r="CA32" s="283">
        <f t="shared" si="3"/>
        <v>0</v>
      </c>
      <c r="CB32" s="70">
        <f t="shared" si="6"/>
        <v>-8</v>
      </c>
      <c r="CC32" s="71">
        <f t="shared" si="7"/>
        <v>-160</v>
      </c>
      <c r="CD32" s="71">
        <f>IF(B32="Analizor semiautomat",10,IF(B32="Analizor de ioni semiautomat",15,IF(B32="Automat",30,0)))</f>
        <v>30</v>
      </c>
      <c r="CE32" s="71">
        <f>IF(B32="Analizor semiautomat",0,IF(B32="Analizor de ioni semiautomat",0,IF(F32="Da",10,0)))</f>
        <v>0</v>
      </c>
      <c r="CF32" s="71">
        <f>IF(B32="Analizor semiautomat",0,IF(B32="Analizor de ioni semiautomat",0,IF(G32="Da",15,0)))</f>
        <v>0</v>
      </c>
      <c r="CG32" s="77">
        <f>IF(B32="Automat",(D32*0.06),0)</f>
        <v>0</v>
      </c>
      <c r="CH32" s="72">
        <f>IF(CK32=1,CD32+CE32+CF32+CG32,0)</f>
        <v>0</v>
      </c>
      <c r="CI32" s="73">
        <f>COUNTBLANK(H32:J32)</f>
        <v>3</v>
      </c>
      <c r="CJ32" s="73">
        <f>IF(K32="Nu",0,IF(L32="Nu",0,1))</f>
        <v>1</v>
      </c>
      <c r="CK32" s="73">
        <f>IF(CI32&gt;0,0,IF(CJ32=0,0,1))</f>
        <v>0</v>
      </c>
      <c r="CL32" s="273">
        <f t="shared" si="4"/>
        <v>0</v>
      </c>
      <c r="CM32" s="273">
        <f t="shared" si="5"/>
        <v>0</v>
      </c>
      <c r="CN32" s="273"/>
      <c r="CO32" s="71">
        <v>30</v>
      </c>
      <c r="CP32" s="71">
        <f>IF(CC32&gt;0,CO32-(CO32*CC32)/100,CO32)</f>
        <v>30</v>
      </c>
      <c r="CQ32" s="71" t="str">
        <f t="shared" si="0"/>
        <v>Sc  Denumire Furnizor Srl</v>
      </c>
      <c r="CR32" s="71" t="str">
        <f t="shared" si="1"/>
        <v>Lxx</v>
      </c>
      <c r="CS32" s="71" t="str">
        <f t="shared" si="2"/>
        <v>11111111</v>
      </c>
    </row>
    <row r="33" spans="1:97" s="71" customFormat="1" ht="17.25" customHeight="1">
      <c r="A33" s="35" t="s">
        <v>247</v>
      </c>
      <c r="B33" s="34" t="s">
        <v>234</v>
      </c>
      <c r="C33" s="35" t="s">
        <v>247</v>
      </c>
      <c r="D33" s="29">
        <v>1200</v>
      </c>
      <c r="E33" s="28" t="s">
        <v>231</v>
      </c>
      <c r="F33" s="34" t="s">
        <v>31</v>
      </c>
      <c r="G33" s="34" t="s">
        <v>31</v>
      </c>
      <c r="H33" s="78"/>
      <c r="I33" s="79"/>
      <c r="J33" s="79"/>
      <c r="K33" s="34"/>
      <c r="L33" s="34"/>
      <c r="M33" s="69">
        <f>CM33</f>
        <v>0</v>
      </c>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6"/>
      <c r="BU33" s="66"/>
      <c r="BV33" s="66"/>
      <c r="BW33" s="66"/>
      <c r="BX33" s="66"/>
      <c r="BY33" s="66"/>
      <c r="BZ33" s="66"/>
      <c r="CA33" s="283">
        <f t="shared" si="3"/>
        <v>0</v>
      </c>
      <c r="CB33" s="70">
        <f t="shared" si="6"/>
        <v>-8</v>
      </c>
      <c r="CC33" s="71">
        <f t="shared" si="7"/>
        <v>-160</v>
      </c>
      <c r="CD33" s="71">
        <f>IF(B33="Analizor semiautomat",10,IF(B33="Analizor de ioni semiautomat",15,IF(B33="Automat",30,0)))</f>
        <v>30</v>
      </c>
      <c r="CE33" s="71">
        <f>IF(B33="Analizor semiautomat",0,IF(B33="Analizor de ioni semiautomat",0,IF(F33="Da",10,0)))</f>
        <v>10</v>
      </c>
      <c r="CF33" s="71">
        <f>IF(B33="Analizor semiautomat",0,IF(B33="Analizor de ioni semiautomat",0,IF(G33="Da",15,0)))</f>
        <v>15</v>
      </c>
      <c r="CG33" s="77">
        <f>IF(B33="Automat",(D33*0.06),0)</f>
        <v>72</v>
      </c>
      <c r="CH33" s="72">
        <f>IF(CK33=1,CD33+CE33+CF33+CG33,0)</f>
        <v>0</v>
      </c>
      <c r="CI33" s="73">
        <f>COUNTBLANK(H33:J33)</f>
        <v>3</v>
      </c>
      <c r="CJ33" s="73">
        <f>IF(K33="Nu",0,IF(L33="Nu",0,1))</f>
        <v>1</v>
      </c>
      <c r="CK33" s="73">
        <f>IF(CI33&gt;0,0,IF(CJ33=0,0,1))</f>
        <v>0</v>
      </c>
      <c r="CL33" s="273">
        <f t="shared" si="4"/>
        <v>0</v>
      </c>
      <c r="CM33" s="273">
        <f t="shared" si="5"/>
        <v>0</v>
      </c>
      <c r="CN33" s="273"/>
      <c r="CO33" s="71">
        <v>35</v>
      </c>
      <c r="CP33" s="71">
        <f>IF(CC33&gt;0,CO33-(CO33*CC33)/100,CO33)</f>
        <v>35</v>
      </c>
      <c r="CQ33" s="71" t="str">
        <f t="shared" si="0"/>
        <v>Sc  Denumire Furnizor Srl</v>
      </c>
      <c r="CR33" s="71" t="str">
        <f t="shared" si="1"/>
        <v>Lxx</v>
      </c>
      <c r="CS33" s="71" t="str">
        <f t="shared" si="2"/>
        <v>11111111</v>
      </c>
    </row>
    <row r="34" spans="1:103" s="43" customFormat="1" ht="13.5">
      <c r="A34" s="404" t="s">
        <v>230</v>
      </c>
      <c r="B34" s="404"/>
      <c r="C34" s="404"/>
      <c r="D34" s="404"/>
      <c r="E34" s="404"/>
      <c r="F34" s="404"/>
      <c r="G34" s="404"/>
      <c r="H34" s="123">
        <f>COUNTA(H30:H33)</f>
        <v>0</v>
      </c>
      <c r="I34" s="402" t="s">
        <v>229</v>
      </c>
      <c r="J34" s="402"/>
      <c r="K34" s="402"/>
      <c r="L34" s="402"/>
      <c r="M34" s="124">
        <f>IF(H34&gt;4,0,M30+M31+M32+M33)</f>
        <v>0</v>
      </c>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283"/>
      <c r="CB34" s="70"/>
      <c r="CC34" s="71"/>
      <c r="CD34" s="71"/>
      <c r="CE34" s="71"/>
      <c r="CF34" s="71"/>
      <c r="CG34" s="70"/>
      <c r="CH34" s="72"/>
      <c r="CI34" s="73"/>
      <c r="CJ34" s="73"/>
      <c r="CK34" s="73"/>
      <c r="CL34" s="273">
        <f t="shared" si="4"/>
        <v>0</v>
      </c>
      <c r="CM34" s="273">
        <f t="shared" si="5"/>
        <v>0</v>
      </c>
      <c r="CN34" s="273"/>
      <c r="CO34" s="71"/>
      <c r="CP34" s="71"/>
      <c r="CQ34" s="71" t="str">
        <f t="shared" si="0"/>
        <v>Sc  Denumire Furnizor Srl</v>
      </c>
      <c r="CR34" s="71" t="str">
        <f t="shared" si="1"/>
        <v>Lxx</v>
      </c>
      <c r="CS34" s="71" t="str">
        <f t="shared" si="2"/>
        <v>11111111</v>
      </c>
      <c r="CT34" s="71"/>
      <c r="CU34" s="71"/>
      <c r="CV34" s="71"/>
      <c r="CW34" s="71"/>
      <c r="CX34" s="71"/>
      <c r="CY34" s="71"/>
    </row>
    <row r="35" spans="1:103" s="43" customFormat="1" ht="13.5">
      <c r="A35" s="27" t="s">
        <v>246</v>
      </c>
      <c r="B35" s="24" t="s">
        <v>234</v>
      </c>
      <c r="C35" s="25" t="s">
        <v>231</v>
      </c>
      <c r="D35" s="25" t="s">
        <v>231</v>
      </c>
      <c r="E35" s="25" t="s">
        <v>231</v>
      </c>
      <c r="F35" s="25" t="s">
        <v>231</v>
      </c>
      <c r="G35" s="25" t="s">
        <v>231</v>
      </c>
      <c r="H35" s="68"/>
      <c r="I35" s="64"/>
      <c r="J35" s="64"/>
      <c r="K35" s="24"/>
      <c r="L35" s="24"/>
      <c r="M35" s="65">
        <f>CM35</f>
        <v>0</v>
      </c>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283">
        <f t="shared" si="3"/>
        <v>0</v>
      </c>
      <c r="CB35" s="70">
        <f t="shared" si="6"/>
        <v>-8</v>
      </c>
      <c r="CC35" s="71">
        <f t="shared" si="7"/>
        <v>-160</v>
      </c>
      <c r="CD35" s="71">
        <f>IF(B35="Semiautomat",10,30)</f>
        <v>30</v>
      </c>
      <c r="CE35" s="71">
        <v>0</v>
      </c>
      <c r="CF35" s="71">
        <v>0</v>
      </c>
      <c r="CG35" s="70">
        <v>0</v>
      </c>
      <c r="CH35" s="72">
        <f>IF(CK35=1,CD35+CE35+CF35+CG35,0)</f>
        <v>0</v>
      </c>
      <c r="CI35" s="73">
        <f>COUNTBLANK(H35:J35)</f>
        <v>3</v>
      </c>
      <c r="CJ35" s="73">
        <f>IF(K35="Nu",0,IF(L35="Nu",0,1))</f>
        <v>1</v>
      </c>
      <c r="CK35" s="73">
        <f>IF(CI35&gt;0,0,IF(CJ35=0,0,1))</f>
        <v>0</v>
      </c>
      <c r="CL35" s="273">
        <f t="shared" si="4"/>
        <v>0</v>
      </c>
      <c r="CM35" s="273">
        <f t="shared" si="5"/>
        <v>0</v>
      </c>
      <c r="CN35" s="273"/>
      <c r="CO35" s="71"/>
      <c r="CP35" s="71"/>
      <c r="CQ35" s="71" t="str">
        <f t="shared" si="0"/>
        <v>Sc  Denumire Furnizor Srl</v>
      </c>
      <c r="CR35" s="71" t="str">
        <f t="shared" si="1"/>
        <v>Lxx</v>
      </c>
      <c r="CS35" s="71" t="str">
        <f t="shared" si="2"/>
        <v>11111111</v>
      </c>
      <c r="CT35" s="71"/>
      <c r="CU35" s="71"/>
      <c r="CV35" s="71"/>
      <c r="CW35" s="71"/>
      <c r="CX35" s="71"/>
      <c r="CY35" s="71"/>
    </row>
    <row r="36" spans="1:103" s="43" customFormat="1" ht="13.5">
      <c r="A36" s="27" t="s">
        <v>246</v>
      </c>
      <c r="B36" s="24" t="s">
        <v>234</v>
      </c>
      <c r="C36" s="25" t="s">
        <v>231</v>
      </c>
      <c r="D36" s="25" t="s">
        <v>231</v>
      </c>
      <c r="E36" s="25" t="s">
        <v>231</v>
      </c>
      <c r="F36" s="25" t="s">
        <v>231</v>
      </c>
      <c r="G36" s="25" t="s">
        <v>231</v>
      </c>
      <c r="H36" s="74"/>
      <c r="I36" s="74"/>
      <c r="J36" s="75"/>
      <c r="K36" s="24"/>
      <c r="L36" s="24"/>
      <c r="M36" s="65">
        <f>CM36</f>
        <v>0</v>
      </c>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283">
        <f t="shared" si="3"/>
        <v>0</v>
      </c>
      <c r="CB36" s="70">
        <f t="shared" si="6"/>
        <v>-8</v>
      </c>
      <c r="CC36" s="71">
        <f t="shared" si="7"/>
        <v>-160</v>
      </c>
      <c r="CD36" s="71">
        <f>IF(B36="Semiautomat",10,30)</f>
        <v>30</v>
      </c>
      <c r="CE36" s="71">
        <v>0</v>
      </c>
      <c r="CF36" s="71">
        <v>0</v>
      </c>
      <c r="CG36" s="70">
        <v>0</v>
      </c>
      <c r="CH36" s="72">
        <f>IF(CK36=1,CD36+CE36+CF36+CG36,0)</f>
        <v>0</v>
      </c>
      <c r="CI36" s="73">
        <f>COUNTBLANK(H36:J36)</f>
        <v>3</v>
      </c>
      <c r="CJ36" s="73">
        <f>IF(K36="Nu",0,IF(L36="Nu",0,1))</f>
        <v>1</v>
      </c>
      <c r="CK36" s="73">
        <f>IF(CI36&gt;0,0,IF(CJ36=0,0,1))</f>
        <v>0</v>
      </c>
      <c r="CL36" s="273">
        <f t="shared" si="4"/>
        <v>0</v>
      </c>
      <c r="CM36" s="273">
        <f t="shared" si="5"/>
        <v>0</v>
      </c>
      <c r="CN36" s="273"/>
      <c r="CO36" s="71"/>
      <c r="CP36" s="71"/>
      <c r="CQ36" s="71" t="str">
        <f t="shared" si="0"/>
        <v>Sc  Denumire Furnizor Srl</v>
      </c>
      <c r="CR36" s="71" t="str">
        <f t="shared" si="1"/>
        <v>Lxx</v>
      </c>
      <c r="CS36" s="71" t="str">
        <f t="shared" si="2"/>
        <v>11111111</v>
      </c>
      <c r="CT36" s="71"/>
      <c r="CU36" s="71"/>
      <c r="CV36" s="71"/>
      <c r="CW36" s="71"/>
      <c r="CX36" s="71"/>
      <c r="CY36" s="71"/>
    </row>
    <row r="37" spans="1:103" s="43" customFormat="1" ht="13.5">
      <c r="A37" s="404" t="s">
        <v>244</v>
      </c>
      <c r="B37" s="404"/>
      <c r="C37" s="404"/>
      <c r="D37" s="404"/>
      <c r="E37" s="404"/>
      <c r="F37" s="404"/>
      <c r="G37" s="404"/>
      <c r="H37" s="123">
        <f>COUNTA(H35:H36)</f>
        <v>0</v>
      </c>
      <c r="I37" s="402" t="s">
        <v>229</v>
      </c>
      <c r="J37" s="402"/>
      <c r="K37" s="402"/>
      <c r="L37" s="402"/>
      <c r="M37" s="124">
        <f>IF(H37&gt;2,0,M35+M36)</f>
        <v>0</v>
      </c>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283"/>
      <c r="CB37" s="70"/>
      <c r="CC37" s="71"/>
      <c r="CD37" s="71"/>
      <c r="CE37" s="71"/>
      <c r="CF37" s="71"/>
      <c r="CG37" s="70"/>
      <c r="CH37" s="72"/>
      <c r="CI37" s="73"/>
      <c r="CJ37" s="73"/>
      <c r="CK37" s="73"/>
      <c r="CL37" s="273">
        <f t="shared" si="4"/>
        <v>0</v>
      </c>
      <c r="CM37" s="273">
        <f t="shared" si="5"/>
        <v>0</v>
      </c>
      <c r="CN37" s="273"/>
      <c r="CO37" s="71"/>
      <c r="CP37" s="71"/>
      <c r="CQ37" s="71" t="str">
        <f t="shared" si="0"/>
        <v>Sc  Denumire Furnizor Srl</v>
      </c>
      <c r="CR37" s="71" t="str">
        <f t="shared" si="1"/>
        <v>Lxx</v>
      </c>
      <c r="CS37" s="71" t="str">
        <f t="shared" si="2"/>
        <v>11111111</v>
      </c>
      <c r="CT37" s="71"/>
      <c r="CU37" s="71"/>
      <c r="CV37" s="71"/>
      <c r="CW37" s="71"/>
      <c r="CX37" s="71"/>
      <c r="CY37" s="71"/>
    </row>
    <row r="38" spans="1:103" s="43" customFormat="1" ht="27">
      <c r="A38" s="27" t="s">
        <v>245</v>
      </c>
      <c r="B38" s="24" t="s">
        <v>233</v>
      </c>
      <c r="C38" s="27" t="s">
        <v>245</v>
      </c>
      <c r="D38" s="25" t="s">
        <v>231</v>
      </c>
      <c r="E38" s="25" t="s">
        <v>231</v>
      </c>
      <c r="F38" s="25" t="s">
        <v>231</v>
      </c>
      <c r="G38" s="25" t="s">
        <v>231</v>
      </c>
      <c r="H38" s="68"/>
      <c r="I38" s="64"/>
      <c r="J38" s="64"/>
      <c r="K38" s="24"/>
      <c r="L38" s="24"/>
      <c r="M38" s="65">
        <f>CM38</f>
        <v>0</v>
      </c>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6"/>
      <c r="AW38" s="66"/>
      <c r="AX38" s="66"/>
      <c r="AY38" s="66"/>
      <c r="AZ38" s="66"/>
      <c r="BA38" s="66"/>
      <c r="BB38" s="66"/>
      <c r="BC38" s="66"/>
      <c r="BD38" s="66"/>
      <c r="BE38" s="66"/>
      <c r="BF38" s="66"/>
      <c r="BG38" s="66"/>
      <c r="BH38" s="66"/>
      <c r="BI38" s="66"/>
      <c r="BJ38" s="66"/>
      <c r="BK38" s="66"/>
      <c r="BL38" s="66"/>
      <c r="BM38" s="66"/>
      <c r="BN38" s="66"/>
      <c r="BO38" s="66"/>
      <c r="BP38" s="66"/>
      <c r="BQ38" s="66"/>
      <c r="BR38" s="66"/>
      <c r="BS38" s="66"/>
      <c r="BT38" s="66"/>
      <c r="BU38" s="66"/>
      <c r="BV38" s="66"/>
      <c r="BW38" s="66"/>
      <c r="BX38" s="66"/>
      <c r="BY38" s="66"/>
      <c r="BZ38" s="66"/>
      <c r="CA38" s="283">
        <f t="shared" si="3"/>
        <v>0</v>
      </c>
      <c r="CB38" s="70">
        <f t="shared" si="6"/>
        <v>-8</v>
      </c>
      <c r="CC38" s="71">
        <f t="shared" si="7"/>
        <v>-160</v>
      </c>
      <c r="CD38" s="71">
        <f>IF(B38="Semiautomat",5,20)</f>
        <v>5</v>
      </c>
      <c r="CE38" s="71">
        <v>0</v>
      </c>
      <c r="CF38" s="71">
        <v>0</v>
      </c>
      <c r="CG38" s="70">
        <v>0</v>
      </c>
      <c r="CH38" s="72">
        <f>IF(CK38=1,CD38+CE38+CF38+CG38,0)</f>
        <v>0</v>
      </c>
      <c r="CI38" s="73">
        <f>COUNTBLANK(H38:J38)</f>
        <v>3</v>
      </c>
      <c r="CJ38" s="73">
        <f>IF(K38="Nu",0,IF(L38="Nu",0,1))</f>
        <v>1</v>
      </c>
      <c r="CK38" s="73">
        <f>IF(CI38&gt;0,0,IF(CJ38=0,0,1))</f>
        <v>0</v>
      </c>
      <c r="CL38" s="273">
        <f t="shared" si="4"/>
        <v>0</v>
      </c>
      <c r="CM38" s="273">
        <f t="shared" si="5"/>
        <v>0</v>
      </c>
      <c r="CN38" s="273"/>
      <c r="CO38" s="71"/>
      <c r="CP38" s="71"/>
      <c r="CQ38" s="71" t="str">
        <f t="shared" si="0"/>
        <v>Sc  Denumire Furnizor Srl</v>
      </c>
      <c r="CR38" s="71" t="str">
        <f t="shared" si="1"/>
        <v>Lxx</v>
      </c>
      <c r="CS38" s="71" t="str">
        <f t="shared" si="2"/>
        <v>11111111</v>
      </c>
      <c r="CT38" s="71"/>
      <c r="CU38" s="71"/>
      <c r="CV38" s="71"/>
      <c r="CW38" s="71"/>
      <c r="CX38" s="71"/>
      <c r="CY38" s="71"/>
    </row>
    <row r="39" spans="1:103" s="43" customFormat="1" ht="13.5">
      <c r="A39" s="27" t="s">
        <v>245</v>
      </c>
      <c r="B39" s="24" t="s">
        <v>234</v>
      </c>
      <c r="C39" s="27" t="s">
        <v>245</v>
      </c>
      <c r="D39" s="25" t="s">
        <v>231</v>
      </c>
      <c r="E39" s="25" t="s">
        <v>231</v>
      </c>
      <c r="F39" s="25" t="s">
        <v>231</v>
      </c>
      <c r="G39" s="25" t="s">
        <v>231</v>
      </c>
      <c r="H39" s="68"/>
      <c r="I39" s="64"/>
      <c r="J39" s="76"/>
      <c r="K39" s="24"/>
      <c r="L39" s="24"/>
      <c r="M39" s="65">
        <f>CM39</f>
        <v>0</v>
      </c>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283">
        <f t="shared" si="3"/>
        <v>0</v>
      </c>
      <c r="CB39" s="70">
        <f t="shared" si="6"/>
        <v>-8</v>
      </c>
      <c r="CC39" s="71">
        <f t="shared" si="7"/>
        <v>-160</v>
      </c>
      <c r="CD39" s="71">
        <f>IF(B39="Semiautomat",5,20)</f>
        <v>20</v>
      </c>
      <c r="CE39" s="71">
        <v>0</v>
      </c>
      <c r="CF39" s="71">
        <v>0</v>
      </c>
      <c r="CG39" s="70">
        <v>0</v>
      </c>
      <c r="CH39" s="72">
        <f>IF(CK39=1,CD39+CE39+CF39+CG39,0)</f>
        <v>0</v>
      </c>
      <c r="CI39" s="73">
        <f>COUNTBLANK(H39:J39)</f>
        <v>3</v>
      </c>
      <c r="CJ39" s="73">
        <f>IF(K39="Nu",0,IF(L39="Nu",0,1))</f>
        <v>1</v>
      </c>
      <c r="CK39" s="73">
        <f>IF(CI39&gt;0,0,IF(CJ39=0,0,1))</f>
        <v>0</v>
      </c>
      <c r="CL39" s="273">
        <f t="shared" si="4"/>
        <v>0</v>
      </c>
      <c r="CM39" s="273">
        <f t="shared" si="5"/>
        <v>0</v>
      </c>
      <c r="CN39" s="273"/>
      <c r="CO39" s="71"/>
      <c r="CP39" s="71"/>
      <c r="CQ39" s="71" t="str">
        <f t="shared" si="0"/>
        <v>Sc  Denumire Furnizor Srl</v>
      </c>
      <c r="CR39" s="71" t="str">
        <f t="shared" si="1"/>
        <v>Lxx</v>
      </c>
      <c r="CS39" s="71" t="str">
        <f t="shared" si="2"/>
        <v>11111111</v>
      </c>
      <c r="CT39" s="71"/>
      <c r="CU39" s="71"/>
      <c r="CV39" s="71"/>
      <c r="CW39" s="71"/>
      <c r="CX39" s="71"/>
      <c r="CY39" s="71"/>
    </row>
    <row r="40" spans="1:103" s="43" customFormat="1" ht="13.5">
      <c r="A40" s="404" t="s">
        <v>244</v>
      </c>
      <c r="B40" s="404"/>
      <c r="C40" s="404"/>
      <c r="D40" s="404"/>
      <c r="E40" s="404"/>
      <c r="F40" s="404"/>
      <c r="G40" s="404"/>
      <c r="H40" s="123">
        <f>COUNTA(H38:H39)</f>
        <v>0</v>
      </c>
      <c r="I40" s="402" t="s">
        <v>229</v>
      </c>
      <c r="J40" s="402"/>
      <c r="K40" s="402"/>
      <c r="L40" s="402"/>
      <c r="M40" s="124">
        <f>IF(H40&gt;2,0,M38+M39)</f>
        <v>0</v>
      </c>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283"/>
      <c r="CB40" s="70"/>
      <c r="CC40" s="71"/>
      <c r="CD40" s="71"/>
      <c r="CE40" s="71"/>
      <c r="CF40" s="71"/>
      <c r="CG40" s="70"/>
      <c r="CH40" s="72"/>
      <c r="CI40" s="73"/>
      <c r="CJ40" s="73"/>
      <c r="CK40" s="73"/>
      <c r="CL40" s="273">
        <f t="shared" si="4"/>
        <v>0</v>
      </c>
      <c r="CM40" s="273">
        <f t="shared" si="5"/>
        <v>0</v>
      </c>
      <c r="CN40" s="273"/>
      <c r="CO40" s="71"/>
      <c r="CP40" s="71"/>
      <c r="CQ40" s="71" t="str">
        <f t="shared" si="0"/>
        <v>Sc  Denumire Furnizor Srl</v>
      </c>
      <c r="CR40" s="71" t="str">
        <f t="shared" si="1"/>
        <v>Lxx</v>
      </c>
      <c r="CS40" s="71" t="str">
        <f t="shared" si="2"/>
        <v>11111111</v>
      </c>
      <c r="CT40" s="71"/>
      <c r="CU40" s="71"/>
      <c r="CV40" s="71"/>
      <c r="CW40" s="71"/>
      <c r="CX40" s="71"/>
      <c r="CY40" s="71"/>
    </row>
    <row r="41" spans="1:103" s="43" customFormat="1" ht="13.5">
      <c r="A41" s="339" t="s">
        <v>205</v>
      </c>
      <c r="B41" s="28" t="s">
        <v>243</v>
      </c>
      <c r="C41" s="28" t="s">
        <v>231</v>
      </c>
      <c r="D41" s="24" t="s">
        <v>44</v>
      </c>
      <c r="E41" s="28" t="s">
        <v>231</v>
      </c>
      <c r="F41" s="28" t="s">
        <v>231</v>
      </c>
      <c r="G41" s="28" t="s">
        <v>231</v>
      </c>
      <c r="H41" s="28" t="s">
        <v>231</v>
      </c>
      <c r="I41" s="40" t="s">
        <v>231</v>
      </c>
      <c r="J41" s="40" t="s">
        <v>231</v>
      </c>
      <c r="K41" s="40" t="s">
        <v>231</v>
      </c>
      <c r="L41" s="40" t="s">
        <v>231</v>
      </c>
      <c r="M41" s="69">
        <f>IF(D41="Da",2,0)</f>
        <v>0</v>
      </c>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283"/>
      <c r="CB41" s="70"/>
      <c r="CC41" s="71"/>
      <c r="CD41" s="71"/>
      <c r="CE41" s="71"/>
      <c r="CF41" s="71"/>
      <c r="CG41" s="70"/>
      <c r="CH41" s="72"/>
      <c r="CI41" s="73"/>
      <c r="CJ41" s="73"/>
      <c r="CK41" s="73"/>
      <c r="CL41" s="273">
        <f t="shared" si="4"/>
        <v>0</v>
      </c>
      <c r="CM41" s="273">
        <f t="shared" si="5"/>
        <v>0</v>
      </c>
      <c r="CN41" s="273"/>
      <c r="CO41" s="71"/>
      <c r="CP41" s="71"/>
      <c r="CQ41" s="71" t="str">
        <f t="shared" si="0"/>
        <v>Sc  Denumire Furnizor Srl</v>
      </c>
      <c r="CR41" s="71" t="str">
        <f t="shared" si="1"/>
        <v>Lxx</v>
      </c>
      <c r="CS41" s="71" t="str">
        <f t="shared" si="2"/>
        <v>11111111</v>
      </c>
      <c r="CT41" s="71"/>
      <c r="CU41" s="71"/>
      <c r="CV41" s="71"/>
      <c r="CW41" s="71"/>
      <c r="CX41" s="71"/>
      <c r="CY41" s="71"/>
    </row>
    <row r="42" spans="1:103" s="43" customFormat="1" ht="12.75" customHeight="1">
      <c r="A42" s="406" t="s">
        <v>241</v>
      </c>
      <c r="B42" s="406" t="s">
        <v>240</v>
      </c>
      <c r="C42" s="406" t="s">
        <v>242</v>
      </c>
      <c r="D42" s="413" t="s">
        <v>238</v>
      </c>
      <c r="E42" s="415"/>
      <c r="F42" s="416"/>
      <c r="G42" s="416"/>
      <c r="H42" s="416"/>
      <c r="I42" s="416"/>
      <c r="J42" s="416"/>
      <c r="K42" s="416"/>
      <c r="L42" s="416"/>
      <c r="M42" s="417"/>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283">
        <f t="shared" si="3"/>
        <v>0</v>
      </c>
      <c r="CB42" s="70">
        <f aca="true" t="shared" si="8" ref="CB42:CB51">CA42-8</f>
        <v>-8</v>
      </c>
      <c r="CC42" s="71">
        <f aca="true" t="shared" si="9" ref="CC42:CC51">CB42*20</f>
        <v>-160</v>
      </c>
      <c r="CD42" s="71"/>
      <c r="CE42" s="71"/>
      <c r="CF42" s="71">
        <v>0</v>
      </c>
      <c r="CG42" s="70">
        <v>0</v>
      </c>
      <c r="CH42" s="72"/>
      <c r="CI42" s="73"/>
      <c r="CJ42" s="73"/>
      <c r="CK42" s="73"/>
      <c r="CL42" s="273">
        <f t="shared" si="4"/>
        <v>0</v>
      </c>
      <c r="CM42" s="273">
        <f t="shared" si="5"/>
        <v>0</v>
      </c>
      <c r="CN42" s="273"/>
      <c r="CO42" s="71"/>
      <c r="CP42" s="71"/>
      <c r="CQ42" s="71" t="str">
        <f t="shared" si="0"/>
        <v>Sc  Denumire Furnizor Srl</v>
      </c>
      <c r="CR42" s="71" t="str">
        <f t="shared" si="1"/>
        <v>Lxx</v>
      </c>
      <c r="CS42" s="71" t="str">
        <f t="shared" si="2"/>
        <v>11111111</v>
      </c>
      <c r="CT42" s="71"/>
      <c r="CU42" s="71"/>
      <c r="CV42" s="71"/>
      <c r="CW42" s="71"/>
      <c r="CX42" s="71"/>
      <c r="CY42" s="71"/>
    </row>
    <row r="43" spans="1:103" s="43" customFormat="1" ht="12.75">
      <c r="A43" s="407"/>
      <c r="B43" s="407"/>
      <c r="C43" s="407"/>
      <c r="D43" s="414"/>
      <c r="E43" s="418"/>
      <c r="F43" s="419"/>
      <c r="G43" s="419"/>
      <c r="H43" s="419"/>
      <c r="I43" s="419"/>
      <c r="J43" s="419"/>
      <c r="K43" s="419"/>
      <c r="L43" s="419"/>
      <c r="M43" s="420"/>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283">
        <f t="shared" si="3"/>
        <v>0</v>
      </c>
      <c r="CB43" s="70">
        <f t="shared" si="8"/>
        <v>-8</v>
      </c>
      <c r="CC43" s="71">
        <f t="shared" si="9"/>
        <v>-160</v>
      </c>
      <c r="CD43" s="71"/>
      <c r="CE43" s="71"/>
      <c r="CF43" s="71">
        <v>0</v>
      </c>
      <c r="CG43" s="70">
        <v>0</v>
      </c>
      <c r="CH43" s="72"/>
      <c r="CI43" s="73"/>
      <c r="CJ43" s="73"/>
      <c r="CK43" s="73"/>
      <c r="CL43" s="273">
        <f t="shared" si="4"/>
        <v>0</v>
      </c>
      <c r="CM43" s="273">
        <f t="shared" si="5"/>
        <v>0</v>
      </c>
      <c r="CN43" s="273"/>
      <c r="CO43" s="71"/>
      <c r="CP43" s="71"/>
      <c r="CQ43" s="71" t="str">
        <f t="shared" si="0"/>
        <v>Sc  Denumire Furnizor Srl</v>
      </c>
      <c r="CR43" s="71" t="str">
        <f t="shared" si="1"/>
        <v>Lxx</v>
      </c>
      <c r="CS43" s="71" t="str">
        <f t="shared" si="2"/>
        <v>11111111</v>
      </c>
      <c r="CT43" s="71"/>
      <c r="CU43" s="71"/>
      <c r="CV43" s="71"/>
      <c r="CW43" s="71"/>
      <c r="CX43" s="71"/>
      <c r="CY43" s="71"/>
    </row>
    <row r="44" spans="1:103" s="43" customFormat="1" ht="40.5">
      <c r="A44" s="27" t="s">
        <v>205</v>
      </c>
      <c r="B44" s="24" t="s">
        <v>233</v>
      </c>
      <c r="C44" s="27" t="s">
        <v>242</v>
      </c>
      <c r="D44" s="24" t="s">
        <v>395</v>
      </c>
      <c r="E44" s="25" t="s">
        <v>231</v>
      </c>
      <c r="F44" s="32" t="s">
        <v>231</v>
      </c>
      <c r="G44" s="25" t="s">
        <v>231</v>
      </c>
      <c r="H44" s="63"/>
      <c r="I44" s="64"/>
      <c r="J44" s="76"/>
      <c r="K44" s="24"/>
      <c r="L44" s="24"/>
      <c r="M44" s="65">
        <f>CM44</f>
        <v>0</v>
      </c>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283">
        <f t="shared" si="3"/>
        <v>0</v>
      </c>
      <c r="CB44" s="70">
        <f t="shared" si="8"/>
        <v>-8</v>
      </c>
      <c r="CC44" s="71">
        <f t="shared" si="9"/>
        <v>-160</v>
      </c>
      <c r="CD44" s="71">
        <f>IF(B44="Semiautomat",15,25)</f>
        <v>15</v>
      </c>
      <c r="CE44" s="71">
        <f>IF(B44="Semiautomat",0,IF(B44="Automat",IF(D44="2 microplaci simultan",5,IF(D44="4 microplaci simultan",10,IF(D44="6 microplaci simultan",15,0)))))</f>
        <v>0</v>
      </c>
      <c r="CF44" s="71">
        <v>0</v>
      </c>
      <c r="CG44" s="70">
        <v>0</v>
      </c>
      <c r="CH44" s="72">
        <f>IF(CK44=1,CD44+CE44+CF44+CG44,0)</f>
        <v>0</v>
      </c>
      <c r="CI44" s="73">
        <f>COUNTBLANK(H44:J44)</f>
        <v>3</v>
      </c>
      <c r="CJ44" s="73">
        <f>IF(K44="Nu",0,IF(L44="Nu",0,1))</f>
        <v>1</v>
      </c>
      <c r="CK44" s="73">
        <f>IF(CI44&gt;0,0,IF(CJ44=0,0,1))</f>
        <v>0</v>
      </c>
      <c r="CL44" s="273">
        <f t="shared" si="4"/>
        <v>0</v>
      </c>
      <c r="CM44" s="273">
        <f t="shared" si="5"/>
        <v>0</v>
      </c>
      <c r="CN44" s="273"/>
      <c r="CO44" s="71"/>
      <c r="CP44" s="71"/>
      <c r="CQ44" s="71" t="str">
        <f t="shared" si="0"/>
        <v>Sc  Denumire Furnizor Srl</v>
      </c>
      <c r="CR44" s="71" t="str">
        <f t="shared" si="1"/>
        <v>Lxx</v>
      </c>
      <c r="CS44" s="71" t="str">
        <f t="shared" si="2"/>
        <v>11111111</v>
      </c>
      <c r="CT44" s="71"/>
      <c r="CU44" s="71"/>
      <c r="CV44" s="71"/>
      <c r="CW44" s="71"/>
      <c r="CX44" s="71"/>
      <c r="CY44" s="71"/>
    </row>
    <row r="45" spans="1:103" s="43" customFormat="1" ht="13.5">
      <c r="A45" s="27" t="s">
        <v>205</v>
      </c>
      <c r="B45" s="24" t="s">
        <v>234</v>
      </c>
      <c r="C45" s="27" t="s">
        <v>242</v>
      </c>
      <c r="D45" s="24"/>
      <c r="E45" s="25" t="s">
        <v>231</v>
      </c>
      <c r="F45" s="31" t="s">
        <v>231</v>
      </c>
      <c r="G45" s="28" t="s">
        <v>231</v>
      </c>
      <c r="H45" s="74"/>
      <c r="I45" s="74"/>
      <c r="J45" s="75"/>
      <c r="K45" s="24"/>
      <c r="L45" s="24"/>
      <c r="M45" s="65">
        <f>CM45</f>
        <v>0</v>
      </c>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283">
        <f t="shared" si="3"/>
        <v>0</v>
      </c>
      <c r="CB45" s="70">
        <f t="shared" si="8"/>
        <v>-8</v>
      </c>
      <c r="CC45" s="71">
        <f t="shared" si="9"/>
        <v>-160</v>
      </c>
      <c r="CD45" s="71">
        <f>IF(B45="Semiautomat",15,25)</f>
        <v>25</v>
      </c>
      <c r="CE45" s="71">
        <f>IF(B45="Semiautomat",0,IF(B45="Automat",IF(D45="2 microplaci simultan",5,IF(D45="4 microplaci simultan",10,IF(D45="6 microplaci simultan",15,0)))))</f>
        <v>0</v>
      </c>
      <c r="CF45" s="71">
        <v>0</v>
      </c>
      <c r="CG45" s="70">
        <v>0</v>
      </c>
      <c r="CH45" s="72">
        <f>IF(CK45=1,CD45+CE45+CF45+CG45,0)</f>
        <v>0</v>
      </c>
      <c r="CI45" s="73">
        <f>COUNTBLANK(H45:J45)</f>
        <v>3</v>
      </c>
      <c r="CJ45" s="73">
        <f>IF(K45="Nu",0,IF(L45="Nu",0,1))</f>
        <v>1</v>
      </c>
      <c r="CK45" s="73">
        <f>IF(CI45&gt;0,0,IF(CJ45=0,0,1))</f>
        <v>0</v>
      </c>
      <c r="CL45" s="273">
        <f t="shared" si="4"/>
        <v>0</v>
      </c>
      <c r="CM45" s="273">
        <f t="shared" si="5"/>
        <v>0</v>
      </c>
      <c r="CN45" s="273"/>
      <c r="CO45" s="71">
        <v>40</v>
      </c>
      <c r="CP45" s="71">
        <f>IF(CC45&gt;0,CO45-(CO45*CC45)/100,CO45)</f>
        <v>40</v>
      </c>
      <c r="CQ45" s="71" t="str">
        <f t="shared" si="0"/>
        <v>Sc  Denumire Furnizor Srl</v>
      </c>
      <c r="CR45" s="71" t="str">
        <f t="shared" si="1"/>
        <v>Lxx</v>
      </c>
      <c r="CS45" s="71" t="str">
        <f t="shared" si="2"/>
        <v>11111111</v>
      </c>
      <c r="CT45" s="71"/>
      <c r="CU45" s="71"/>
      <c r="CV45" s="71"/>
      <c r="CW45" s="71"/>
      <c r="CX45" s="71"/>
      <c r="CY45" s="71"/>
    </row>
    <row r="46" spans="1:103" s="43" customFormat="1" ht="13.5">
      <c r="A46" s="405" t="s">
        <v>241</v>
      </c>
      <c r="B46" s="405" t="s">
        <v>240</v>
      </c>
      <c r="C46" s="405" t="s">
        <v>239</v>
      </c>
      <c r="D46" s="405" t="s">
        <v>238</v>
      </c>
      <c r="E46" s="405" t="s">
        <v>237</v>
      </c>
      <c r="F46" s="405" t="s">
        <v>236</v>
      </c>
      <c r="G46" s="412"/>
      <c r="H46" s="412"/>
      <c r="I46" s="412"/>
      <c r="J46" s="412"/>
      <c r="K46" s="412"/>
      <c r="L46" s="412"/>
      <c r="M46" s="412"/>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283"/>
      <c r="CB46" s="70"/>
      <c r="CC46" s="71"/>
      <c r="CD46" s="71"/>
      <c r="CE46" s="71"/>
      <c r="CF46" s="71"/>
      <c r="CG46" s="77"/>
      <c r="CH46" s="72"/>
      <c r="CI46" s="73"/>
      <c r="CJ46" s="73"/>
      <c r="CK46" s="73"/>
      <c r="CL46" s="273">
        <f t="shared" si="4"/>
        <v>0</v>
      </c>
      <c r="CM46" s="273">
        <f t="shared" si="5"/>
        <v>0</v>
      </c>
      <c r="CN46" s="273"/>
      <c r="CO46" s="71"/>
      <c r="CP46" s="71"/>
      <c r="CQ46" s="71" t="str">
        <f t="shared" si="0"/>
        <v>Sc  Denumire Furnizor Srl</v>
      </c>
      <c r="CR46" s="71" t="str">
        <f t="shared" si="1"/>
        <v>Lxx</v>
      </c>
      <c r="CS46" s="71" t="str">
        <f t="shared" si="2"/>
        <v>11111111</v>
      </c>
      <c r="CT46" s="71"/>
      <c r="CU46" s="71"/>
      <c r="CV46" s="71"/>
      <c r="CW46" s="71"/>
      <c r="CX46" s="71"/>
      <c r="CY46" s="71"/>
    </row>
    <row r="47" spans="1:103" s="43" customFormat="1" ht="13.5">
      <c r="A47" s="405"/>
      <c r="B47" s="405"/>
      <c r="C47" s="405"/>
      <c r="D47" s="405"/>
      <c r="E47" s="405"/>
      <c r="F47" s="405"/>
      <c r="G47" s="412"/>
      <c r="H47" s="412"/>
      <c r="I47" s="412"/>
      <c r="J47" s="412"/>
      <c r="K47" s="412"/>
      <c r="L47" s="412"/>
      <c r="M47" s="412"/>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283"/>
      <c r="CB47" s="70"/>
      <c r="CC47" s="71"/>
      <c r="CD47" s="71"/>
      <c r="CE47" s="71"/>
      <c r="CF47" s="71"/>
      <c r="CG47" s="77"/>
      <c r="CH47" s="72"/>
      <c r="CI47" s="73"/>
      <c r="CJ47" s="73"/>
      <c r="CK47" s="73"/>
      <c r="CL47" s="273">
        <f t="shared" si="4"/>
        <v>0</v>
      </c>
      <c r="CM47" s="273">
        <f t="shared" si="5"/>
        <v>0</v>
      </c>
      <c r="CN47" s="273"/>
      <c r="CO47" s="71"/>
      <c r="CP47" s="71"/>
      <c r="CQ47" s="71" t="str">
        <f t="shared" si="0"/>
        <v>Sc  Denumire Furnizor Srl</v>
      </c>
      <c r="CR47" s="71" t="str">
        <f t="shared" si="1"/>
        <v>Lxx</v>
      </c>
      <c r="CS47" s="71" t="str">
        <f t="shared" si="2"/>
        <v>11111111</v>
      </c>
      <c r="CT47" s="71"/>
      <c r="CU47" s="71"/>
      <c r="CV47" s="71"/>
      <c r="CW47" s="71"/>
      <c r="CX47" s="71"/>
      <c r="CY47" s="71"/>
    </row>
    <row r="48" spans="1:103" s="43" customFormat="1" ht="13.5">
      <c r="A48" s="27" t="s">
        <v>205</v>
      </c>
      <c r="B48" s="24" t="s">
        <v>234</v>
      </c>
      <c r="C48" s="27" t="s">
        <v>232</v>
      </c>
      <c r="D48" s="24" t="s">
        <v>572</v>
      </c>
      <c r="E48" s="24"/>
      <c r="F48" s="26"/>
      <c r="G48" s="28" t="s">
        <v>231</v>
      </c>
      <c r="H48" s="68"/>
      <c r="I48" s="68"/>
      <c r="J48" s="68"/>
      <c r="K48" s="24"/>
      <c r="L48" s="24"/>
      <c r="M48" s="65">
        <f>CM48</f>
        <v>0</v>
      </c>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283">
        <f t="shared" si="3"/>
        <v>0</v>
      </c>
      <c r="CB48" s="70">
        <f t="shared" si="8"/>
        <v>-8</v>
      </c>
      <c r="CC48" s="71">
        <f t="shared" si="9"/>
        <v>-160</v>
      </c>
      <c r="CD48" s="71">
        <f>IF(B48="Semiautomat",25,IF(B48="Automat",IF(CE48=1,50,IF(CE48=0,70,0))))</f>
        <v>50</v>
      </c>
      <c r="CE48" s="71">
        <f>COUNTBLANK(D48:E48)</f>
        <v>1</v>
      </c>
      <c r="CF48" s="285">
        <f>IF(CE48&gt;1,0,CD48)</f>
        <v>50</v>
      </c>
      <c r="CG48" s="77">
        <f>IF(B48="Automat",(F48*0.6),0)</f>
        <v>0</v>
      </c>
      <c r="CH48" s="72">
        <f>IF(CK48=1,CF48+CG48,0)</f>
        <v>0</v>
      </c>
      <c r="CI48" s="73">
        <f>COUNTBLANK(H48:J48)</f>
        <v>3</v>
      </c>
      <c r="CJ48" s="73">
        <f>IF(K48="Nu",0,IF(L48="Nu",0,1))</f>
        <v>1</v>
      </c>
      <c r="CK48" s="73">
        <f>IF(CI48&gt;0,0,IF(CJ48=0,0,1))</f>
        <v>0</v>
      </c>
      <c r="CL48" s="273">
        <f t="shared" si="4"/>
        <v>0</v>
      </c>
      <c r="CM48" s="273">
        <f t="shared" si="5"/>
        <v>0</v>
      </c>
      <c r="CN48" s="273"/>
      <c r="CO48" s="71"/>
      <c r="CP48" s="71"/>
      <c r="CQ48" s="71" t="str">
        <f t="shared" si="0"/>
        <v>Sc  Denumire Furnizor Srl</v>
      </c>
      <c r="CR48" s="71" t="str">
        <f t="shared" si="1"/>
        <v>Lxx</v>
      </c>
      <c r="CS48" s="71" t="str">
        <f t="shared" si="2"/>
        <v>11111111</v>
      </c>
      <c r="CT48" s="71"/>
      <c r="CU48" s="71"/>
      <c r="CV48" s="71"/>
      <c r="CW48" s="71"/>
      <c r="CX48" s="71"/>
      <c r="CY48" s="71"/>
    </row>
    <row r="49" spans="1:103" s="43" customFormat="1" ht="13.5">
      <c r="A49" s="27" t="s">
        <v>205</v>
      </c>
      <c r="B49" s="24" t="s">
        <v>234</v>
      </c>
      <c r="C49" s="27" t="s">
        <v>232</v>
      </c>
      <c r="D49" s="24" t="s">
        <v>402</v>
      </c>
      <c r="E49" s="24"/>
      <c r="F49" s="26"/>
      <c r="G49" s="28"/>
      <c r="H49" s="125"/>
      <c r="I49" s="125"/>
      <c r="J49" s="125"/>
      <c r="K49" s="24"/>
      <c r="L49" s="24"/>
      <c r="M49" s="65">
        <f>CM49</f>
        <v>0</v>
      </c>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283">
        <f t="shared" si="3"/>
        <v>0</v>
      </c>
      <c r="CB49" s="70">
        <f t="shared" si="8"/>
        <v>-8</v>
      </c>
      <c r="CC49" s="71">
        <f t="shared" si="9"/>
        <v>-160</v>
      </c>
      <c r="CD49" s="71">
        <f>IF(B49="Semiautomat",25,IF(B49="Automat",IF(CE49=1,50,IF(CE49=0,70,0))))</f>
        <v>50</v>
      </c>
      <c r="CE49" s="71">
        <f>COUNTBLANK(D49:E49)</f>
        <v>1</v>
      </c>
      <c r="CF49" s="285">
        <f>IF(CE49&gt;1,0,CD49)</f>
        <v>50</v>
      </c>
      <c r="CG49" s="77">
        <f>IF(B49="Automat",(F49*0.6),0)</f>
        <v>0</v>
      </c>
      <c r="CH49" s="72">
        <f>IF(CK49=1,CF49+CG49,0)</f>
        <v>0</v>
      </c>
      <c r="CI49" s="73">
        <f>COUNTBLANK(H49:J49)</f>
        <v>3</v>
      </c>
      <c r="CJ49" s="73">
        <f>IF(K49="Nu",0,IF(L49="Nu",0,1))</f>
        <v>1</v>
      </c>
      <c r="CK49" s="73">
        <f>IF(CI49&gt;0,0,IF(CJ49=0,0,1))</f>
        <v>0</v>
      </c>
      <c r="CL49" s="273">
        <f t="shared" si="4"/>
        <v>0</v>
      </c>
      <c r="CM49" s="273">
        <f t="shared" si="5"/>
        <v>0</v>
      </c>
      <c r="CN49" s="273"/>
      <c r="CO49" s="71"/>
      <c r="CP49" s="71"/>
      <c r="CQ49" s="71" t="str">
        <f t="shared" si="0"/>
        <v>Sc  Denumire Furnizor Srl</v>
      </c>
      <c r="CR49" s="71" t="str">
        <f t="shared" si="1"/>
        <v>Lxx</v>
      </c>
      <c r="CS49" s="71" t="str">
        <f t="shared" si="2"/>
        <v>11111111</v>
      </c>
      <c r="CT49" s="71"/>
      <c r="CU49" s="71"/>
      <c r="CV49" s="71"/>
      <c r="CW49" s="71"/>
      <c r="CX49" s="71"/>
      <c r="CY49" s="71"/>
    </row>
    <row r="50" spans="1:103" s="43" customFormat="1" ht="13.5">
      <c r="A50" s="27" t="s">
        <v>205</v>
      </c>
      <c r="B50" s="24" t="s">
        <v>233</v>
      </c>
      <c r="C50" s="27" t="s">
        <v>232</v>
      </c>
      <c r="D50" s="24" t="s">
        <v>235</v>
      </c>
      <c r="E50" s="24"/>
      <c r="F50" s="26"/>
      <c r="G50" s="28"/>
      <c r="H50" s="78"/>
      <c r="I50" s="68"/>
      <c r="J50" s="68"/>
      <c r="K50" s="24"/>
      <c r="L50" s="24"/>
      <c r="M50" s="65">
        <f>CM50</f>
        <v>0</v>
      </c>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283">
        <f t="shared" si="3"/>
        <v>0</v>
      </c>
      <c r="CB50" s="70">
        <f t="shared" si="8"/>
        <v>-8</v>
      </c>
      <c r="CC50" s="71">
        <f t="shared" si="9"/>
        <v>-160</v>
      </c>
      <c r="CD50" s="71">
        <f>IF(B50="Semiautomat",25,IF(B50="Automat",IF(CE50=1,50,IF(CE50=0,70,0))))</f>
        <v>25</v>
      </c>
      <c r="CE50" s="71">
        <f>COUNTBLANK(D50:E50)</f>
        <v>1</v>
      </c>
      <c r="CF50" s="285">
        <f>IF(CE50&gt;1,0,CD50)</f>
        <v>25</v>
      </c>
      <c r="CG50" s="77">
        <f>IF(B50="Automat",(F50*0.6),0)</f>
        <v>0</v>
      </c>
      <c r="CH50" s="72">
        <f>IF(CK50=1,CF50+CG50,0)</f>
        <v>0</v>
      </c>
      <c r="CI50" s="73">
        <f>COUNTBLANK(H50:J50)</f>
        <v>3</v>
      </c>
      <c r="CJ50" s="73">
        <f>IF(K50="Nu",0,IF(L50="Nu",0,1))</f>
        <v>1</v>
      </c>
      <c r="CK50" s="73">
        <f>IF(CI50&gt;0,0,IF(CJ50=0,0,1))</f>
        <v>0</v>
      </c>
      <c r="CL50" s="273">
        <f t="shared" si="4"/>
        <v>0</v>
      </c>
      <c r="CM50" s="273">
        <f t="shared" si="5"/>
        <v>0</v>
      </c>
      <c r="CN50" s="273"/>
      <c r="CO50" s="71"/>
      <c r="CP50" s="71"/>
      <c r="CQ50" s="71" t="str">
        <f t="shared" si="0"/>
        <v>Sc  Denumire Furnizor Srl</v>
      </c>
      <c r="CR50" s="71" t="str">
        <f t="shared" si="1"/>
        <v>Lxx</v>
      </c>
      <c r="CS50" s="71" t="str">
        <f t="shared" si="2"/>
        <v>11111111</v>
      </c>
      <c r="CT50" s="71"/>
      <c r="CU50" s="71"/>
      <c r="CV50" s="71"/>
      <c r="CW50" s="71"/>
      <c r="CX50" s="71"/>
      <c r="CY50" s="71"/>
    </row>
    <row r="51" spans="1:103" s="43" customFormat="1" ht="13.5">
      <c r="A51" s="27" t="s">
        <v>205</v>
      </c>
      <c r="B51" s="24" t="s">
        <v>233</v>
      </c>
      <c r="C51" s="27" t="s">
        <v>232</v>
      </c>
      <c r="D51" s="24"/>
      <c r="E51" s="24"/>
      <c r="F51" s="26">
        <v>0</v>
      </c>
      <c r="G51" s="25" t="s">
        <v>231</v>
      </c>
      <c r="H51" s="74"/>
      <c r="I51" s="74"/>
      <c r="J51" s="75"/>
      <c r="K51" s="24"/>
      <c r="L51" s="24"/>
      <c r="M51" s="65">
        <f>CM51</f>
        <v>0</v>
      </c>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283">
        <f t="shared" si="3"/>
        <v>0</v>
      </c>
      <c r="CB51" s="70">
        <f t="shared" si="8"/>
        <v>-8</v>
      </c>
      <c r="CC51" s="71">
        <f t="shared" si="9"/>
        <v>-160</v>
      </c>
      <c r="CD51" s="71">
        <f>IF(B51="Semiautomat",25,IF(B51="Automat",IF(CE51=1,50,IF(CE51=0,70,0))))</f>
        <v>25</v>
      </c>
      <c r="CE51" s="71">
        <f>COUNTBLANK(D51:E51)</f>
        <v>2</v>
      </c>
      <c r="CF51" s="285">
        <f>IF(CE51&gt;1,0,CD51)</f>
        <v>0</v>
      </c>
      <c r="CG51" s="77">
        <f>IF(B51="Automat",(F51*0.6),0)</f>
        <v>0</v>
      </c>
      <c r="CH51" s="72">
        <f>IF(CK51=1,CF51+CG51,0)</f>
        <v>0</v>
      </c>
      <c r="CI51" s="73">
        <f>COUNTBLANK(H51:J51)</f>
        <v>3</v>
      </c>
      <c r="CJ51" s="73">
        <f>IF(K51="Nu",0,IF(L51="Nu",0,1))</f>
        <v>1</v>
      </c>
      <c r="CK51" s="73">
        <f>IF(CI51&gt;0,0,IF(CJ51=0,0,1))</f>
        <v>0</v>
      </c>
      <c r="CL51" s="273">
        <f t="shared" si="4"/>
        <v>0</v>
      </c>
      <c r="CM51" s="273">
        <f t="shared" si="5"/>
        <v>0</v>
      </c>
      <c r="CN51" s="273"/>
      <c r="CO51" s="71">
        <v>30</v>
      </c>
      <c r="CP51" s="71">
        <f>IF(CC51&gt;0,CO51-(CO51*CC51)/100,CO51)</f>
        <v>30</v>
      </c>
      <c r="CQ51" s="71" t="str">
        <f t="shared" si="0"/>
        <v>Sc  Denumire Furnizor Srl</v>
      </c>
      <c r="CR51" s="71" t="str">
        <f t="shared" si="1"/>
        <v>Lxx</v>
      </c>
      <c r="CS51" s="71" t="str">
        <f t="shared" si="2"/>
        <v>11111111</v>
      </c>
      <c r="CT51" s="71"/>
      <c r="CU51" s="71"/>
      <c r="CV51" s="71"/>
      <c r="CW51" s="71"/>
      <c r="CX51" s="71"/>
      <c r="CY51" s="71"/>
    </row>
    <row r="52" spans="1:103" s="43" customFormat="1" ht="13.5">
      <c r="A52" s="404" t="s">
        <v>230</v>
      </c>
      <c r="B52" s="404"/>
      <c r="C52" s="404"/>
      <c r="D52" s="404"/>
      <c r="E52" s="404"/>
      <c r="F52" s="404"/>
      <c r="G52" s="404"/>
      <c r="H52" s="123">
        <f>COUNTA(H44:H51)</f>
        <v>0</v>
      </c>
      <c r="I52" s="402" t="s">
        <v>229</v>
      </c>
      <c r="J52" s="402"/>
      <c r="K52" s="402"/>
      <c r="L52" s="402"/>
      <c r="M52" s="124">
        <f>IF(H52&gt;4,0,M44+M45+M48+M49+M50+M51)</f>
        <v>0</v>
      </c>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283"/>
      <c r="CB52" s="70"/>
      <c r="CC52" s="71"/>
      <c r="CD52" s="71"/>
      <c r="CE52" s="71"/>
      <c r="CF52" s="71"/>
      <c r="CG52" s="71"/>
      <c r="CH52" s="71"/>
      <c r="CI52" s="71"/>
      <c r="CJ52" s="71"/>
      <c r="CK52" s="71"/>
      <c r="CL52" s="71"/>
      <c r="CM52" s="71"/>
      <c r="CN52" s="71"/>
      <c r="CO52" s="71">
        <v>35</v>
      </c>
      <c r="CP52" s="71">
        <f>IF(CC52&gt;0,CO52-(CO52*CC52)/100,CO52)</f>
        <v>35</v>
      </c>
      <c r="CQ52" s="71" t="str">
        <f t="shared" si="0"/>
        <v>Sc  Denumire Furnizor Srl</v>
      </c>
      <c r="CR52" s="71" t="str">
        <f t="shared" si="1"/>
        <v>Lxx</v>
      </c>
      <c r="CS52" s="71" t="str">
        <f t="shared" si="2"/>
        <v>11111111</v>
      </c>
      <c r="CT52" s="71"/>
      <c r="CU52" s="71"/>
      <c r="CV52" s="71"/>
      <c r="CW52" s="71"/>
      <c r="CX52" s="71"/>
      <c r="CY52" s="71"/>
    </row>
    <row r="53" spans="1:103" s="43" customFormat="1" ht="12.75">
      <c r="A53" s="80"/>
      <c r="B53" s="80"/>
      <c r="C53" s="80"/>
      <c r="D53" s="80"/>
      <c r="E53" s="80"/>
      <c r="F53" s="80"/>
      <c r="G53" s="80"/>
      <c r="H53" s="80"/>
      <c r="I53" s="80"/>
      <c r="J53" s="80"/>
      <c r="K53" s="80"/>
      <c r="L53" s="128" t="s">
        <v>228</v>
      </c>
      <c r="M53" s="81">
        <f>M9+M12+M16+M19+M29+M34+M37+M40+M41+M52</f>
        <v>0</v>
      </c>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7"/>
      <c r="BR53" s="287"/>
      <c r="BS53" s="287"/>
      <c r="BT53" s="287"/>
      <c r="BU53" s="287"/>
      <c r="BV53" s="287"/>
      <c r="BW53" s="287"/>
      <c r="BX53" s="287"/>
      <c r="BY53" s="287"/>
      <c r="BZ53" s="287"/>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row>
    <row r="54" spans="1:103" s="21" customFormat="1" ht="13.5">
      <c r="A54" s="23" t="s">
        <v>227</v>
      </c>
      <c r="B54" s="23"/>
      <c r="C54" s="23"/>
      <c r="D54" s="23"/>
      <c r="E54" s="23"/>
      <c r="F54" s="23"/>
      <c r="G54" s="23"/>
      <c r="I54" s="23"/>
      <c r="J54" s="23"/>
      <c r="K54" s="23"/>
      <c r="L54" s="23"/>
      <c r="M54" s="22"/>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8"/>
      <c r="BM54" s="288"/>
      <c r="BN54" s="288"/>
      <c r="BO54" s="288"/>
      <c r="BP54" s="288"/>
      <c r="BQ54" s="288"/>
      <c r="BR54" s="288"/>
      <c r="BS54" s="288"/>
      <c r="BT54" s="288"/>
      <c r="BU54" s="288"/>
      <c r="BV54" s="288"/>
      <c r="BW54" s="288"/>
      <c r="BX54" s="288"/>
      <c r="BY54" s="288"/>
      <c r="BZ54" s="288"/>
      <c r="CA54" s="288"/>
      <c r="CB54" s="289"/>
      <c r="CC54" s="289"/>
      <c r="CD54" s="288"/>
      <c r="CE54" s="288"/>
      <c r="CF54" s="288"/>
      <c r="CG54" s="288"/>
      <c r="CH54" s="288"/>
      <c r="CI54" s="288"/>
      <c r="CJ54" s="288"/>
      <c r="CK54" s="288"/>
      <c r="CL54" s="288"/>
      <c r="CM54" s="288"/>
      <c r="CN54" s="288"/>
      <c r="CO54" s="289"/>
      <c r="CP54" s="289"/>
      <c r="CQ54" s="289"/>
      <c r="CR54" s="289"/>
      <c r="CS54" s="289"/>
      <c r="CT54" s="289"/>
      <c r="CU54" s="289"/>
      <c r="CV54" s="289"/>
      <c r="CW54" s="289"/>
      <c r="CX54" s="289"/>
      <c r="CY54" s="289"/>
    </row>
    <row r="55" spans="1:12" ht="12.75">
      <c r="A55" s="20" t="s">
        <v>226</v>
      </c>
      <c r="H55" s="10"/>
      <c r="I55" s="10"/>
      <c r="J55" s="10"/>
      <c r="K55" s="10"/>
      <c r="L55" s="10"/>
    </row>
    <row r="56" spans="1:93" ht="13.5">
      <c r="A56" s="14" t="s">
        <v>225</v>
      </c>
      <c r="B56" s="14"/>
      <c r="C56" s="14"/>
      <c r="D56" s="14"/>
      <c r="E56" s="14"/>
      <c r="F56" s="14"/>
      <c r="G56" s="14"/>
      <c r="H56" s="14" t="s">
        <v>224</v>
      </c>
      <c r="I56" s="12"/>
      <c r="K56" s="14"/>
      <c r="L56" s="14"/>
      <c r="CA56" s="290"/>
      <c r="CO56" s="291"/>
    </row>
    <row r="57" spans="1:12" ht="13.5">
      <c r="A57" s="19" t="s">
        <v>223</v>
      </c>
      <c r="B57" s="19"/>
      <c r="C57" s="19"/>
      <c r="D57" s="19"/>
      <c r="E57" s="19"/>
      <c r="F57" s="19"/>
      <c r="G57" s="19"/>
      <c r="H57" s="14" t="s">
        <v>222</v>
      </c>
      <c r="I57" s="18"/>
      <c r="K57" s="14"/>
      <c r="L57" s="14"/>
    </row>
    <row r="58" spans="1:12" ht="13.5" customHeight="1">
      <c r="A58" s="17" t="s">
        <v>221</v>
      </c>
      <c r="B58" s="17"/>
      <c r="C58" s="17"/>
      <c r="D58" s="17"/>
      <c r="E58" s="17"/>
      <c r="F58" s="17"/>
      <c r="G58" s="17"/>
      <c r="H58" s="14" t="s">
        <v>220</v>
      </c>
      <c r="I58" s="16"/>
      <c r="K58" s="14"/>
      <c r="L58" s="14"/>
    </row>
    <row r="59" spans="1:12" ht="13.5">
      <c r="A59" s="14" t="s">
        <v>219</v>
      </c>
      <c r="B59" s="14"/>
      <c r="C59" s="14"/>
      <c r="D59" s="14"/>
      <c r="E59" s="14"/>
      <c r="F59" s="14"/>
      <c r="G59" s="14"/>
      <c r="H59" s="13" t="s">
        <v>218</v>
      </c>
      <c r="I59" s="15"/>
      <c r="K59" s="13"/>
      <c r="L59" s="13"/>
    </row>
    <row r="60" spans="1:12" ht="13.5">
      <c r="A60" s="14" t="s">
        <v>217</v>
      </c>
      <c r="B60" s="14"/>
      <c r="C60" s="14"/>
      <c r="D60" s="14"/>
      <c r="E60" s="14"/>
      <c r="F60" s="14"/>
      <c r="G60" s="14"/>
      <c r="H60" s="14" t="s">
        <v>216</v>
      </c>
      <c r="I60" s="15"/>
      <c r="K60" s="14"/>
      <c r="L60" s="14"/>
    </row>
    <row r="61" spans="1:12" ht="13.5">
      <c r="A61" s="14" t="s">
        <v>215</v>
      </c>
      <c r="B61" s="14"/>
      <c r="C61" s="14"/>
      <c r="D61" s="14"/>
      <c r="E61" s="14"/>
      <c r="F61" s="14"/>
      <c r="G61" s="14"/>
      <c r="H61" s="13" t="s">
        <v>214</v>
      </c>
      <c r="I61" s="15"/>
      <c r="K61" s="13"/>
      <c r="L61" s="13"/>
    </row>
    <row r="62" spans="8:12" ht="13.5">
      <c r="H62" s="12"/>
      <c r="I62" s="12"/>
      <c r="J62" s="13"/>
      <c r="K62" s="13"/>
      <c r="L62" s="13"/>
    </row>
    <row r="63" spans="1:12" ht="13.5">
      <c r="A63" s="14"/>
      <c r="B63" s="14"/>
      <c r="C63" s="14"/>
      <c r="D63" s="14"/>
      <c r="E63" s="14"/>
      <c r="F63" s="14"/>
      <c r="G63" s="14"/>
      <c r="H63" s="12"/>
      <c r="I63" s="12"/>
      <c r="J63" s="11"/>
      <c r="K63" s="11"/>
      <c r="L63" s="11"/>
    </row>
    <row r="64" spans="1:12" ht="13.5">
      <c r="A64" s="14"/>
      <c r="B64" s="14"/>
      <c r="C64" s="14"/>
      <c r="D64" s="14"/>
      <c r="E64" s="14"/>
      <c r="F64" s="14"/>
      <c r="G64" s="14"/>
      <c r="H64" s="12"/>
      <c r="I64" s="12"/>
      <c r="J64" s="11"/>
      <c r="K64" s="11"/>
      <c r="L64" s="11"/>
    </row>
    <row r="65" spans="1:12" ht="13.5">
      <c r="A65" s="13"/>
      <c r="B65" s="13"/>
      <c r="C65" s="13"/>
      <c r="D65" s="13"/>
      <c r="E65" s="13"/>
      <c r="F65" s="13"/>
      <c r="G65" s="13"/>
      <c r="H65" s="12"/>
      <c r="I65" s="12"/>
      <c r="J65" s="11"/>
      <c r="K65" s="11"/>
      <c r="L65" s="11"/>
    </row>
    <row r="66" spans="1:12" ht="13.5">
      <c r="A66" s="14"/>
      <c r="B66" s="14"/>
      <c r="C66" s="14"/>
      <c r="D66" s="14"/>
      <c r="E66" s="14"/>
      <c r="F66" s="14"/>
      <c r="G66" s="14"/>
      <c r="H66" s="12"/>
      <c r="I66" s="12"/>
      <c r="J66" s="11"/>
      <c r="K66" s="11"/>
      <c r="L66" s="11"/>
    </row>
    <row r="67" spans="1:12" ht="13.5">
      <c r="A67" s="13"/>
      <c r="B67" s="13"/>
      <c r="C67" s="13"/>
      <c r="D67" s="13"/>
      <c r="E67" s="13"/>
      <c r="F67" s="13"/>
      <c r="G67" s="13"/>
      <c r="H67" s="12"/>
      <c r="I67" s="12"/>
      <c r="J67" s="11"/>
      <c r="K67" s="11"/>
      <c r="L67" s="11"/>
    </row>
    <row r="68" spans="1:12" ht="12.75">
      <c r="A68" s="9"/>
      <c r="B68" s="9"/>
      <c r="C68" s="9"/>
      <c r="D68" s="9"/>
      <c r="E68" s="9"/>
      <c r="F68" s="9"/>
      <c r="G68" s="9"/>
      <c r="H68" s="10"/>
      <c r="I68" s="10"/>
      <c r="J68" s="10"/>
      <c r="K68" s="10"/>
      <c r="L68" s="10"/>
    </row>
    <row r="70" spans="1:12" ht="12.75">
      <c r="A70" s="9"/>
      <c r="B70" s="9"/>
      <c r="C70" s="9"/>
      <c r="D70" s="9"/>
      <c r="E70" s="9"/>
      <c r="F70" s="9"/>
      <c r="G70" s="9"/>
      <c r="H70" s="8"/>
      <c r="I70" s="8"/>
      <c r="J70" s="8"/>
      <c r="K70" s="8"/>
      <c r="L70" s="8"/>
    </row>
    <row r="71" spans="8:12" ht="12.75">
      <c r="H71" s="8"/>
      <c r="I71" s="8"/>
      <c r="J71" s="8"/>
      <c r="K71" s="8"/>
      <c r="L71" s="8"/>
    </row>
    <row r="72" spans="1:12" ht="12.75">
      <c r="A72" s="9"/>
      <c r="B72" s="9"/>
      <c r="C72" s="9"/>
      <c r="D72" s="9"/>
      <c r="E72" s="9"/>
      <c r="F72" s="9"/>
      <c r="G72" s="9"/>
      <c r="H72" s="8"/>
      <c r="I72" s="8"/>
      <c r="J72" s="8"/>
      <c r="K72" s="8"/>
      <c r="L72" s="8"/>
    </row>
    <row r="73" spans="8:12" ht="12.75">
      <c r="H73" s="8"/>
      <c r="I73" s="8"/>
      <c r="J73" s="8"/>
      <c r="K73" s="8"/>
      <c r="L73" s="8"/>
    </row>
    <row r="74" spans="1:12" ht="12.75">
      <c r="A74" s="9"/>
      <c r="B74" s="9"/>
      <c r="C74" s="9"/>
      <c r="D74" s="9"/>
      <c r="E74" s="9"/>
      <c r="F74" s="9"/>
      <c r="G74" s="9"/>
      <c r="H74" s="8"/>
      <c r="I74" s="8"/>
      <c r="J74" s="8"/>
      <c r="K74" s="8"/>
      <c r="L74" s="8"/>
    </row>
    <row r="75" spans="8:12" ht="12.75">
      <c r="H75" s="8"/>
      <c r="I75" s="8"/>
      <c r="J75" s="8"/>
      <c r="K75" s="8"/>
      <c r="L75" s="8"/>
    </row>
  </sheetData>
  <sheetProtection password="FD18" sheet="1" objects="1" scenarios="1" formatCells="0"/>
  <mergeCells count="36">
    <mergeCell ref="I40:L40"/>
    <mergeCell ref="B46:B47"/>
    <mergeCell ref="A19:G19"/>
    <mergeCell ref="D46:D47"/>
    <mergeCell ref="C46:C47"/>
    <mergeCell ref="A34:G34"/>
    <mergeCell ref="A40:G40"/>
    <mergeCell ref="A37:G37"/>
    <mergeCell ref="I52:L52"/>
    <mergeCell ref="G46:M47"/>
    <mergeCell ref="A46:A47"/>
    <mergeCell ref="E46:E47"/>
    <mergeCell ref="A52:G52"/>
    <mergeCell ref="C42:C43"/>
    <mergeCell ref="D42:D43"/>
    <mergeCell ref="E42:M43"/>
    <mergeCell ref="B42:B43"/>
    <mergeCell ref="F46:F47"/>
    <mergeCell ref="I37:L37"/>
    <mergeCell ref="I19:L19"/>
    <mergeCell ref="I12:L12"/>
    <mergeCell ref="A42:A43"/>
    <mergeCell ref="A17:A18"/>
    <mergeCell ref="A14:A15"/>
    <mergeCell ref="A12:G12"/>
    <mergeCell ref="A29:G29"/>
    <mergeCell ref="A20:A21"/>
    <mergeCell ref="I16:L16"/>
    <mergeCell ref="B1:D1"/>
    <mergeCell ref="I9:L9"/>
    <mergeCell ref="I29:L29"/>
    <mergeCell ref="I34:L34"/>
    <mergeCell ref="A9:G9"/>
    <mergeCell ref="A10:A11"/>
    <mergeCell ref="A22:A23"/>
    <mergeCell ref="A16:G16"/>
  </mergeCells>
  <conditionalFormatting sqref="H52">
    <cfRule type="cellIs" priority="2" dxfId="0" operator="greaterThan" stopIfTrue="1">
      <formula>4</formula>
    </cfRule>
    <cfRule type="cellIs" priority="3" dxfId="1" operator="greaterThan" stopIfTrue="1">
      <formula>4</formula>
    </cfRule>
    <cfRule type="cellIs" priority="4" dxfId="0" operator="greaterThan" stopIfTrue="1">
      <formula>4</formula>
    </cfRule>
  </conditionalFormatting>
  <dataValidations count="13">
    <dataValidation type="whole" allowBlank="1" showInputMessage="1" showErrorMessage="1" errorTitle="An fabricatie" error="Anul aparatului mai mare ca anul curent." sqref="J48:J51 J44:J45 J10:J11 J7:J8 J17:J18 J24:J27 J30:J33 J35:J36 J38:J39">
      <formula1>YEAR(TODAY())-30</formula1>
      <formula2>YEAR(TODAY())</formula2>
    </dataValidation>
    <dataValidation allowBlank="1" showInputMessage="1" showErrorMessage="1" errorTitle="An fabricatie" error="Aparat mai vechi de 12 ani sau mai mare ca anul curent" sqref="J28"/>
    <dataValidation type="list" allowBlank="1" showInputMessage="1" showErrorMessage="1" sqref="D44:D45">
      <formula1>"1 microplaca,2 microplaci simultan,4 microplaci simultan,6 microplaci simultan"</formula1>
    </dataValidation>
    <dataValidation type="list" allowBlank="1" showInputMessage="1" showErrorMessage="1" sqref="D48:E51">
      <formula1>"CLIA,ECLIA,MEIA,EIA,FPIA,REA,CMIA,EMIT,RAST,RIA,IFA,ELFA,TRACE"</formula1>
    </dataValidation>
    <dataValidation type="list" allowBlank="1" showInputMessage="1" showErrorMessage="1" sqref="C24 C26">
      <formula1>"de microbiologie,spectometrie de masa MALDI-Tof"</formula1>
    </dataValidation>
    <dataValidation type="list" allowBlank="1" showInputMessage="1" showErrorMessage="1" sqref="C7:C8">
      <formula1>"pana la 18,&gt;18 cu formula leucocitara 5 Dif,&gt;22 cu formula leucocitara 5 Dif"</formula1>
    </dataValidation>
    <dataValidation type="list" allowBlank="1" showInputMessage="1" showErrorMessage="1" sqref="D7:D8">
      <formula1>"pana la 60, mai mare de 60"</formula1>
    </dataValidation>
    <dataValidation type="list" allowBlank="1" showInputMessage="1" showErrorMessage="1" sqref="B30:B33">
      <formula1>"Analizor semiautomat,Analizor de ioni semiautomat,Automat"</formula1>
    </dataValidation>
    <dataValidation type="list" allowBlank="1" showInputMessage="1" showErrorMessage="1" sqref="C17:C18">
      <formula1>"1 - 10 pozitii,11 - 20 pozitii,&gt;21 pozitii"</formula1>
    </dataValidation>
    <dataValidation type="list" showInputMessage="1" showErrorMessage="1" sqref="B10:B11">
      <formula1>"coagulare semiautomat,coagulare automat"</formula1>
    </dataValidation>
    <dataValidation type="list" allowBlank="1" showInputMessage="1" showErrorMessage="1" sqref="B35:B36 B38:B39 B44:B45 B48:B51">
      <formula1>"Semiautomat,Automat"</formula1>
    </dataValidation>
    <dataValidation type="list" allowBlank="1" showInputMessage="1" showErrorMessage="1" sqref="F30:G33 K7:L8 K10:L11 D28 K30:L33 K35:L36 K38:L39 E7:E8 K44:L45 K48:L51 D41 D20:D23 K24:L27 D13 K17:L18 K14:L15">
      <formula1>"Nu,Da"</formula1>
    </dataValidation>
    <dataValidation type="list" showInputMessage="1" showErrorMessage="1" sqref="B14:B15">
      <formula1>"semiautomat RH,automat RH"</formula1>
    </dataValidation>
  </dataValidations>
  <printOptions horizontalCentered="1"/>
  <pageMargins left="0.1968503937007874" right="0.1968503937007874" top="0.5511811023622047" bottom="0.1968503937007874" header="0.31496062992125984" footer="0.31496062992125984"/>
  <pageSetup horizontalDpi="600" verticalDpi="600" orientation="landscape" paperSize="9" scale="97" r:id="rId3"/>
  <rowBreaks count="2" manualBreakCount="2">
    <brk id="23" max="13" man="1"/>
    <brk id="34" max="13" man="1"/>
  </rowBreaks>
  <ignoredErrors>
    <ignoredError sqref="M9 M34 M37 M21" formula="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J140"/>
  <sheetViews>
    <sheetView zoomScalePageLayoutView="0" workbookViewId="0" topLeftCell="A10">
      <selection activeCell="I114" sqref="I114"/>
    </sheetView>
  </sheetViews>
  <sheetFormatPr defaultColWidth="8.8515625" defaultRowHeight="12.75"/>
  <cols>
    <col min="1" max="1" width="3.28125" style="2" customWidth="1"/>
    <col min="2" max="2" width="7.421875" style="2" customWidth="1"/>
    <col min="3" max="3" width="37.28125" style="1" customWidth="1"/>
    <col min="4" max="4" width="7.7109375" style="1" customWidth="1"/>
    <col min="5" max="5" width="7.421875" style="1" customWidth="1"/>
    <col min="6" max="6" width="8.140625" style="2" customWidth="1"/>
    <col min="7" max="7" width="7.57421875" style="2" customWidth="1"/>
    <col min="8" max="8" width="9.7109375" style="2" customWidth="1"/>
    <col min="9" max="9" width="9.140625" style="2" customWidth="1"/>
    <col min="10" max="10" width="2.00390625" style="1" customWidth="1"/>
    <col min="11" max="16384" width="8.8515625" style="1" customWidth="1"/>
  </cols>
  <sheetData>
    <row r="1" spans="1:6" ht="12.75">
      <c r="A1" s="4"/>
      <c r="B1" s="1"/>
      <c r="C1" s="425" t="s">
        <v>346</v>
      </c>
      <c r="D1" s="425"/>
      <c r="E1" s="425"/>
      <c r="F1" s="425"/>
    </row>
    <row r="2" spans="1:9" ht="12.75" customHeight="1">
      <c r="A2" s="129"/>
      <c r="B2" s="422" t="s">
        <v>21</v>
      </c>
      <c r="C2" s="422"/>
      <c r="D2" s="130" t="str">
        <f>PROPER(Furnizor!B2)</f>
        <v>Sc  Denumire Furnizor Srl</v>
      </c>
      <c r="E2" s="131"/>
      <c r="F2" s="132"/>
      <c r="G2" s="132"/>
      <c r="H2" s="132" t="s">
        <v>211</v>
      </c>
      <c r="I2" s="192" t="str">
        <f>UPPER(Furnizor!C4)</f>
        <v>LXX</v>
      </c>
    </row>
    <row r="3" spans="2:9" ht="24" customHeight="1">
      <c r="B3" s="191" t="s">
        <v>345</v>
      </c>
      <c r="C3" s="196" t="str">
        <f>PROPER(Furnizor!AO27)</f>
        <v>Loc.Constanta Str.Nume Strada Punct De Lucru Nr.1 </v>
      </c>
      <c r="D3" s="133"/>
      <c r="E3" s="134"/>
      <c r="F3" s="132"/>
      <c r="G3" s="132"/>
      <c r="H3" s="132"/>
      <c r="I3" s="132"/>
    </row>
    <row r="4" spans="2:9" ht="12.75" customHeight="1">
      <c r="B4" s="189" t="s">
        <v>22</v>
      </c>
      <c r="D4" s="190">
        <f>UPPER(Furnizor!C43)</f>
      </c>
      <c r="E4" s="136"/>
      <c r="F4" s="132"/>
      <c r="G4" s="132"/>
      <c r="H4" s="277"/>
      <c r="I4" s="132"/>
    </row>
    <row r="5" spans="1:9" ht="12.75" customHeight="1">
      <c r="A5" s="197" t="s">
        <v>485</v>
      </c>
      <c r="C5" s="197"/>
      <c r="D5" s="197"/>
      <c r="E5" s="197"/>
      <c r="F5" s="197"/>
      <c r="G5" s="197"/>
      <c r="I5" s="132"/>
    </row>
    <row r="6" spans="1:9" ht="53.25" customHeight="1">
      <c r="A6" s="137" t="s">
        <v>23</v>
      </c>
      <c r="B6" s="137" t="s">
        <v>24</v>
      </c>
      <c r="C6" s="137" t="s">
        <v>25</v>
      </c>
      <c r="D6" s="137" t="s">
        <v>26</v>
      </c>
      <c r="E6" s="138" t="s">
        <v>27</v>
      </c>
      <c r="F6" s="139" t="s">
        <v>492</v>
      </c>
      <c r="G6" s="139" t="s">
        <v>493</v>
      </c>
      <c r="H6" s="137" t="s">
        <v>494</v>
      </c>
      <c r="I6" s="137" t="s">
        <v>495</v>
      </c>
    </row>
    <row r="7" spans="1:9" ht="12" customHeight="1">
      <c r="A7" s="423" t="s">
        <v>28</v>
      </c>
      <c r="B7" s="423"/>
      <c r="C7" s="423"/>
      <c r="D7" s="423"/>
      <c r="E7" s="423"/>
      <c r="F7" s="423"/>
      <c r="G7" s="423"/>
      <c r="H7" s="423"/>
      <c r="I7" s="423"/>
    </row>
    <row r="8" spans="1:9" s="3" customFormat="1" ht="38.25" customHeight="1">
      <c r="A8" s="137">
        <v>1</v>
      </c>
      <c r="B8" s="140" t="s">
        <v>29</v>
      </c>
      <c r="C8" s="141" t="s">
        <v>30</v>
      </c>
      <c r="D8" s="137" t="s">
        <v>44</v>
      </c>
      <c r="E8" s="142">
        <f>IF(D8="Da",1,0)</f>
        <v>0</v>
      </c>
      <c r="F8" s="143">
        <v>0</v>
      </c>
      <c r="G8" s="144">
        <f aca="true" t="shared" si="0" ref="G8:G17">IF(F8&gt;=4,4+IF(F8&lt;13,(F8-4)*0.5,8*0.5),0)</f>
        <v>0</v>
      </c>
      <c r="H8" s="145">
        <v>0</v>
      </c>
      <c r="I8" s="146">
        <f aca="true" t="shared" si="1" ref="I8:I17">IF(H8&gt;=4,1,0)</f>
        <v>0</v>
      </c>
    </row>
    <row r="9" spans="1:9" ht="13.5">
      <c r="A9" s="147">
        <v>2</v>
      </c>
      <c r="B9" s="148" t="s">
        <v>32</v>
      </c>
      <c r="C9" s="149" t="s">
        <v>33</v>
      </c>
      <c r="D9" s="137" t="s">
        <v>44</v>
      </c>
      <c r="E9" s="150">
        <f aca="true" t="shared" si="2" ref="E9:E17">IF(D9="Da",1,0)</f>
        <v>0</v>
      </c>
      <c r="F9" s="143">
        <v>0</v>
      </c>
      <c r="G9" s="151">
        <f t="shared" si="0"/>
        <v>0</v>
      </c>
      <c r="H9" s="145">
        <v>0</v>
      </c>
      <c r="I9" s="153">
        <f t="shared" si="1"/>
        <v>0</v>
      </c>
    </row>
    <row r="10" spans="1:9" ht="13.5">
      <c r="A10" s="147">
        <v>3</v>
      </c>
      <c r="B10" s="148" t="s">
        <v>34</v>
      </c>
      <c r="C10" s="149" t="s">
        <v>35</v>
      </c>
      <c r="D10" s="137" t="s">
        <v>44</v>
      </c>
      <c r="E10" s="150">
        <f t="shared" si="2"/>
        <v>0</v>
      </c>
      <c r="F10" s="143">
        <v>0</v>
      </c>
      <c r="G10" s="151">
        <f t="shared" si="0"/>
        <v>0</v>
      </c>
      <c r="H10" s="145">
        <v>0</v>
      </c>
      <c r="I10" s="153">
        <f t="shared" si="1"/>
        <v>0</v>
      </c>
    </row>
    <row r="11" spans="1:9" ht="15.75" customHeight="1">
      <c r="A11" s="147">
        <v>4</v>
      </c>
      <c r="B11" s="148" t="s">
        <v>36</v>
      </c>
      <c r="C11" s="149" t="s">
        <v>37</v>
      </c>
      <c r="D11" s="137" t="s">
        <v>44</v>
      </c>
      <c r="E11" s="150">
        <f t="shared" si="2"/>
        <v>0</v>
      </c>
      <c r="F11" s="143">
        <v>0</v>
      </c>
      <c r="G11" s="151">
        <f t="shared" si="0"/>
        <v>0</v>
      </c>
      <c r="H11" s="145">
        <v>0</v>
      </c>
      <c r="I11" s="153">
        <f t="shared" si="1"/>
        <v>0</v>
      </c>
    </row>
    <row r="12" spans="1:9" ht="14.25" customHeight="1">
      <c r="A12" s="147">
        <v>5</v>
      </c>
      <c r="B12" s="148" t="s">
        <v>38</v>
      </c>
      <c r="C12" s="149" t="s">
        <v>39</v>
      </c>
      <c r="D12" s="137" t="s">
        <v>44</v>
      </c>
      <c r="E12" s="150">
        <f t="shared" si="2"/>
        <v>0</v>
      </c>
      <c r="F12" s="143">
        <v>0</v>
      </c>
      <c r="G12" s="151">
        <f t="shared" si="0"/>
        <v>0</v>
      </c>
      <c r="H12" s="145">
        <v>0</v>
      </c>
      <c r="I12" s="153">
        <f t="shared" si="1"/>
        <v>0</v>
      </c>
    </row>
    <row r="13" spans="1:9" ht="14.25" customHeight="1">
      <c r="A13" s="147">
        <v>6</v>
      </c>
      <c r="B13" s="148" t="s">
        <v>40</v>
      </c>
      <c r="C13" s="149" t="s">
        <v>41</v>
      </c>
      <c r="D13" s="137" t="s">
        <v>44</v>
      </c>
      <c r="E13" s="150">
        <f t="shared" si="2"/>
        <v>0</v>
      </c>
      <c r="F13" s="143">
        <v>0</v>
      </c>
      <c r="G13" s="151">
        <f t="shared" si="0"/>
        <v>0</v>
      </c>
      <c r="H13" s="145">
        <v>0</v>
      </c>
      <c r="I13" s="153">
        <f t="shared" si="1"/>
        <v>0</v>
      </c>
    </row>
    <row r="14" spans="1:9" ht="14.25" customHeight="1">
      <c r="A14" s="147">
        <v>7</v>
      </c>
      <c r="B14" s="148" t="s">
        <v>42</v>
      </c>
      <c r="C14" s="149" t="s">
        <v>43</v>
      </c>
      <c r="D14" s="137" t="s">
        <v>44</v>
      </c>
      <c r="E14" s="150">
        <f t="shared" si="2"/>
        <v>0</v>
      </c>
      <c r="F14" s="143">
        <v>0</v>
      </c>
      <c r="G14" s="151">
        <f t="shared" si="0"/>
        <v>0</v>
      </c>
      <c r="H14" s="145">
        <v>0</v>
      </c>
      <c r="I14" s="153">
        <f t="shared" si="1"/>
        <v>0</v>
      </c>
    </row>
    <row r="15" spans="1:9" ht="14.25" customHeight="1">
      <c r="A15" s="147">
        <v>8</v>
      </c>
      <c r="B15" s="148" t="s">
        <v>45</v>
      </c>
      <c r="C15" s="149" t="s">
        <v>46</v>
      </c>
      <c r="D15" s="137" t="s">
        <v>44</v>
      </c>
      <c r="E15" s="150">
        <f t="shared" si="2"/>
        <v>0</v>
      </c>
      <c r="F15" s="143">
        <v>0</v>
      </c>
      <c r="G15" s="151">
        <f t="shared" si="0"/>
        <v>0</v>
      </c>
      <c r="H15" s="145">
        <v>0</v>
      </c>
      <c r="I15" s="153">
        <f t="shared" si="1"/>
        <v>0</v>
      </c>
    </row>
    <row r="16" spans="1:9" ht="13.5">
      <c r="A16" s="147">
        <v>9</v>
      </c>
      <c r="B16" s="148" t="s">
        <v>47</v>
      </c>
      <c r="C16" s="149" t="s">
        <v>48</v>
      </c>
      <c r="D16" s="137" t="s">
        <v>44</v>
      </c>
      <c r="E16" s="150">
        <f t="shared" si="2"/>
        <v>0</v>
      </c>
      <c r="F16" s="143">
        <v>0</v>
      </c>
      <c r="G16" s="151">
        <f t="shared" si="0"/>
        <v>0</v>
      </c>
      <c r="H16" s="145">
        <v>0</v>
      </c>
      <c r="I16" s="153">
        <f t="shared" si="1"/>
        <v>0</v>
      </c>
    </row>
    <row r="17" spans="1:9" ht="14.25" customHeight="1">
      <c r="A17" s="147">
        <v>10</v>
      </c>
      <c r="B17" s="148" t="s">
        <v>49</v>
      </c>
      <c r="C17" s="149" t="s">
        <v>50</v>
      </c>
      <c r="D17" s="137" t="s">
        <v>44</v>
      </c>
      <c r="E17" s="150">
        <f t="shared" si="2"/>
        <v>0</v>
      </c>
      <c r="F17" s="143">
        <v>0</v>
      </c>
      <c r="G17" s="151">
        <f t="shared" si="0"/>
        <v>0</v>
      </c>
      <c r="H17" s="145">
        <v>0</v>
      </c>
      <c r="I17" s="153">
        <f t="shared" si="1"/>
        <v>0</v>
      </c>
    </row>
    <row r="18" spans="1:9" ht="14.25" customHeight="1">
      <c r="A18" s="421" t="s">
        <v>51</v>
      </c>
      <c r="B18" s="421"/>
      <c r="C18" s="421"/>
      <c r="D18" s="154">
        <f>COUNTIF(D8:D17,"Da")</f>
        <v>0</v>
      </c>
      <c r="E18" s="155">
        <f>SUM(E8:E17)</f>
        <v>0</v>
      </c>
      <c r="F18" s="156">
        <f>COUNTIF(F8:F17,"&gt;0")</f>
        <v>0</v>
      </c>
      <c r="G18" s="157">
        <f>SUM(G8:G17)</f>
        <v>0</v>
      </c>
      <c r="H18" s="153" t="s">
        <v>52</v>
      </c>
      <c r="I18" s="158">
        <f>COUNTIF(I8:I17,"&gt;0")</f>
        <v>0</v>
      </c>
    </row>
    <row r="19" spans="1:9" ht="12" customHeight="1">
      <c r="A19" s="424" t="s">
        <v>53</v>
      </c>
      <c r="B19" s="424"/>
      <c r="C19" s="424"/>
      <c r="D19" s="424"/>
      <c r="E19" s="424"/>
      <c r="F19" s="424"/>
      <c r="G19" s="424"/>
      <c r="H19" s="424"/>
      <c r="I19" s="424"/>
    </row>
    <row r="20" spans="1:9" ht="14.25" customHeight="1">
      <c r="A20" s="147">
        <v>11</v>
      </c>
      <c r="B20" s="148" t="s">
        <v>54</v>
      </c>
      <c r="C20" s="149" t="s">
        <v>55</v>
      </c>
      <c r="D20" s="137" t="s">
        <v>44</v>
      </c>
      <c r="E20" s="150">
        <f aca="true" t="shared" si="3" ref="E20:E60">IF(D20="Da",1,0)</f>
        <v>0</v>
      </c>
      <c r="F20" s="152">
        <v>0</v>
      </c>
      <c r="G20" s="151">
        <f aca="true" t="shared" si="4" ref="G20:G60">IF(F20&gt;=4,4+IF(F20&lt;13,(F20-4)*0.5,8*0.5),0)</f>
        <v>0</v>
      </c>
      <c r="H20" s="152">
        <v>0</v>
      </c>
      <c r="I20" s="153">
        <f aca="true" t="shared" si="5" ref="I20:I60">IF(H20&gt;=4,1,0)</f>
        <v>0</v>
      </c>
    </row>
    <row r="21" spans="1:9" ht="14.25" customHeight="1">
      <c r="A21" s="147">
        <v>12</v>
      </c>
      <c r="B21" s="148" t="s">
        <v>56</v>
      </c>
      <c r="C21" s="149" t="s">
        <v>57</v>
      </c>
      <c r="D21" s="137" t="s">
        <v>44</v>
      </c>
      <c r="E21" s="150">
        <f t="shared" si="3"/>
        <v>0</v>
      </c>
      <c r="F21" s="152">
        <v>0</v>
      </c>
      <c r="G21" s="151">
        <f t="shared" si="4"/>
        <v>0</v>
      </c>
      <c r="H21" s="152">
        <v>0</v>
      </c>
      <c r="I21" s="153">
        <f t="shared" si="5"/>
        <v>0</v>
      </c>
    </row>
    <row r="22" spans="1:9" ht="14.25" customHeight="1">
      <c r="A22" s="147">
        <v>13</v>
      </c>
      <c r="B22" s="148" t="s">
        <v>58</v>
      </c>
      <c r="C22" s="149" t="s">
        <v>59</v>
      </c>
      <c r="D22" s="137" t="s">
        <v>44</v>
      </c>
      <c r="E22" s="150">
        <f t="shared" si="3"/>
        <v>0</v>
      </c>
      <c r="F22" s="152">
        <v>0</v>
      </c>
      <c r="G22" s="151">
        <f t="shared" si="4"/>
        <v>0</v>
      </c>
      <c r="H22" s="152">
        <v>0</v>
      </c>
      <c r="I22" s="153">
        <f t="shared" si="5"/>
        <v>0</v>
      </c>
    </row>
    <row r="23" spans="1:9" ht="14.25" customHeight="1">
      <c r="A23" s="147">
        <v>14</v>
      </c>
      <c r="B23" s="148" t="s">
        <v>60</v>
      </c>
      <c r="C23" s="149" t="s">
        <v>61</v>
      </c>
      <c r="D23" s="137" t="s">
        <v>44</v>
      </c>
      <c r="E23" s="150">
        <f t="shared" si="3"/>
        <v>0</v>
      </c>
      <c r="F23" s="152">
        <v>0</v>
      </c>
      <c r="G23" s="151">
        <f t="shared" si="4"/>
        <v>0</v>
      </c>
      <c r="H23" s="152">
        <v>0</v>
      </c>
      <c r="I23" s="153">
        <f t="shared" si="5"/>
        <v>0</v>
      </c>
    </row>
    <row r="24" spans="1:9" ht="14.25" customHeight="1">
      <c r="A24" s="147">
        <v>15</v>
      </c>
      <c r="B24" s="148" t="s">
        <v>62</v>
      </c>
      <c r="C24" s="149" t="s">
        <v>63</v>
      </c>
      <c r="D24" s="137" t="s">
        <v>44</v>
      </c>
      <c r="E24" s="150">
        <f t="shared" si="3"/>
        <v>0</v>
      </c>
      <c r="F24" s="152">
        <v>0</v>
      </c>
      <c r="G24" s="151">
        <f t="shared" si="4"/>
        <v>0</v>
      </c>
      <c r="H24" s="152">
        <v>0</v>
      </c>
      <c r="I24" s="153">
        <f t="shared" si="5"/>
        <v>0</v>
      </c>
    </row>
    <row r="25" spans="1:9" ht="14.25" customHeight="1">
      <c r="A25" s="147">
        <v>16</v>
      </c>
      <c r="B25" s="148" t="s">
        <v>64</v>
      </c>
      <c r="C25" s="149" t="s">
        <v>65</v>
      </c>
      <c r="D25" s="137" t="s">
        <v>44</v>
      </c>
      <c r="E25" s="150">
        <f t="shared" si="3"/>
        <v>0</v>
      </c>
      <c r="F25" s="152">
        <v>0</v>
      </c>
      <c r="G25" s="151">
        <f t="shared" si="4"/>
        <v>0</v>
      </c>
      <c r="H25" s="152">
        <v>0</v>
      </c>
      <c r="I25" s="153">
        <f t="shared" si="5"/>
        <v>0</v>
      </c>
    </row>
    <row r="26" spans="1:9" ht="14.25" customHeight="1">
      <c r="A26" s="147">
        <v>17</v>
      </c>
      <c r="B26" s="148" t="s">
        <v>66</v>
      </c>
      <c r="C26" s="149" t="s">
        <v>67</v>
      </c>
      <c r="D26" s="137" t="s">
        <v>44</v>
      </c>
      <c r="E26" s="150">
        <f t="shared" si="3"/>
        <v>0</v>
      </c>
      <c r="F26" s="152">
        <v>0</v>
      </c>
      <c r="G26" s="151">
        <f t="shared" si="4"/>
        <v>0</v>
      </c>
      <c r="H26" s="152">
        <v>0</v>
      </c>
      <c r="I26" s="153">
        <f t="shared" si="5"/>
        <v>0</v>
      </c>
    </row>
    <row r="27" spans="1:9" ht="14.25" customHeight="1">
      <c r="A27" s="147">
        <v>18</v>
      </c>
      <c r="B27" s="148" t="s">
        <v>68</v>
      </c>
      <c r="C27" s="149" t="s">
        <v>69</v>
      </c>
      <c r="D27" s="137" t="s">
        <v>44</v>
      </c>
      <c r="E27" s="150">
        <f t="shared" si="3"/>
        <v>0</v>
      </c>
      <c r="F27" s="152">
        <v>0</v>
      </c>
      <c r="G27" s="151">
        <f t="shared" si="4"/>
        <v>0</v>
      </c>
      <c r="H27" s="152">
        <v>0</v>
      </c>
      <c r="I27" s="153">
        <f t="shared" si="5"/>
        <v>0</v>
      </c>
    </row>
    <row r="28" spans="1:9" ht="14.25" customHeight="1">
      <c r="A28" s="147">
        <v>19</v>
      </c>
      <c r="B28" s="148" t="s">
        <v>70</v>
      </c>
      <c r="C28" s="149" t="s">
        <v>71</v>
      </c>
      <c r="D28" s="137" t="s">
        <v>44</v>
      </c>
      <c r="E28" s="150">
        <f t="shared" si="3"/>
        <v>0</v>
      </c>
      <c r="F28" s="152">
        <v>0</v>
      </c>
      <c r="G28" s="151">
        <f t="shared" si="4"/>
        <v>0</v>
      </c>
      <c r="H28" s="152">
        <v>0</v>
      </c>
      <c r="I28" s="153">
        <f t="shared" si="5"/>
        <v>0</v>
      </c>
    </row>
    <row r="29" spans="1:9" ht="14.25" customHeight="1">
      <c r="A29" s="147">
        <v>20</v>
      </c>
      <c r="B29" s="148" t="s">
        <v>72</v>
      </c>
      <c r="C29" s="149" t="s">
        <v>73</v>
      </c>
      <c r="D29" s="137" t="s">
        <v>44</v>
      </c>
      <c r="E29" s="150">
        <f t="shared" si="3"/>
        <v>0</v>
      </c>
      <c r="F29" s="152">
        <v>0</v>
      </c>
      <c r="G29" s="151">
        <f t="shared" si="4"/>
        <v>0</v>
      </c>
      <c r="H29" s="152">
        <v>0</v>
      </c>
      <c r="I29" s="153">
        <f t="shared" si="5"/>
        <v>0</v>
      </c>
    </row>
    <row r="30" spans="1:9" ht="14.25" customHeight="1">
      <c r="A30" s="147">
        <v>21</v>
      </c>
      <c r="B30" s="148" t="s">
        <v>74</v>
      </c>
      <c r="C30" s="149" t="s">
        <v>75</v>
      </c>
      <c r="D30" s="137" t="s">
        <v>44</v>
      </c>
      <c r="E30" s="150">
        <f t="shared" si="3"/>
        <v>0</v>
      </c>
      <c r="F30" s="152">
        <v>0</v>
      </c>
      <c r="G30" s="151">
        <f t="shared" si="4"/>
        <v>0</v>
      </c>
      <c r="H30" s="152">
        <v>0</v>
      </c>
      <c r="I30" s="153">
        <f t="shared" si="5"/>
        <v>0</v>
      </c>
    </row>
    <row r="31" spans="1:9" ht="14.25" customHeight="1">
      <c r="A31" s="147">
        <v>22</v>
      </c>
      <c r="B31" s="148" t="s">
        <v>76</v>
      </c>
      <c r="C31" s="149" t="s">
        <v>77</v>
      </c>
      <c r="D31" s="137" t="s">
        <v>44</v>
      </c>
      <c r="E31" s="150">
        <f t="shared" si="3"/>
        <v>0</v>
      </c>
      <c r="F31" s="152">
        <v>0</v>
      </c>
      <c r="G31" s="151">
        <f t="shared" si="4"/>
        <v>0</v>
      </c>
      <c r="H31" s="152">
        <v>0</v>
      </c>
      <c r="I31" s="153">
        <f t="shared" si="5"/>
        <v>0</v>
      </c>
    </row>
    <row r="32" spans="1:9" ht="14.25" customHeight="1">
      <c r="A32" s="147">
        <v>23</v>
      </c>
      <c r="B32" s="148" t="s">
        <v>78</v>
      </c>
      <c r="C32" s="149" t="s">
        <v>79</v>
      </c>
      <c r="D32" s="137" t="s">
        <v>44</v>
      </c>
      <c r="E32" s="150">
        <f t="shared" si="3"/>
        <v>0</v>
      </c>
      <c r="F32" s="152">
        <v>0</v>
      </c>
      <c r="G32" s="151">
        <f t="shared" si="4"/>
        <v>0</v>
      </c>
      <c r="H32" s="152">
        <v>0</v>
      </c>
      <c r="I32" s="153">
        <f t="shared" si="5"/>
        <v>0</v>
      </c>
    </row>
    <row r="33" spans="1:9" s="3" customFormat="1" ht="13.5">
      <c r="A33" s="147">
        <v>24</v>
      </c>
      <c r="B33" s="140" t="s">
        <v>80</v>
      </c>
      <c r="C33" s="141" t="s">
        <v>81</v>
      </c>
      <c r="D33" s="137" t="s">
        <v>44</v>
      </c>
      <c r="E33" s="142">
        <f t="shared" si="3"/>
        <v>0</v>
      </c>
      <c r="F33" s="152">
        <v>0</v>
      </c>
      <c r="G33" s="144">
        <f t="shared" si="4"/>
        <v>0</v>
      </c>
      <c r="H33" s="152">
        <v>0</v>
      </c>
      <c r="I33" s="146">
        <f t="shared" si="5"/>
        <v>0</v>
      </c>
    </row>
    <row r="34" spans="1:9" ht="14.25" customHeight="1">
      <c r="A34" s="147">
        <v>25</v>
      </c>
      <c r="B34" s="148" t="s">
        <v>82</v>
      </c>
      <c r="C34" s="149" t="s">
        <v>83</v>
      </c>
      <c r="D34" s="137" t="s">
        <v>44</v>
      </c>
      <c r="E34" s="150">
        <f t="shared" si="3"/>
        <v>0</v>
      </c>
      <c r="F34" s="152">
        <v>0</v>
      </c>
      <c r="G34" s="151">
        <f t="shared" si="4"/>
        <v>0</v>
      </c>
      <c r="H34" s="152">
        <v>0</v>
      </c>
      <c r="I34" s="153">
        <f t="shared" si="5"/>
        <v>0</v>
      </c>
    </row>
    <row r="35" spans="1:9" ht="14.25" customHeight="1">
      <c r="A35" s="147">
        <v>26</v>
      </c>
      <c r="B35" s="148" t="s">
        <v>84</v>
      </c>
      <c r="C35" s="149" t="s">
        <v>85</v>
      </c>
      <c r="D35" s="137" t="s">
        <v>44</v>
      </c>
      <c r="E35" s="150">
        <f t="shared" si="3"/>
        <v>0</v>
      </c>
      <c r="F35" s="152">
        <v>0</v>
      </c>
      <c r="G35" s="151">
        <f t="shared" si="4"/>
        <v>0</v>
      </c>
      <c r="H35" s="152">
        <v>0</v>
      </c>
      <c r="I35" s="153">
        <f t="shared" si="5"/>
        <v>0</v>
      </c>
    </row>
    <row r="36" spans="1:9" ht="14.25" customHeight="1">
      <c r="A36" s="147">
        <v>27</v>
      </c>
      <c r="B36" s="148" t="s">
        <v>86</v>
      </c>
      <c r="C36" s="149" t="s">
        <v>87</v>
      </c>
      <c r="D36" s="137" t="s">
        <v>44</v>
      </c>
      <c r="E36" s="150">
        <f t="shared" si="3"/>
        <v>0</v>
      </c>
      <c r="F36" s="152">
        <v>0</v>
      </c>
      <c r="G36" s="151">
        <f t="shared" si="4"/>
        <v>0</v>
      </c>
      <c r="H36" s="152">
        <v>0</v>
      </c>
      <c r="I36" s="153">
        <f t="shared" si="5"/>
        <v>0</v>
      </c>
    </row>
    <row r="37" spans="1:9" ht="14.25" customHeight="1">
      <c r="A37" s="147">
        <v>28</v>
      </c>
      <c r="B37" s="148" t="s">
        <v>88</v>
      </c>
      <c r="C37" s="149" t="s">
        <v>89</v>
      </c>
      <c r="D37" s="137" t="s">
        <v>44</v>
      </c>
      <c r="E37" s="150">
        <f t="shared" si="3"/>
        <v>0</v>
      </c>
      <c r="F37" s="152">
        <v>0</v>
      </c>
      <c r="G37" s="151">
        <f t="shared" si="4"/>
        <v>0</v>
      </c>
      <c r="H37" s="152">
        <v>0</v>
      </c>
      <c r="I37" s="153">
        <f t="shared" si="5"/>
        <v>0</v>
      </c>
    </row>
    <row r="38" spans="1:9" ht="14.25" customHeight="1">
      <c r="A38" s="147">
        <v>29</v>
      </c>
      <c r="B38" s="148" t="s">
        <v>90</v>
      </c>
      <c r="C38" s="149" t="s">
        <v>91</v>
      </c>
      <c r="D38" s="137" t="s">
        <v>44</v>
      </c>
      <c r="E38" s="150">
        <f t="shared" si="3"/>
        <v>0</v>
      </c>
      <c r="F38" s="152">
        <v>0</v>
      </c>
      <c r="G38" s="151">
        <f t="shared" si="4"/>
        <v>0</v>
      </c>
      <c r="H38" s="152">
        <v>0</v>
      </c>
      <c r="I38" s="153">
        <f t="shared" si="5"/>
        <v>0</v>
      </c>
    </row>
    <row r="39" spans="1:9" ht="14.25" customHeight="1">
      <c r="A39" s="147">
        <v>30</v>
      </c>
      <c r="B39" s="148" t="s">
        <v>92</v>
      </c>
      <c r="C39" s="149" t="s">
        <v>93</v>
      </c>
      <c r="D39" s="137" t="s">
        <v>44</v>
      </c>
      <c r="E39" s="150">
        <f t="shared" si="3"/>
        <v>0</v>
      </c>
      <c r="F39" s="152">
        <v>0</v>
      </c>
      <c r="G39" s="151">
        <f t="shared" si="4"/>
        <v>0</v>
      </c>
      <c r="H39" s="152">
        <v>0</v>
      </c>
      <c r="I39" s="153">
        <f t="shared" si="5"/>
        <v>0</v>
      </c>
    </row>
    <row r="40" spans="1:9" ht="14.25" customHeight="1">
      <c r="A40" s="147">
        <v>31</v>
      </c>
      <c r="B40" s="148" t="s">
        <v>94</v>
      </c>
      <c r="C40" s="149" t="s">
        <v>95</v>
      </c>
      <c r="D40" s="137" t="s">
        <v>44</v>
      </c>
      <c r="E40" s="150">
        <f t="shared" si="3"/>
        <v>0</v>
      </c>
      <c r="F40" s="152">
        <v>0</v>
      </c>
      <c r="G40" s="151">
        <f t="shared" si="4"/>
        <v>0</v>
      </c>
      <c r="H40" s="152">
        <v>0</v>
      </c>
      <c r="I40" s="153">
        <f t="shared" si="5"/>
        <v>0</v>
      </c>
    </row>
    <row r="41" spans="1:9" ht="14.25" customHeight="1">
      <c r="A41" s="147">
        <v>32</v>
      </c>
      <c r="B41" s="148" t="s">
        <v>96</v>
      </c>
      <c r="C41" s="149" t="s">
        <v>97</v>
      </c>
      <c r="D41" s="137" t="s">
        <v>44</v>
      </c>
      <c r="E41" s="150">
        <f t="shared" si="3"/>
        <v>0</v>
      </c>
      <c r="F41" s="152">
        <v>0</v>
      </c>
      <c r="G41" s="151">
        <f t="shared" si="4"/>
        <v>0</v>
      </c>
      <c r="H41" s="152">
        <v>0</v>
      </c>
      <c r="I41" s="153">
        <f t="shared" si="5"/>
        <v>0</v>
      </c>
    </row>
    <row r="42" spans="1:9" ht="14.25" customHeight="1">
      <c r="A42" s="147">
        <v>33</v>
      </c>
      <c r="B42" s="148" t="s">
        <v>98</v>
      </c>
      <c r="C42" s="149" t="s">
        <v>99</v>
      </c>
      <c r="D42" s="137" t="s">
        <v>44</v>
      </c>
      <c r="E42" s="150">
        <f t="shared" si="3"/>
        <v>0</v>
      </c>
      <c r="F42" s="152">
        <v>0</v>
      </c>
      <c r="G42" s="151">
        <f t="shared" si="4"/>
        <v>0</v>
      </c>
      <c r="H42" s="152">
        <v>0</v>
      </c>
      <c r="I42" s="153">
        <f t="shared" si="5"/>
        <v>0</v>
      </c>
    </row>
    <row r="43" spans="1:9" ht="14.25" customHeight="1">
      <c r="A43" s="147">
        <v>34</v>
      </c>
      <c r="B43" s="148" t="s">
        <v>100</v>
      </c>
      <c r="C43" s="149" t="s">
        <v>101</v>
      </c>
      <c r="D43" s="137" t="s">
        <v>44</v>
      </c>
      <c r="E43" s="150">
        <f t="shared" si="3"/>
        <v>0</v>
      </c>
      <c r="F43" s="152">
        <v>0</v>
      </c>
      <c r="G43" s="151">
        <f t="shared" si="4"/>
        <v>0</v>
      </c>
      <c r="H43" s="152">
        <v>0</v>
      </c>
      <c r="I43" s="153">
        <f t="shared" si="5"/>
        <v>0</v>
      </c>
    </row>
    <row r="44" spans="1:9" s="3" customFormat="1" ht="14.25" customHeight="1">
      <c r="A44" s="147">
        <v>35</v>
      </c>
      <c r="B44" s="140" t="s">
        <v>501</v>
      </c>
      <c r="C44" s="141" t="s">
        <v>500</v>
      </c>
      <c r="D44" s="137" t="s">
        <v>44</v>
      </c>
      <c r="E44" s="150">
        <f t="shared" si="3"/>
        <v>0</v>
      </c>
      <c r="F44" s="152">
        <v>0</v>
      </c>
      <c r="G44" s="151">
        <f t="shared" si="4"/>
        <v>0</v>
      </c>
      <c r="H44" s="152">
        <v>0</v>
      </c>
      <c r="I44" s="153">
        <f t="shared" si="5"/>
        <v>0</v>
      </c>
    </row>
    <row r="45" spans="1:9" ht="15.75" customHeight="1">
      <c r="A45" s="147">
        <v>36</v>
      </c>
      <c r="B45" s="148" t="s">
        <v>102</v>
      </c>
      <c r="C45" s="149" t="s">
        <v>103</v>
      </c>
      <c r="D45" s="137" t="s">
        <v>44</v>
      </c>
      <c r="E45" s="150">
        <f t="shared" si="3"/>
        <v>0</v>
      </c>
      <c r="F45" s="152">
        <v>0</v>
      </c>
      <c r="G45" s="151">
        <f t="shared" si="4"/>
        <v>0</v>
      </c>
      <c r="H45" s="152">
        <v>0</v>
      </c>
      <c r="I45" s="153">
        <f t="shared" si="5"/>
        <v>0</v>
      </c>
    </row>
    <row r="46" spans="1:9" ht="14.25" customHeight="1">
      <c r="A46" s="147">
        <v>37</v>
      </c>
      <c r="B46" s="148" t="s">
        <v>104</v>
      </c>
      <c r="C46" s="149" t="s">
        <v>105</v>
      </c>
      <c r="D46" s="137" t="s">
        <v>44</v>
      </c>
      <c r="E46" s="150">
        <f t="shared" si="3"/>
        <v>0</v>
      </c>
      <c r="F46" s="152">
        <v>0</v>
      </c>
      <c r="G46" s="151">
        <f t="shared" si="4"/>
        <v>0</v>
      </c>
      <c r="H46" s="152">
        <v>0</v>
      </c>
      <c r="I46" s="153">
        <f t="shared" si="5"/>
        <v>0</v>
      </c>
    </row>
    <row r="47" spans="1:9" ht="14.25" customHeight="1">
      <c r="A47" s="147">
        <v>38</v>
      </c>
      <c r="B47" s="148" t="s">
        <v>106</v>
      </c>
      <c r="C47" s="149" t="s">
        <v>107</v>
      </c>
      <c r="D47" s="137" t="s">
        <v>44</v>
      </c>
      <c r="E47" s="150">
        <f t="shared" si="3"/>
        <v>0</v>
      </c>
      <c r="F47" s="152">
        <v>0</v>
      </c>
      <c r="G47" s="151">
        <f t="shared" si="4"/>
        <v>0</v>
      </c>
      <c r="H47" s="152">
        <v>0</v>
      </c>
      <c r="I47" s="153">
        <f t="shared" si="5"/>
        <v>0</v>
      </c>
    </row>
    <row r="48" spans="1:9" ht="14.25" customHeight="1">
      <c r="A48" s="147">
        <v>39</v>
      </c>
      <c r="B48" s="148" t="s">
        <v>108</v>
      </c>
      <c r="C48" s="149" t="s">
        <v>109</v>
      </c>
      <c r="D48" s="137" t="s">
        <v>44</v>
      </c>
      <c r="E48" s="150">
        <f t="shared" si="3"/>
        <v>0</v>
      </c>
      <c r="F48" s="152">
        <v>0</v>
      </c>
      <c r="G48" s="151">
        <f t="shared" si="4"/>
        <v>0</v>
      </c>
      <c r="H48" s="152">
        <v>0</v>
      </c>
      <c r="I48" s="153">
        <f t="shared" si="5"/>
        <v>0</v>
      </c>
    </row>
    <row r="49" spans="1:9" s="3" customFormat="1" ht="14.25" customHeight="1">
      <c r="A49" s="147">
        <v>40</v>
      </c>
      <c r="B49" s="140" t="s">
        <v>503</v>
      </c>
      <c r="C49" s="141" t="s">
        <v>502</v>
      </c>
      <c r="D49" s="137" t="s">
        <v>44</v>
      </c>
      <c r="E49" s="142">
        <f t="shared" si="3"/>
        <v>0</v>
      </c>
      <c r="F49" s="145">
        <v>0</v>
      </c>
      <c r="G49" s="144">
        <f t="shared" si="4"/>
        <v>0</v>
      </c>
      <c r="H49" s="145">
        <v>0</v>
      </c>
      <c r="I49" s="146">
        <f t="shared" si="5"/>
        <v>0</v>
      </c>
    </row>
    <row r="50" spans="1:9" ht="14.25" customHeight="1">
      <c r="A50" s="147">
        <v>41</v>
      </c>
      <c r="B50" s="140" t="s">
        <v>505</v>
      </c>
      <c r="C50" s="141" t="s">
        <v>504</v>
      </c>
      <c r="D50" s="137" t="s">
        <v>44</v>
      </c>
      <c r="E50" s="142">
        <f t="shared" si="3"/>
        <v>0</v>
      </c>
      <c r="F50" s="145">
        <v>0</v>
      </c>
      <c r="G50" s="144">
        <f t="shared" si="4"/>
        <v>0</v>
      </c>
      <c r="H50" s="145">
        <v>0</v>
      </c>
      <c r="I50" s="146">
        <f t="shared" si="5"/>
        <v>0</v>
      </c>
    </row>
    <row r="51" spans="1:9" ht="14.25" customHeight="1">
      <c r="A51" s="147">
        <v>42</v>
      </c>
      <c r="B51" s="148" t="s">
        <v>110</v>
      </c>
      <c r="C51" s="149" t="s">
        <v>111</v>
      </c>
      <c r="D51" s="137" t="s">
        <v>44</v>
      </c>
      <c r="E51" s="150">
        <f t="shared" si="3"/>
        <v>0</v>
      </c>
      <c r="F51" s="152">
        <v>0</v>
      </c>
      <c r="G51" s="151">
        <f t="shared" si="4"/>
        <v>0</v>
      </c>
      <c r="H51" s="152">
        <v>0</v>
      </c>
      <c r="I51" s="153">
        <f t="shared" si="5"/>
        <v>0</v>
      </c>
    </row>
    <row r="52" spans="1:9" ht="14.25" customHeight="1">
      <c r="A52" s="147">
        <v>43</v>
      </c>
      <c r="B52" s="148" t="s">
        <v>112</v>
      </c>
      <c r="C52" s="149" t="s">
        <v>113</v>
      </c>
      <c r="D52" s="137" t="s">
        <v>44</v>
      </c>
      <c r="E52" s="150">
        <f t="shared" si="3"/>
        <v>0</v>
      </c>
      <c r="F52" s="152">
        <v>0</v>
      </c>
      <c r="G52" s="151">
        <f t="shared" si="4"/>
        <v>0</v>
      </c>
      <c r="H52" s="152">
        <v>0</v>
      </c>
      <c r="I52" s="153">
        <f t="shared" si="5"/>
        <v>0</v>
      </c>
    </row>
    <row r="53" spans="1:9" ht="14.25" customHeight="1">
      <c r="A53" s="147">
        <v>44</v>
      </c>
      <c r="B53" s="148" t="s">
        <v>488</v>
      </c>
      <c r="C53" s="149" t="s">
        <v>489</v>
      </c>
      <c r="D53" s="137" t="s">
        <v>44</v>
      </c>
      <c r="E53" s="150">
        <f t="shared" si="3"/>
        <v>0</v>
      </c>
      <c r="F53" s="152">
        <v>0</v>
      </c>
      <c r="G53" s="151">
        <f t="shared" si="4"/>
        <v>0</v>
      </c>
      <c r="H53" s="152">
        <v>0</v>
      </c>
      <c r="I53" s="153">
        <f t="shared" si="5"/>
        <v>0</v>
      </c>
    </row>
    <row r="54" spans="1:9" ht="14.25" customHeight="1">
      <c r="A54" s="147">
        <v>45</v>
      </c>
      <c r="B54" s="148" t="s">
        <v>490</v>
      </c>
      <c r="C54" s="149" t="s">
        <v>491</v>
      </c>
      <c r="D54" s="137" t="s">
        <v>44</v>
      </c>
      <c r="E54" s="150">
        <f t="shared" si="3"/>
        <v>0</v>
      </c>
      <c r="F54" s="152">
        <v>0</v>
      </c>
      <c r="G54" s="151">
        <f t="shared" si="4"/>
        <v>0</v>
      </c>
      <c r="H54" s="152">
        <v>0</v>
      </c>
      <c r="I54" s="153">
        <f t="shared" si="5"/>
        <v>0</v>
      </c>
    </row>
    <row r="55" spans="1:9" s="3" customFormat="1" ht="14.25" customHeight="1">
      <c r="A55" s="147">
        <v>46</v>
      </c>
      <c r="B55" s="140" t="s">
        <v>507</v>
      </c>
      <c r="C55" s="141" t="s">
        <v>506</v>
      </c>
      <c r="D55" s="137" t="s">
        <v>44</v>
      </c>
      <c r="E55" s="142">
        <f t="shared" si="3"/>
        <v>0</v>
      </c>
      <c r="F55" s="145">
        <v>0</v>
      </c>
      <c r="G55" s="144">
        <f t="shared" si="4"/>
        <v>0</v>
      </c>
      <c r="H55" s="145">
        <v>0</v>
      </c>
      <c r="I55" s="146">
        <f t="shared" si="5"/>
        <v>0</v>
      </c>
    </row>
    <row r="56" spans="1:9" s="3" customFormat="1" ht="14.25" customHeight="1">
      <c r="A56" s="147">
        <v>47</v>
      </c>
      <c r="B56" s="140" t="s">
        <v>510</v>
      </c>
      <c r="C56" s="141" t="s">
        <v>508</v>
      </c>
      <c r="D56" s="137" t="s">
        <v>44</v>
      </c>
      <c r="E56" s="142">
        <f t="shared" si="3"/>
        <v>0</v>
      </c>
      <c r="F56" s="145">
        <v>0</v>
      </c>
      <c r="G56" s="144">
        <f t="shared" si="4"/>
        <v>0</v>
      </c>
      <c r="H56" s="145">
        <v>0</v>
      </c>
      <c r="I56" s="146">
        <f t="shared" si="5"/>
        <v>0</v>
      </c>
    </row>
    <row r="57" spans="1:9" s="3" customFormat="1" ht="14.25" customHeight="1">
      <c r="A57" s="147">
        <v>48</v>
      </c>
      <c r="B57" s="140" t="s">
        <v>511</v>
      </c>
      <c r="C57" s="141" t="s">
        <v>509</v>
      </c>
      <c r="D57" s="137" t="s">
        <v>44</v>
      </c>
      <c r="E57" s="142">
        <f t="shared" si="3"/>
        <v>0</v>
      </c>
      <c r="F57" s="145">
        <v>0</v>
      </c>
      <c r="G57" s="144">
        <f t="shared" si="4"/>
        <v>0</v>
      </c>
      <c r="H57" s="145">
        <v>0</v>
      </c>
      <c r="I57" s="146">
        <f t="shared" si="5"/>
        <v>0</v>
      </c>
    </row>
    <row r="58" spans="1:9" s="3" customFormat="1" ht="14.25" customHeight="1">
      <c r="A58" s="147">
        <v>49</v>
      </c>
      <c r="B58" s="140" t="s">
        <v>515</v>
      </c>
      <c r="C58" s="141" t="s">
        <v>512</v>
      </c>
      <c r="D58" s="137" t="s">
        <v>44</v>
      </c>
      <c r="E58" s="142">
        <f t="shared" si="3"/>
        <v>0</v>
      </c>
      <c r="F58" s="145">
        <v>0</v>
      </c>
      <c r="G58" s="144">
        <f t="shared" si="4"/>
        <v>0</v>
      </c>
      <c r="H58" s="145">
        <v>0</v>
      </c>
      <c r="I58" s="146">
        <f t="shared" si="5"/>
        <v>0</v>
      </c>
    </row>
    <row r="59" spans="1:9" s="3" customFormat="1" ht="14.25" customHeight="1">
      <c r="A59" s="147">
        <v>50</v>
      </c>
      <c r="B59" s="140" t="s">
        <v>516</v>
      </c>
      <c r="C59" s="141" t="s">
        <v>513</v>
      </c>
      <c r="D59" s="137" t="s">
        <v>44</v>
      </c>
      <c r="E59" s="142">
        <f t="shared" si="3"/>
        <v>0</v>
      </c>
      <c r="F59" s="145">
        <v>0</v>
      </c>
      <c r="G59" s="144">
        <f t="shared" si="4"/>
        <v>0</v>
      </c>
      <c r="H59" s="145">
        <v>0</v>
      </c>
      <c r="I59" s="146">
        <f t="shared" si="5"/>
        <v>0</v>
      </c>
    </row>
    <row r="60" spans="1:9" s="3" customFormat="1" ht="14.25" customHeight="1">
      <c r="A60" s="147">
        <v>51</v>
      </c>
      <c r="B60" s="140" t="s">
        <v>517</v>
      </c>
      <c r="C60" s="141" t="s">
        <v>514</v>
      </c>
      <c r="D60" s="137" t="s">
        <v>44</v>
      </c>
      <c r="E60" s="142">
        <f t="shared" si="3"/>
        <v>0</v>
      </c>
      <c r="F60" s="145">
        <v>0</v>
      </c>
      <c r="G60" s="144">
        <f t="shared" si="4"/>
        <v>0</v>
      </c>
      <c r="H60" s="145">
        <v>0</v>
      </c>
      <c r="I60" s="146">
        <f t="shared" si="5"/>
        <v>0</v>
      </c>
    </row>
    <row r="61" spans="1:9" ht="14.25" customHeight="1">
      <c r="A61" s="421" t="s">
        <v>114</v>
      </c>
      <c r="B61" s="421"/>
      <c r="C61" s="421"/>
      <c r="D61" s="154">
        <f>COUNTIF(D20:D60,"Da")</f>
        <v>0</v>
      </c>
      <c r="E61" s="155">
        <f>SUM(E20:E60)</f>
        <v>0</v>
      </c>
      <c r="F61" s="159">
        <f>COUNTIF(F20:F60,"&gt;0")</f>
        <v>0</v>
      </c>
      <c r="G61" s="157">
        <f>SUM(G20:G60)</f>
        <v>0</v>
      </c>
      <c r="H61" s="153" t="s">
        <v>52</v>
      </c>
      <c r="I61" s="158">
        <f>COUNTIF(I20:I60,"&gt;0")</f>
        <v>0</v>
      </c>
    </row>
    <row r="62" spans="1:9" ht="12" customHeight="1">
      <c r="A62" s="423" t="s">
        <v>115</v>
      </c>
      <c r="B62" s="423"/>
      <c r="C62" s="423"/>
      <c r="D62" s="423"/>
      <c r="E62" s="423"/>
      <c r="F62" s="423"/>
      <c r="G62" s="423"/>
      <c r="H62" s="423"/>
      <c r="I62" s="423"/>
    </row>
    <row r="63" spans="1:9" ht="13.5">
      <c r="A63" s="147">
        <v>52</v>
      </c>
      <c r="B63" s="148" t="s">
        <v>116</v>
      </c>
      <c r="C63" s="149" t="s">
        <v>117</v>
      </c>
      <c r="D63" s="137" t="s">
        <v>44</v>
      </c>
      <c r="E63" s="150">
        <f aca="true" t="shared" si="6" ref="E63:E91">IF(D63="Da",2,0)</f>
        <v>0</v>
      </c>
      <c r="F63" s="152">
        <v>0</v>
      </c>
      <c r="G63" s="151">
        <f aca="true" t="shared" si="7" ref="G63:G91">IF(F63&gt;=4,8+IF(F63&lt;13,(F63-4)*1,8*1),0)</f>
        <v>0</v>
      </c>
      <c r="H63" s="152">
        <v>0</v>
      </c>
      <c r="I63" s="153">
        <f aca="true" t="shared" si="8" ref="I63:I91">IF(H63&gt;=4,1,0)</f>
        <v>0</v>
      </c>
    </row>
    <row r="64" spans="1:9" ht="13.5">
      <c r="A64" s="147">
        <v>53</v>
      </c>
      <c r="B64" s="148" t="s">
        <v>118</v>
      </c>
      <c r="C64" s="149" t="s">
        <v>119</v>
      </c>
      <c r="D64" s="137" t="s">
        <v>44</v>
      </c>
      <c r="E64" s="150">
        <f t="shared" si="6"/>
        <v>0</v>
      </c>
      <c r="F64" s="152">
        <v>0</v>
      </c>
      <c r="G64" s="151">
        <f t="shared" si="7"/>
        <v>0</v>
      </c>
      <c r="H64" s="152">
        <v>0</v>
      </c>
      <c r="I64" s="153">
        <f t="shared" si="8"/>
        <v>0</v>
      </c>
    </row>
    <row r="65" spans="1:9" ht="14.25" customHeight="1">
      <c r="A65" s="147">
        <v>54</v>
      </c>
      <c r="B65" s="148" t="s">
        <v>120</v>
      </c>
      <c r="C65" s="149" t="s">
        <v>121</v>
      </c>
      <c r="D65" s="137" t="s">
        <v>44</v>
      </c>
      <c r="E65" s="150">
        <f t="shared" si="6"/>
        <v>0</v>
      </c>
      <c r="F65" s="152">
        <v>0</v>
      </c>
      <c r="G65" s="151">
        <f t="shared" si="7"/>
        <v>0</v>
      </c>
      <c r="H65" s="152">
        <v>0</v>
      </c>
      <c r="I65" s="153">
        <f t="shared" si="8"/>
        <v>0</v>
      </c>
    </row>
    <row r="66" spans="1:9" ht="14.25" customHeight="1">
      <c r="A66" s="147">
        <v>55</v>
      </c>
      <c r="B66" s="148" t="s">
        <v>122</v>
      </c>
      <c r="C66" s="149" t="s">
        <v>123</v>
      </c>
      <c r="D66" s="137" t="s">
        <v>44</v>
      </c>
      <c r="E66" s="150">
        <f t="shared" si="6"/>
        <v>0</v>
      </c>
      <c r="F66" s="152">
        <v>0</v>
      </c>
      <c r="G66" s="151">
        <f t="shared" si="7"/>
        <v>0</v>
      </c>
      <c r="H66" s="152">
        <v>0</v>
      </c>
      <c r="I66" s="153">
        <f t="shared" si="8"/>
        <v>0</v>
      </c>
    </row>
    <row r="67" spans="1:9" ht="14.25" customHeight="1">
      <c r="A67" s="147">
        <v>56</v>
      </c>
      <c r="B67" s="148" t="s">
        <v>124</v>
      </c>
      <c r="C67" s="149" t="s">
        <v>125</v>
      </c>
      <c r="D67" s="137" t="s">
        <v>44</v>
      </c>
      <c r="E67" s="150">
        <f t="shared" si="6"/>
        <v>0</v>
      </c>
      <c r="F67" s="152">
        <v>0</v>
      </c>
      <c r="G67" s="151">
        <f t="shared" si="7"/>
        <v>0</v>
      </c>
      <c r="H67" s="152">
        <v>0</v>
      </c>
      <c r="I67" s="153">
        <f t="shared" si="8"/>
        <v>0</v>
      </c>
    </row>
    <row r="68" spans="1:9" ht="13.5">
      <c r="A68" s="147">
        <v>57</v>
      </c>
      <c r="B68" s="148" t="s">
        <v>126</v>
      </c>
      <c r="C68" s="149" t="s">
        <v>127</v>
      </c>
      <c r="D68" s="137" t="s">
        <v>44</v>
      </c>
      <c r="E68" s="150">
        <f t="shared" si="6"/>
        <v>0</v>
      </c>
      <c r="F68" s="152">
        <v>0</v>
      </c>
      <c r="G68" s="151">
        <f t="shared" si="7"/>
        <v>0</v>
      </c>
      <c r="H68" s="152">
        <v>0</v>
      </c>
      <c r="I68" s="153">
        <f t="shared" si="8"/>
        <v>0</v>
      </c>
    </row>
    <row r="69" spans="1:9" ht="14.25" customHeight="1">
      <c r="A69" s="147">
        <v>58</v>
      </c>
      <c r="B69" s="148" t="s">
        <v>128</v>
      </c>
      <c r="C69" s="149" t="s">
        <v>129</v>
      </c>
      <c r="D69" s="137" t="s">
        <v>44</v>
      </c>
      <c r="E69" s="150">
        <f t="shared" si="6"/>
        <v>0</v>
      </c>
      <c r="F69" s="152">
        <v>0</v>
      </c>
      <c r="G69" s="151">
        <f t="shared" si="7"/>
        <v>0</v>
      </c>
      <c r="H69" s="152">
        <v>0</v>
      </c>
      <c r="I69" s="153">
        <f t="shared" si="8"/>
        <v>0</v>
      </c>
    </row>
    <row r="70" spans="1:9" ht="13.5">
      <c r="A70" s="147">
        <v>59</v>
      </c>
      <c r="B70" s="148" t="s">
        <v>130</v>
      </c>
      <c r="C70" s="149" t="s">
        <v>131</v>
      </c>
      <c r="D70" s="137" t="s">
        <v>44</v>
      </c>
      <c r="E70" s="150">
        <f t="shared" si="6"/>
        <v>0</v>
      </c>
      <c r="F70" s="152">
        <v>0</v>
      </c>
      <c r="G70" s="151">
        <f t="shared" si="7"/>
        <v>0</v>
      </c>
      <c r="H70" s="152">
        <v>0</v>
      </c>
      <c r="I70" s="153">
        <f t="shared" si="8"/>
        <v>0</v>
      </c>
    </row>
    <row r="71" spans="1:9" ht="14.25" customHeight="1">
      <c r="A71" s="147">
        <v>60</v>
      </c>
      <c r="B71" s="148" t="s">
        <v>132</v>
      </c>
      <c r="C71" s="149" t="s">
        <v>133</v>
      </c>
      <c r="D71" s="137" t="s">
        <v>44</v>
      </c>
      <c r="E71" s="150">
        <f t="shared" si="6"/>
        <v>0</v>
      </c>
      <c r="F71" s="152">
        <v>0</v>
      </c>
      <c r="G71" s="151">
        <f t="shared" si="7"/>
        <v>0</v>
      </c>
      <c r="H71" s="152">
        <v>0</v>
      </c>
      <c r="I71" s="153">
        <f t="shared" si="8"/>
        <v>0</v>
      </c>
    </row>
    <row r="72" spans="1:9" ht="14.25" customHeight="1">
      <c r="A72" s="147">
        <v>61</v>
      </c>
      <c r="B72" s="148" t="s">
        <v>134</v>
      </c>
      <c r="C72" s="149" t="s">
        <v>135</v>
      </c>
      <c r="D72" s="137" t="s">
        <v>44</v>
      </c>
      <c r="E72" s="150">
        <f t="shared" si="6"/>
        <v>0</v>
      </c>
      <c r="F72" s="152">
        <v>0</v>
      </c>
      <c r="G72" s="151">
        <f t="shared" si="7"/>
        <v>0</v>
      </c>
      <c r="H72" s="152">
        <v>0</v>
      </c>
      <c r="I72" s="153">
        <f t="shared" si="8"/>
        <v>0</v>
      </c>
    </row>
    <row r="73" spans="1:9" ht="14.25" customHeight="1">
      <c r="A73" s="147">
        <v>62</v>
      </c>
      <c r="B73" s="160" t="s">
        <v>343</v>
      </c>
      <c r="C73" s="149" t="s">
        <v>136</v>
      </c>
      <c r="D73" s="137" t="s">
        <v>44</v>
      </c>
      <c r="E73" s="150">
        <f t="shared" si="6"/>
        <v>0</v>
      </c>
      <c r="F73" s="152">
        <v>0</v>
      </c>
      <c r="G73" s="151">
        <f t="shared" si="7"/>
        <v>0</v>
      </c>
      <c r="H73" s="152">
        <v>0</v>
      </c>
      <c r="I73" s="153">
        <f t="shared" si="8"/>
        <v>0</v>
      </c>
    </row>
    <row r="74" spans="1:9" ht="14.25" customHeight="1">
      <c r="A74" s="147">
        <v>63</v>
      </c>
      <c r="B74" s="161" t="s">
        <v>137</v>
      </c>
      <c r="C74" s="149" t="s">
        <v>138</v>
      </c>
      <c r="D74" s="137" t="s">
        <v>44</v>
      </c>
      <c r="E74" s="150">
        <f t="shared" si="6"/>
        <v>0</v>
      </c>
      <c r="F74" s="152">
        <v>0</v>
      </c>
      <c r="G74" s="151">
        <f t="shared" si="7"/>
        <v>0</v>
      </c>
      <c r="H74" s="152">
        <v>0</v>
      </c>
      <c r="I74" s="153">
        <f t="shared" si="8"/>
        <v>0</v>
      </c>
    </row>
    <row r="75" spans="1:9" ht="14.25" customHeight="1">
      <c r="A75" s="147">
        <v>64</v>
      </c>
      <c r="B75" s="161" t="s">
        <v>139</v>
      </c>
      <c r="C75" s="149" t="s">
        <v>382</v>
      </c>
      <c r="D75" s="137" t="s">
        <v>44</v>
      </c>
      <c r="E75" s="150">
        <f t="shared" si="6"/>
        <v>0</v>
      </c>
      <c r="F75" s="152">
        <v>0</v>
      </c>
      <c r="G75" s="151">
        <f t="shared" si="7"/>
        <v>0</v>
      </c>
      <c r="H75" s="152">
        <v>0</v>
      </c>
      <c r="I75" s="153">
        <f t="shared" si="8"/>
        <v>0</v>
      </c>
    </row>
    <row r="76" spans="1:9" ht="14.25" customHeight="1">
      <c r="A76" s="147">
        <v>65</v>
      </c>
      <c r="B76" s="148" t="s">
        <v>140</v>
      </c>
      <c r="C76" s="149" t="s">
        <v>141</v>
      </c>
      <c r="D76" s="137" t="s">
        <v>44</v>
      </c>
      <c r="E76" s="150">
        <f t="shared" si="6"/>
        <v>0</v>
      </c>
      <c r="F76" s="152">
        <v>0</v>
      </c>
      <c r="G76" s="151">
        <f t="shared" si="7"/>
        <v>0</v>
      </c>
      <c r="H76" s="152">
        <v>0</v>
      </c>
      <c r="I76" s="153">
        <f t="shared" si="8"/>
        <v>0</v>
      </c>
    </row>
    <row r="77" spans="1:9" ht="14.25" customHeight="1">
      <c r="A77" s="147">
        <v>66</v>
      </c>
      <c r="B77" s="148" t="s">
        <v>142</v>
      </c>
      <c r="C77" s="149" t="s">
        <v>143</v>
      </c>
      <c r="D77" s="137" t="s">
        <v>44</v>
      </c>
      <c r="E77" s="150">
        <f t="shared" si="6"/>
        <v>0</v>
      </c>
      <c r="F77" s="152">
        <v>0</v>
      </c>
      <c r="G77" s="151">
        <f t="shared" si="7"/>
        <v>0</v>
      </c>
      <c r="H77" s="152">
        <v>0</v>
      </c>
      <c r="I77" s="153">
        <f t="shared" si="8"/>
        <v>0</v>
      </c>
    </row>
    <row r="78" spans="1:9" ht="14.25" customHeight="1">
      <c r="A78" s="147">
        <v>67</v>
      </c>
      <c r="B78" s="148" t="s">
        <v>144</v>
      </c>
      <c r="C78" s="149" t="s">
        <v>145</v>
      </c>
      <c r="D78" s="137" t="s">
        <v>44</v>
      </c>
      <c r="E78" s="150">
        <f t="shared" si="6"/>
        <v>0</v>
      </c>
      <c r="F78" s="152">
        <v>0</v>
      </c>
      <c r="G78" s="151">
        <f t="shared" si="7"/>
        <v>0</v>
      </c>
      <c r="H78" s="152">
        <v>0</v>
      </c>
      <c r="I78" s="153">
        <f t="shared" si="8"/>
        <v>0</v>
      </c>
    </row>
    <row r="79" spans="1:9" ht="14.25" customHeight="1">
      <c r="A79" s="147">
        <v>68</v>
      </c>
      <c r="B79" s="148" t="s">
        <v>146</v>
      </c>
      <c r="C79" s="149" t="s">
        <v>147</v>
      </c>
      <c r="D79" s="137" t="s">
        <v>44</v>
      </c>
      <c r="E79" s="150">
        <f t="shared" si="6"/>
        <v>0</v>
      </c>
      <c r="F79" s="152">
        <v>0</v>
      </c>
      <c r="G79" s="151">
        <f t="shared" si="7"/>
        <v>0</v>
      </c>
      <c r="H79" s="152">
        <v>0</v>
      </c>
      <c r="I79" s="153">
        <f t="shared" si="8"/>
        <v>0</v>
      </c>
    </row>
    <row r="80" spans="1:9" ht="14.25" customHeight="1">
      <c r="A80" s="147">
        <v>69</v>
      </c>
      <c r="B80" s="148" t="s">
        <v>148</v>
      </c>
      <c r="C80" s="149" t="s">
        <v>344</v>
      </c>
      <c r="D80" s="137" t="s">
        <v>44</v>
      </c>
      <c r="E80" s="150">
        <f t="shared" si="6"/>
        <v>0</v>
      </c>
      <c r="F80" s="152">
        <v>0</v>
      </c>
      <c r="G80" s="151">
        <f t="shared" si="7"/>
        <v>0</v>
      </c>
      <c r="H80" s="152">
        <v>0</v>
      </c>
      <c r="I80" s="153">
        <f t="shared" si="8"/>
        <v>0</v>
      </c>
    </row>
    <row r="81" spans="1:9" ht="14.25" customHeight="1">
      <c r="A81" s="147">
        <v>70</v>
      </c>
      <c r="B81" s="162" t="s">
        <v>149</v>
      </c>
      <c r="C81" s="149" t="s">
        <v>150</v>
      </c>
      <c r="D81" s="137" t="s">
        <v>44</v>
      </c>
      <c r="E81" s="150">
        <f t="shared" si="6"/>
        <v>0</v>
      </c>
      <c r="F81" s="152">
        <v>0</v>
      </c>
      <c r="G81" s="151">
        <f t="shared" si="7"/>
        <v>0</v>
      </c>
      <c r="H81" s="152">
        <v>0</v>
      </c>
      <c r="I81" s="153">
        <f t="shared" si="8"/>
        <v>0</v>
      </c>
    </row>
    <row r="82" spans="1:9" ht="14.25" customHeight="1">
      <c r="A82" s="147">
        <v>71</v>
      </c>
      <c r="B82" s="162" t="s">
        <v>151</v>
      </c>
      <c r="C82" s="149" t="s">
        <v>152</v>
      </c>
      <c r="D82" s="137" t="s">
        <v>44</v>
      </c>
      <c r="E82" s="150">
        <f t="shared" si="6"/>
        <v>0</v>
      </c>
      <c r="F82" s="152">
        <v>0</v>
      </c>
      <c r="G82" s="151">
        <f t="shared" si="7"/>
        <v>0</v>
      </c>
      <c r="H82" s="152">
        <v>0</v>
      </c>
      <c r="I82" s="153">
        <f t="shared" si="8"/>
        <v>0</v>
      </c>
    </row>
    <row r="83" spans="1:9" ht="14.25" customHeight="1">
      <c r="A83" s="147">
        <v>72</v>
      </c>
      <c r="B83" s="148" t="s">
        <v>153</v>
      </c>
      <c r="C83" s="149" t="s">
        <v>154</v>
      </c>
      <c r="D83" s="137" t="s">
        <v>44</v>
      </c>
      <c r="E83" s="150">
        <f t="shared" si="6"/>
        <v>0</v>
      </c>
      <c r="F83" s="152">
        <v>0</v>
      </c>
      <c r="G83" s="151">
        <f t="shared" si="7"/>
        <v>0</v>
      </c>
      <c r="H83" s="152">
        <v>0</v>
      </c>
      <c r="I83" s="153">
        <f t="shared" si="8"/>
        <v>0</v>
      </c>
    </row>
    <row r="84" spans="1:9" ht="14.25" customHeight="1">
      <c r="A84" s="147">
        <v>73</v>
      </c>
      <c r="B84" s="148" t="s">
        <v>155</v>
      </c>
      <c r="C84" s="149" t="s">
        <v>156</v>
      </c>
      <c r="D84" s="137" t="s">
        <v>44</v>
      </c>
      <c r="E84" s="150">
        <f t="shared" si="6"/>
        <v>0</v>
      </c>
      <c r="F84" s="152">
        <v>0</v>
      </c>
      <c r="G84" s="151">
        <f t="shared" si="7"/>
        <v>0</v>
      </c>
      <c r="H84" s="152">
        <v>0</v>
      </c>
      <c r="I84" s="153">
        <f t="shared" si="8"/>
        <v>0</v>
      </c>
    </row>
    <row r="85" spans="1:9" ht="15.75" customHeight="1">
      <c r="A85" s="147">
        <v>74</v>
      </c>
      <c r="B85" s="148" t="s">
        <v>157</v>
      </c>
      <c r="C85" s="149" t="s">
        <v>158</v>
      </c>
      <c r="D85" s="137" t="s">
        <v>44</v>
      </c>
      <c r="E85" s="150">
        <f t="shared" si="6"/>
        <v>0</v>
      </c>
      <c r="F85" s="152">
        <v>0</v>
      </c>
      <c r="G85" s="151">
        <f t="shared" si="7"/>
        <v>0</v>
      </c>
      <c r="H85" s="152">
        <v>0</v>
      </c>
      <c r="I85" s="153">
        <f t="shared" si="8"/>
        <v>0</v>
      </c>
    </row>
    <row r="86" spans="1:9" s="3" customFormat="1" ht="13.5">
      <c r="A86" s="147">
        <v>75</v>
      </c>
      <c r="B86" s="140" t="s">
        <v>159</v>
      </c>
      <c r="C86" s="141" t="s">
        <v>160</v>
      </c>
      <c r="D86" s="137" t="s">
        <v>44</v>
      </c>
      <c r="E86" s="142">
        <f t="shared" si="6"/>
        <v>0</v>
      </c>
      <c r="F86" s="152">
        <v>0</v>
      </c>
      <c r="G86" s="144">
        <f t="shared" si="7"/>
        <v>0</v>
      </c>
      <c r="H86" s="152">
        <v>0</v>
      </c>
      <c r="I86" s="146">
        <f t="shared" si="8"/>
        <v>0</v>
      </c>
    </row>
    <row r="87" spans="1:9" ht="14.25" customHeight="1">
      <c r="A87" s="147">
        <v>76</v>
      </c>
      <c r="B87" s="148" t="s">
        <v>161</v>
      </c>
      <c r="C87" s="149" t="s">
        <v>162</v>
      </c>
      <c r="D87" s="137" t="s">
        <v>44</v>
      </c>
      <c r="E87" s="150">
        <f t="shared" si="6"/>
        <v>0</v>
      </c>
      <c r="F87" s="152">
        <v>0</v>
      </c>
      <c r="G87" s="151">
        <f t="shared" si="7"/>
        <v>0</v>
      </c>
      <c r="H87" s="152">
        <v>0</v>
      </c>
      <c r="I87" s="153">
        <f t="shared" si="8"/>
        <v>0</v>
      </c>
    </row>
    <row r="88" spans="1:9" ht="14.25" customHeight="1">
      <c r="A88" s="147">
        <v>77</v>
      </c>
      <c r="B88" s="148" t="s">
        <v>163</v>
      </c>
      <c r="C88" s="149" t="s">
        <v>164</v>
      </c>
      <c r="D88" s="137" t="s">
        <v>44</v>
      </c>
      <c r="E88" s="150">
        <f t="shared" si="6"/>
        <v>0</v>
      </c>
      <c r="F88" s="152">
        <v>0</v>
      </c>
      <c r="G88" s="151">
        <f t="shared" si="7"/>
        <v>0</v>
      </c>
      <c r="H88" s="152">
        <v>0</v>
      </c>
      <c r="I88" s="153">
        <f t="shared" si="8"/>
        <v>0</v>
      </c>
    </row>
    <row r="89" spans="1:9" s="3" customFormat="1" ht="13.5">
      <c r="A89" s="147">
        <v>78</v>
      </c>
      <c r="B89" s="140" t="s">
        <v>165</v>
      </c>
      <c r="C89" s="141" t="s">
        <v>166</v>
      </c>
      <c r="D89" s="137" t="s">
        <v>44</v>
      </c>
      <c r="E89" s="142">
        <f t="shared" si="6"/>
        <v>0</v>
      </c>
      <c r="F89" s="152">
        <v>0</v>
      </c>
      <c r="G89" s="144">
        <f t="shared" si="7"/>
        <v>0</v>
      </c>
      <c r="H89" s="152">
        <v>0</v>
      </c>
      <c r="I89" s="146">
        <f t="shared" si="8"/>
        <v>0</v>
      </c>
    </row>
    <row r="90" spans="1:9" s="3" customFormat="1" ht="13.5">
      <c r="A90" s="147">
        <v>79</v>
      </c>
      <c r="B90" s="140" t="s">
        <v>167</v>
      </c>
      <c r="C90" s="141" t="s">
        <v>168</v>
      </c>
      <c r="D90" s="137" t="s">
        <v>44</v>
      </c>
      <c r="E90" s="142">
        <f t="shared" si="6"/>
        <v>0</v>
      </c>
      <c r="F90" s="152">
        <v>0</v>
      </c>
      <c r="G90" s="144">
        <f t="shared" si="7"/>
        <v>0</v>
      </c>
      <c r="H90" s="152">
        <v>0</v>
      </c>
      <c r="I90" s="146">
        <f t="shared" si="8"/>
        <v>0</v>
      </c>
    </row>
    <row r="91" spans="1:9" ht="14.25" customHeight="1">
      <c r="A91" s="147">
        <v>80</v>
      </c>
      <c r="B91" s="148" t="s">
        <v>169</v>
      </c>
      <c r="C91" s="149" t="s">
        <v>170</v>
      </c>
      <c r="D91" s="137" t="s">
        <v>44</v>
      </c>
      <c r="E91" s="150">
        <f t="shared" si="6"/>
        <v>0</v>
      </c>
      <c r="F91" s="152">
        <v>0</v>
      </c>
      <c r="G91" s="151">
        <f t="shared" si="7"/>
        <v>0</v>
      </c>
      <c r="H91" s="152">
        <v>0</v>
      </c>
      <c r="I91" s="153">
        <f t="shared" si="8"/>
        <v>0</v>
      </c>
    </row>
    <row r="92" spans="1:9" ht="14.25" customHeight="1">
      <c r="A92" s="421" t="s">
        <v>171</v>
      </c>
      <c r="B92" s="421"/>
      <c r="C92" s="421"/>
      <c r="D92" s="154">
        <f>COUNTIF(D63:D91,"Da")</f>
        <v>0</v>
      </c>
      <c r="E92" s="155">
        <f>SUM(E63:E91)</f>
        <v>0</v>
      </c>
      <c r="F92" s="159">
        <f>COUNTIF(F63:F91,"&gt;0")</f>
        <v>0</v>
      </c>
      <c r="G92" s="157">
        <f>SUM(G63:G91)</f>
        <v>0</v>
      </c>
      <c r="H92" s="153" t="s">
        <v>52</v>
      </c>
      <c r="I92" s="158">
        <f>COUNTIF(I63:I91,"&gt;0")</f>
        <v>0</v>
      </c>
    </row>
    <row r="93" spans="1:9" ht="12" customHeight="1">
      <c r="A93" s="423" t="s">
        <v>172</v>
      </c>
      <c r="B93" s="423"/>
      <c r="C93" s="423"/>
      <c r="D93" s="423"/>
      <c r="E93" s="423"/>
      <c r="F93" s="423"/>
      <c r="G93" s="423"/>
      <c r="H93" s="423"/>
      <c r="I93" s="423"/>
    </row>
    <row r="94" spans="1:9" s="3" customFormat="1" ht="30" customHeight="1">
      <c r="A94" s="137">
        <v>81</v>
      </c>
      <c r="B94" s="140" t="s">
        <v>173</v>
      </c>
      <c r="C94" s="141" t="s">
        <v>546</v>
      </c>
      <c r="D94" s="137" t="s">
        <v>44</v>
      </c>
      <c r="E94" s="163">
        <f aca="true" t="shared" si="9" ref="E94:E113">IF(D94="Da",3,0)</f>
        <v>0</v>
      </c>
      <c r="F94" s="145">
        <v>0</v>
      </c>
      <c r="G94" s="144">
        <f aca="true" t="shared" si="10" ref="G94:G113">IF(F94&gt;=4,12+IF(F94&lt;13,(F94-4)*1.5,8*1.5),0)</f>
        <v>0</v>
      </c>
      <c r="H94" s="145">
        <v>0</v>
      </c>
      <c r="I94" s="146">
        <f aca="true" t="shared" si="11" ref="I94:I113">IF(H94&gt;=4,1,0)</f>
        <v>0</v>
      </c>
    </row>
    <row r="95" spans="1:9" s="3" customFormat="1" ht="27">
      <c r="A95" s="137">
        <v>82</v>
      </c>
      <c r="B95" s="140" t="s">
        <v>174</v>
      </c>
      <c r="C95" s="141" t="s">
        <v>545</v>
      </c>
      <c r="D95" s="137" t="s">
        <v>44</v>
      </c>
      <c r="E95" s="163">
        <f t="shared" si="9"/>
        <v>0</v>
      </c>
      <c r="F95" s="145">
        <v>0</v>
      </c>
      <c r="G95" s="144">
        <f t="shared" si="10"/>
        <v>0</v>
      </c>
      <c r="H95" s="145">
        <v>0</v>
      </c>
      <c r="I95" s="146">
        <f t="shared" si="11"/>
        <v>0</v>
      </c>
    </row>
    <row r="96" spans="1:9" s="3" customFormat="1" ht="27">
      <c r="A96" s="137">
        <v>83</v>
      </c>
      <c r="B96" s="140" t="s">
        <v>175</v>
      </c>
      <c r="C96" s="302" t="s">
        <v>544</v>
      </c>
      <c r="D96" s="137" t="s">
        <v>44</v>
      </c>
      <c r="E96" s="163">
        <f t="shared" si="9"/>
        <v>0</v>
      </c>
      <c r="F96" s="145">
        <v>0</v>
      </c>
      <c r="G96" s="144">
        <f t="shared" si="10"/>
        <v>0</v>
      </c>
      <c r="H96" s="145">
        <v>0</v>
      </c>
      <c r="I96" s="146">
        <f t="shared" si="11"/>
        <v>0</v>
      </c>
    </row>
    <row r="97" spans="1:9" s="3" customFormat="1" ht="13.5">
      <c r="A97" s="137">
        <v>84</v>
      </c>
      <c r="B97" s="140" t="s">
        <v>176</v>
      </c>
      <c r="C97" s="297" t="s">
        <v>518</v>
      </c>
      <c r="D97" s="137" t="s">
        <v>44</v>
      </c>
      <c r="E97" s="163">
        <f t="shared" si="9"/>
        <v>0</v>
      </c>
      <c r="F97" s="145">
        <v>0</v>
      </c>
      <c r="G97" s="144">
        <f t="shared" si="10"/>
        <v>0</v>
      </c>
      <c r="H97" s="145">
        <v>0</v>
      </c>
      <c r="I97" s="146">
        <f t="shared" si="11"/>
        <v>0</v>
      </c>
    </row>
    <row r="98" spans="1:9" s="3" customFormat="1" ht="13.5">
      <c r="A98" s="137">
        <v>85</v>
      </c>
      <c r="B98" s="140" t="s">
        <v>177</v>
      </c>
      <c r="C98" s="141" t="s">
        <v>383</v>
      </c>
      <c r="D98" s="137" t="s">
        <v>44</v>
      </c>
      <c r="E98" s="163">
        <f t="shared" si="9"/>
        <v>0</v>
      </c>
      <c r="F98" s="145">
        <v>0</v>
      </c>
      <c r="G98" s="144">
        <f t="shared" si="10"/>
        <v>0</v>
      </c>
      <c r="H98" s="145">
        <v>0</v>
      </c>
      <c r="I98" s="146">
        <f t="shared" si="11"/>
        <v>0</v>
      </c>
    </row>
    <row r="99" spans="1:9" s="3" customFormat="1" ht="13.5">
      <c r="A99" s="137">
        <v>86</v>
      </c>
      <c r="B99" s="140" t="s">
        <v>178</v>
      </c>
      <c r="C99" s="141" t="s">
        <v>384</v>
      </c>
      <c r="D99" s="137" t="s">
        <v>44</v>
      </c>
      <c r="E99" s="163">
        <f t="shared" si="9"/>
        <v>0</v>
      </c>
      <c r="F99" s="145">
        <v>0</v>
      </c>
      <c r="G99" s="144">
        <f t="shared" si="10"/>
        <v>0</v>
      </c>
      <c r="H99" s="145">
        <v>0</v>
      </c>
      <c r="I99" s="146">
        <f t="shared" si="11"/>
        <v>0</v>
      </c>
    </row>
    <row r="100" spans="1:9" s="3" customFormat="1" ht="27">
      <c r="A100" s="137">
        <v>87</v>
      </c>
      <c r="B100" s="140" t="s">
        <v>179</v>
      </c>
      <c r="C100" s="141" t="s">
        <v>519</v>
      </c>
      <c r="D100" s="137" t="s">
        <v>44</v>
      </c>
      <c r="E100" s="163">
        <f t="shared" si="9"/>
        <v>0</v>
      </c>
      <c r="F100" s="145">
        <v>0</v>
      </c>
      <c r="G100" s="144">
        <f t="shared" si="10"/>
        <v>0</v>
      </c>
      <c r="H100" s="145">
        <v>0</v>
      </c>
      <c r="I100" s="146">
        <f t="shared" si="11"/>
        <v>0</v>
      </c>
    </row>
    <row r="101" spans="1:9" s="3" customFormat="1" ht="27">
      <c r="A101" s="137">
        <v>88</v>
      </c>
      <c r="B101" s="140" t="s">
        <v>521</v>
      </c>
      <c r="C101" s="141" t="s">
        <v>520</v>
      </c>
      <c r="D101" s="137" t="s">
        <v>44</v>
      </c>
      <c r="E101" s="163">
        <f t="shared" si="9"/>
        <v>0</v>
      </c>
      <c r="F101" s="145">
        <v>0</v>
      </c>
      <c r="G101" s="144">
        <f t="shared" si="10"/>
        <v>0</v>
      </c>
      <c r="H101" s="145">
        <v>0</v>
      </c>
      <c r="I101" s="146">
        <f t="shared" si="11"/>
        <v>0</v>
      </c>
    </row>
    <row r="102" spans="1:9" s="3" customFormat="1" ht="27">
      <c r="A102" s="137">
        <v>89</v>
      </c>
      <c r="B102" s="140" t="s">
        <v>523</v>
      </c>
      <c r="C102" s="141" t="s">
        <v>522</v>
      </c>
      <c r="D102" s="137" t="s">
        <v>44</v>
      </c>
      <c r="E102" s="163">
        <f t="shared" si="9"/>
        <v>0</v>
      </c>
      <c r="F102" s="145">
        <v>0</v>
      </c>
      <c r="G102" s="144">
        <f t="shared" si="10"/>
        <v>0</v>
      </c>
      <c r="H102" s="145">
        <v>0</v>
      </c>
      <c r="I102" s="146">
        <f t="shared" si="11"/>
        <v>0</v>
      </c>
    </row>
    <row r="103" spans="1:9" s="3" customFormat="1" ht="27">
      <c r="A103" s="137">
        <v>90</v>
      </c>
      <c r="B103" s="140" t="s">
        <v>524</v>
      </c>
      <c r="C103" s="141" t="s">
        <v>525</v>
      </c>
      <c r="D103" s="137" t="s">
        <v>44</v>
      </c>
      <c r="E103" s="163">
        <f t="shared" si="9"/>
        <v>0</v>
      </c>
      <c r="F103" s="145">
        <v>0</v>
      </c>
      <c r="G103" s="144">
        <f t="shared" si="10"/>
        <v>0</v>
      </c>
      <c r="H103" s="145">
        <v>0</v>
      </c>
      <c r="I103" s="146">
        <f t="shared" si="11"/>
        <v>0</v>
      </c>
    </row>
    <row r="104" spans="1:9" s="3" customFormat="1" ht="27">
      <c r="A104" s="137">
        <v>91</v>
      </c>
      <c r="B104" s="140" t="s">
        <v>527</v>
      </c>
      <c r="C104" s="141" t="s">
        <v>526</v>
      </c>
      <c r="D104" s="137" t="s">
        <v>44</v>
      </c>
      <c r="E104" s="163">
        <f t="shared" si="9"/>
        <v>0</v>
      </c>
      <c r="F104" s="145">
        <v>0</v>
      </c>
      <c r="G104" s="144">
        <f t="shared" si="10"/>
        <v>0</v>
      </c>
      <c r="H104" s="145">
        <v>0</v>
      </c>
      <c r="I104" s="146">
        <f t="shared" si="11"/>
        <v>0</v>
      </c>
    </row>
    <row r="105" spans="1:9" s="3" customFormat="1" ht="27">
      <c r="A105" s="137">
        <v>92</v>
      </c>
      <c r="B105" s="140" t="s">
        <v>180</v>
      </c>
      <c r="C105" s="141" t="s">
        <v>528</v>
      </c>
      <c r="D105" s="137" t="s">
        <v>44</v>
      </c>
      <c r="E105" s="163">
        <f t="shared" si="9"/>
        <v>0</v>
      </c>
      <c r="F105" s="145">
        <v>0</v>
      </c>
      <c r="G105" s="144">
        <f t="shared" si="10"/>
        <v>0</v>
      </c>
      <c r="H105" s="145">
        <v>0</v>
      </c>
      <c r="I105" s="146">
        <f t="shared" si="11"/>
        <v>0</v>
      </c>
    </row>
    <row r="106" spans="1:9" s="3" customFormat="1" ht="27">
      <c r="A106" s="137">
        <v>93</v>
      </c>
      <c r="B106" s="140" t="s">
        <v>181</v>
      </c>
      <c r="C106" s="141" t="s">
        <v>529</v>
      </c>
      <c r="D106" s="137" t="s">
        <v>44</v>
      </c>
      <c r="E106" s="163">
        <f t="shared" si="9"/>
        <v>0</v>
      </c>
      <c r="F106" s="145">
        <v>0</v>
      </c>
      <c r="G106" s="144">
        <f t="shared" si="10"/>
        <v>0</v>
      </c>
      <c r="H106" s="145">
        <v>0</v>
      </c>
      <c r="I106" s="146">
        <f t="shared" si="11"/>
        <v>0</v>
      </c>
    </row>
    <row r="107" spans="1:9" s="3" customFormat="1" ht="27">
      <c r="A107" s="137">
        <v>94</v>
      </c>
      <c r="B107" s="140" t="s">
        <v>182</v>
      </c>
      <c r="C107" s="141" t="s">
        <v>530</v>
      </c>
      <c r="D107" s="137" t="s">
        <v>44</v>
      </c>
      <c r="E107" s="163">
        <f t="shared" si="9"/>
        <v>0</v>
      </c>
      <c r="F107" s="145">
        <v>0</v>
      </c>
      <c r="G107" s="144">
        <f t="shared" si="10"/>
        <v>0</v>
      </c>
      <c r="H107" s="145">
        <v>0</v>
      </c>
      <c r="I107" s="146">
        <f t="shared" si="11"/>
        <v>0</v>
      </c>
    </row>
    <row r="108" spans="1:9" s="3" customFormat="1" ht="30.75" customHeight="1">
      <c r="A108" s="137">
        <v>95</v>
      </c>
      <c r="B108" s="140" t="s">
        <v>183</v>
      </c>
      <c r="C108" s="141" t="s">
        <v>531</v>
      </c>
      <c r="D108" s="137" t="s">
        <v>44</v>
      </c>
      <c r="E108" s="163">
        <f t="shared" si="9"/>
        <v>0</v>
      </c>
      <c r="F108" s="145">
        <v>0</v>
      </c>
      <c r="G108" s="144">
        <f t="shared" si="10"/>
        <v>0</v>
      </c>
      <c r="H108" s="145">
        <v>0</v>
      </c>
      <c r="I108" s="146">
        <f t="shared" si="11"/>
        <v>0</v>
      </c>
    </row>
    <row r="109" spans="1:9" s="3" customFormat="1" ht="27">
      <c r="A109" s="137">
        <v>96</v>
      </c>
      <c r="B109" s="140" t="s">
        <v>184</v>
      </c>
      <c r="C109" s="141" t="s">
        <v>532</v>
      </c>
      <c r="D109" s="137" t="s">
        <v>44</v>
      </c>
      <c r="E109" s="163">
        <f t="shared" si="9"/>
        <v>0</v>
      </c>
      <c r="F109" s="145">
        <v>0</v>
      </c>
      <c r="G109" s="144">
        <f t="shared" si="10"/>
        <v>0</v>
      </c>
      <c r="H109" s="145">
        <v>0</v>
      </c>
      <c r="I109" s="146">
        <f t="shared" si="11"/>
        <v>0</v>
      </c>
    </row>
    <row r="110" spans="1:9" s="3" customFormat="1" ht="33" customHeight="1">
      <c r="A110" s="137">
        <v>97</v>
      </c>
      <c r="B110" s="140" t="s">
        <v>185</v>
      </c>
      <c r="C110" s="141" t="s">
        <v>533</v>
      </c>
      <c r="D110" s="137" t="s">
        <v>44</v>
      </c>
      <c r="E110" s="163">
        <f t="shared" si="9"/>
        <v>0</v>
      </c>
      <c r="F110" s="145">
        <v>0</v>
      </c>
      <c r="G110" s="144">
        <f t="shared" si="10"/>
        <v>0</v>
      </c>
      <c r="H110" s="145">
        <v>0</v>
      </c>
      <c r="I110" s="146">
        <f t="shared" si="11"/>
        <v>0</v>
      </c>
    </row>
    <row r="111" spans="1:9" s="3" customFormat="1" ht="27">
      <c r="A111" s="137">
        <v>98</v>
      </c>
      <c r="B111" s="140" t="s">
        <v>393</v>
      </c>
      <c r="C111" s="141" t="s">
        <v>534</v>
      </c>
      <c r="D111" s="137" t="s">
        <v>44</v>
      </c>
      <c r="E111" s="163">
        <f t="shared" si="9"/>
        <v>0</v>
      </c>
      <c r="F111" s="145">
        <v>0</v>
      </c>
      <c r="G111" s="144">
        <f t="shared" si="10"/>
        <v>0</v>
      </c>
      <c r="H111" s="145">
        <v>0</v>
      </c>
      <c r="I111" s="146">
        <f t="shared" si="11"/>
        <v>0</v>
      </c>
    </row>
    <row r="112" spans="1:9" ht="13.5">
      <c r="A112" s="137">
        <v>99</v>
      </c>
      <c r="B112" s="148" t="s">
        <v>186</v>
      </c>
      <c r="C112" s="149" t="s">
        <v>187</v>
      </c>
      <c r="D112" s="137" t="s">
        <v>44</v>
      </c>
      <c r="E112" s="163">
        <f t="shared" si="9"/>
        <v>0</v>
      </c>
      <c r="F112" s="145">
        <v>0</v>
      </c>
      <c r="G112" s="144">
        <f t="shared" si="10"/>
        <v>0</v>
      </c>
      <c r="H112" s="145">
        <v>0</v>
      </c>
      <c r="I112" s="146">
        <f t="shared" si="11"/>
        <v>0</v>
      </c>
    </row>
    <row r="113" spans="1:9" ht="13.5">
      <c r="A113" s="137">
        <v>100</v>
      </c>
      <c r="B113" s="148" t="s">
        <v>188</v>
      </c>
      <c r="C113" s="149" t="s">
        <v>189</v>
      </c>
      <c r="D113" s="137" t="s">
        <v>44</v>
      </c>
      <c r="E113" s="163">
        <f t="shared" si="9"/>
        <v>0</v>
      </c>
      <c r="F113" s="145">
        <v>0</v>
      </c>
      <c r="G113" s="144">
        <f t="shared" si="10"/>
        <v>0</v>
      </c>
      <c r="H113" s="145">
        <v>0</v>
      </c>
      <c r="I113" s="146">
        <f t="shared" si="11"/>
        <v>0</v>
      </c>
    </row>
    <row r="114" spans="1:9" ht="13.5">
      <c r="A114" s="421" t="s">
        <v>190</v>
      </c>
      <c r="B114" s="421"/>
      <c r="C114" s="421"/>
      <c r="D114" s="154">
        <f>COUNTIF(D94:D113,"Da")</f>
        <v>0</v>
      </c>
      <c r="E114" s="155">
        <f>SUM(E94:E113)</f>
        <v>0</v>
      </c>
      <c r="F114" s="159">
        <f>COUNTIF(F94:F113,"&gt;0")</f>
        <v>0</v>
      </c>
      <c r="G114" s="157">
        <f>SUM(G94:G113)</f>
        <v>0</v>
      </c>
      <c r="H114" s="153" t="s">
        <v>52</v>
      </c>
      <c r="I114" s="158">
        <f>COUNTIF(I94:I113,"&gt;0")</f>
        <v>0</v>
      </c>
    </row>
    <row r="115" spans="1:9" ht="12" customHeight="1">
      <c r="A115" s="426" t="s">
        <v>191</v>
      </c>
      <c r="B115" s="426"/>
      <c r="C115" s="426"/>
      <c r="D115" s="426"/>
      <c r="E115" s="426"/>
      <c r="F115" s="426"/>
      <c r="G115" s="426"/>
      <c r="H115" s="426"/>
      <c r="I115" s="426"/>
    </row>
    <row r="116" spans="1:9" s="3" customFormat="1" ht="19.5" customHeight="1">
      <c r="A116" s="137">
        <v>1</v>
      </c>
      <c r="B116" s="140" t="s">
        <v>385</v>
      </c>
      <c r="C116" s="141" t="s">
        <v>389</v>
      </c>
      <c r="D116" s="137" t="s">
        <v>44</v>
      </c>
      <c r="E116" s="142">
        <f aca="true" t="shared" si="12" ref="E116:E123">IF(D116="Da",3,0)</f>
        <v>0</v>
      </c>
      <c r="F116" s="164">
        <v>0</v>
      </c>
      <c r="G116" s="144">
        <f aca="true" t="shared" si="13" ref="G116:G123">IF(F116&gt;=4,12+IF(F116&lt;13,(F116-4)*1.5,8*1.5),0)</f>
        <v>0</v>
      </c>
      <c r="H116" s="145">
        <v>0</v>
      </c>
      <c r="I116" s="146">
        <f aca="true" t="shared" si="14" ref="I116:I123">IF(H116&gt;=4,1,0)</f>
        <v>0</v>
      </c>
    </row>
    <row r="117" spans="1:9" s="3" customFormat="1" ht="23.25" customHeight="1">
      <c r="A117" s="137">
        <v>2</v>
      </c>
      <c r="B117" s="140" t="s">
        <v>386</v>
      </c>
      <c r="C117" s="141" t="s">
        <v>390</v>
      </c>
      <c r="D117" s="137" t="s">
        <v>44</v>
      </c>
      <c r="E117" s="142">
        <f t="shared" si="12"/>
        <v>0</v>
      </c>
      <c r="F117" s="164">
        <v>0</v>
      </c>
      <c r="G117" s="144">
        <f t="shared" si="13"/>
        <v>0</v>
      </c>
      <c r="H117" s="145">
        <v>0</v>
      </c>
      <c r="I117" s="146">
        <f t="shared" si="14"/>
        <v>0</v>
      </c>
    </row>
    <row r="118" spans="1:9" s="3" customFormat="1" ht="27">
      <c r="A118" s="137">
        <v>3</v>
      </c>
      <c r="B118" s="140" t="s">
        <v>387</v>
      </c>
      <c r="C118" s="141" t="s">
        <v>391</v>
      </c>
      <c r="D118" s="137" t="s">
        <v>44</v>
      </c>
      <c r="E118" s="142">
        <f t="shared" si="12"/>
        <v>0</v>
      </c>
      <c r="F118" s="164">
        <v>0</v>
      </c>
      <c r="G118" s="144">
        <f t="shared" si="13"/>
        <v>0</v>
      </c>
      <c r="H118" s="145">
        <v>0</v>
      </c>
      <c r="I118" s="146">
        <f t="shared" si="14"/>
        <v>0</v>
      </c>
    </row>
    <row r="119" spans="1:9" s="3" customFormat="1" ht="27">
      <c r="A119" s="137">
        <v>4</v>
      </c>
      <c r="B119" s="140" t="s">
        <v>388</v>
      </c>
      <c r="C119" s="141" t="s">
        <v>392</v>
      </c>
      <c r="D119" s="137" t="s">
        <v>44</v>
      </c>
      <c r="E119" s="142">
        <f t="shared" si="12"/>
        <v>0</v>
      </c>
      <c r="F119" s="164">
        <v>0</v>
      </c>
      <c r="G119" s="144">
        <f t="shared" si="13"/>
        <v>0</v>
      </c>
      <c r="H119" s="145">
        <v>0</v>
      </c>
      <c r="I119" s="146">
        <f t="shared" si="14"/>
        <v>0</v>
      </c>
    </row>
    <row r="120" spans="1:9" s="3" customFormat="1" ht="13.5">
      <c r="A120" s="137">
        <v>5</v>
      </c>
      <c r="B120" s="140" t="s">
        <v>192</v>
      </c>
      <c r="C120" s="141" t="s">
        <v>193</v>
      </c>
      <c r="D120" s="137" t="s">
        <v>44</v>
      </c>
      <c r="E120" s="142">
        <f t="shared" si="12"/>
        <v>0</v>
      </c>
      <c r="F120" s="164">
        <v>0</v>
      </c>
      <c r="G120" s="144">
        <f t="shared" si="13"/>
        <v>0</v>
      </c>
      <c r="H120" s="145">
        <v>0</v>
      </c>
      <c r="I120" s="146">
        <f t="shared" si="14"/>
        <v>0</v>
      </c>
    </row>
    <row r="121" spans="1:9" s="3" customFormat="1" ht="13.5">
      <c r="A121" s="137">
        <v>6</v>
      </c>
      <c r="B121" s="140" t="s">
        <v>194</v>
      </c>
      <c r="C121" s="141" t="s">
        <v>195</v>
      </c>
      <c r="D121" s="137" t="s">
        <v>44</v>
      </c>
      <c r="E121" s="142">
        <f t="shared" si="12"/>
        <v>0</v>
      </c>
      <c r="F121" s="164">
        <v>0</v>
      </c>
      <c r="G121" s="144">
        <f t="shared" si="13"/>
        <v>0</v>
      </c>
      <c r="H121" s="145">
        <v>0</v>
      </c>
      <c r="I121" s="146">
        <f t="shared" si="14"/>
        <v>0</v>
      </c>
    </row>
    <row r="122" spans="1:9" ht="13.5">
      <c r="A122" s="165">
        <v>7</v>
      </c>
      <c r="B122" s="166" t="s">
        <v>196</v>
      </c>
      <c r="C122" s="167" t="s">
        <v>197</v>
      </c>
      <c r="D122" s="137" t="s">
        <v>44</v>
      </c>
      <c r="E122" s="150">
        <f t="shared" si="12"/>
        <v>0</v>
      </c>
      <c r="F122" s="168">
        <v>0</v>
      </c>
      <c r="G122" s="151">
        <f t="shared" si="13"/>
        <v>0</v>
      </c>
      <c r="H122" s="152">
        <v>0</v>
      </c>
      <c r="I122" s="153">
        <f t="shared" si="14"/>
        <v>0</v>
      </c>
    </row>
    <row r="123" spans="1:9" ht="13.5">
      <c r="A123" s="165">
        <v>8</v>
      </c>
      <c r="B123" s="166" t="s">
        <v>198</v>
      </c>
      <c r="C123" s="167" t="s">
        <v>199</v>
      </c>
      <c r="D123" s="137" t="s">
        <v>44</v>
      </c>
      <c r="E123" s="150">
        <f t="shared" si="12"/>
        <v>0</v>
      </c>
      <c r="F123" s="168">
        <v>0</v>
      </c>
      <c r="G123" s="151">
        <f t="shared" si="13"/>
        <v>0</v>
      </c>
      <c r="H123" s="152">
        <v>0</v>
      </c>
      <c r="I123" s="153">
        <f t="shared" si="14"/>
        <v>0</v>
      </c>
    </row>
    <row r="124" spans="1:9" ht="12.75" customHeight="1">
      <c r="A124" s="421" t="s">
        <v>200</v>
      </c>
      <c r="B124" s="421"/>
      <c r="C124" s="421"/>
      <c r="D124" s="169">
        <f>COUNTIF(D116:D123,"Da")</f>
        <v>0</v>
      </c>
      <c r="E124" s="155">
        <f>SUM(E116:E123)</f>
        <v>0</v>
      </c>
      <c r="F124" s="156">
        <f>COUNTIF(F116:F123,"Da")</f>
        <v>0</v>
      </c>
      <c r="G124" s="157">
        <f>SUM(G116:G123)</f>
        <v>0</v>
      </c>
      <c r="H124" s="150" t="s">
        <v>52</v>
      </c>
      <c r="I124" s="158">
        <f>SUM(I116:I123)</f>
        <v>0</v>
      </c>
    </row>
    <row r="125" spans="1:9" ht="6.75" customHeight="1">
      <c r="A125" s="132"/>
      <c r="B125" s="170"/>
      <c r="C125" s="170"/>
      <c r="D125" s="170"/>
      <c r="E125" s="135"/>
      <c r="F125" s="132"/>
      <c r="G125" s="132"/>
      <c r="H125" s="132"/>
      <c r="I125" s="132"/>
    </row>
    <row r="126" spans="1:10" ht="57" customHeight="1">
      <c r="A126" s="132"/>
      <c r="B126" s="170"/>
      <c r="C126" s="171" t="s">
        <v>201</v>
      </c>
      <c r="D126" s="172" t="s">
        <v>342</v>
      </c>
      <c r="E126" s="172" t="s">
        <v>202</v>
      </c>
      <c r="F126" s="173" t="s">
        <v>498</v>
      </c>
      <c r="G126" s="173" t="s">
        <v>497</v>
      </c>
      <c r="H126" s="172" t="s">
        <v>496</v>
      </c>
      <c r="I126" s="132"/>
      <c r="J126" s="2"/>
    </row>
    <row r="127" spans="1:10" ht="13.5">
      <c r="A127" s="132"/>
      <c r="B127" s="170"/>
      <c r="C127" s="174" t="s">
        <v>203</v>
      </c>
      <c r="D127" s="175">
        <f>D18</f>
        <v>0</v>
      </c>
      <c r="E127" s="175">
        <f>E18</f>
        <v>0</v>
      </c>
      <c r="F127" s="176">
        <f>F18</f>
        <v>0</v>
      </c>
      <c r="G127" s="177">
        <f>G18</f>
        <v>0</v>
      </c>
      <c r="H127" s="178">
        <f>I18</f>
        <v>0</v>
      </c>
      <c r="I127" s="132"/>
      <c r="J127" s="2"/>
    </row>
    <row r="128" spans="1:10" ht="13.5">
      <c r="A128" s="132"/>
      <c r="B128" s="170"/>
      <c r="C128" s="174" t="s">
        <v>204</v>
      </c>
      <c r="D128" s="175">
        <f>D61</f>
        <v>0</v>
      </c>
      <c r="E128" s="175">
        <f>E61</f>
        <v>0</v>
      </c>
      <c r="F128" s="176">
        <f>F61</f>
        <v>0</v>
      </c>
      <c r="G128" s="177">
        <f>G61</f>
        <v>0</v>
      </c>
      <c r="H128" s="178">
        <f>I61</f>
        <v>0</v>
      </c>
      <c r="I128" s="132"/>
      <c r="J128" s="2"/>
    </row>
    <row r="129" spans="1:10" ht="13.5">
      <c r="A129" s="132"/>
      <c r="B129" s="170"/>
      <c r="C129" s="174" t="s">
        <v>205</v>
      </c>
      <c r="D129" s="175">
        <f>D92</f>
        <v>0</v>
      </c>
      <c r="E129" s="175">
        <f>E92</f>
        <v>0</v>
      </c>
      <c r="F129" s="176">
        <f>F92</f>
        <v>0</v>
      </c>
      <c r="G129" s="177">
        <f>G92</f>
        <v>0</v>
      </c>
      <c r="H129" s="178">
        <f>I92</f>
        <v>0</v>
      </c>
      <c r="I129" s="132"/>
      <c r="J129" s="2"/>
    </row>
    <row r="130" spans="1:10" ht="13.5">
      <c r="A130" s="132"/>
      <c r="B130" s="170"/>
      <c r="C130" s="174" t="s">
        <v>206</v>
      </c>
      <c r="D130" s="175">
        <f>D114</f>
        <v>0</v>
      </c>
      <c r="E130" s="175">
        <f>E114</f>
        <v>0</v>
      </c>
      <c r="F130" s="176">
        <f>F114</f>
        <v>0</v>
      </c>
      <c r="G130" s="177">
        <f>G114</f>
        <v>0</v>
      </c>
      <c r="H130" s="178">
        <f>I114</f>
        <v>0</v>
      </c>
      <c r="I130" s="132"/>
      <c r="J130" s="2"/>
    </row>
    <row r="131" spans="1:10" ht="13.5">
      <c r="A131" s="132"/>
      <c r="B131" s="170"/>
      <c r="C131" s="174" t="s">
        <v>207</v>
      </c>
      <c r="D131" s="175">
        <f>D124</f>
        <v>0</v>
      </c>
      <c r="E131" s="175">
        <f>E124</f>
        <v>0</v>
      </c>
      <c r="F131" s="176">
        <f>F124</f>
        <v>0</v>
      </c>
      <c r="G131" s="177">
        <f>G124</f>
        <v>0</v>
      </c>
      <c r="H131" s="178">
        <f>I124</f>
        <v>0</v>
      </c>
      <c r="I131" s="132"/>
      <c r="J131" s="2"/>
    </row>
    <row r="132" spans="1:10" ht="13.5">
      <c r="A132" s="132"/>
      <c r="B132" s="170"/>
      <c r="C132" s="179" t="s">
        <v>208</v>
      </c>
      <c r="D132" s="180">
        <f>SUM(D127:D131)</f>
        <v>0</v>
      </c>
      <c r="E132" s="180">
        <f>SUM(E127:E131)</f>
        <v>0</v>
      </c>
      <c r="F132" s="181">
        <f>SUM(F127:F131)</f>
        <v>0</v>
      </c>
      <c r="G132" s="182">
        <f>SUM(G127:G131)</f>
        <v>0</v>
      </c>
      <c r="H132" s="183">
        <f>SUM(H127:H131)</f>
        <v>0</v>
      </c>
      <c r="I132" s="132"/>
      <c r="J132" s="2"/>
    </row>
    <row r="133" spans="1:9" ht="13.5">
      <c r="A133" s="132"/>
      <c r="B133" s="184" t="s">
        <v>210</v>
      </c>
      <c r="C133" s="170"/>
      <c r="D133" s="170"/>
      <c r="E133" s="135"/>
      <c r="F133" s="132"/>
      <c r="G133" s="132"/>
      <c r="H133" s="132"/>
      <c r="I133" s="132"/>
    </row>
    <row r="134" spans="1:9" ht="13.5">
      <c r="A134" s="132"/>
      <c r="B134" s="170"/>
      <c r="C134" s="185" t="s">
        <v>380</v>
      </c>
      <c r="D134" s="185"/>
      <c r="E134" s="135"/>
      <c r="F134" s="132"/>
      <c r="G134" s="132" t="s">
        <v>13</v>
      </c>
      <c r="H134" s="132"/>
      <c r="I134" s="132"/>
    </row>
    <row r="135" spans="1:9" ht="13.5">
      <c r="A135" s="132"/>
      <c r="B135" s="170"/>
      <c r="C135" s="186" t="s">
        <v>209</v>
      </c>
      <c r="D135" s="186"/>
      <c r="E135" s="135"/>
      <c r="F135" s="132"/>
      <c r="G135" s="132" t="s">
        <v>486</v>
      </c>
      <c r="H135" s="132"/>
      <c r="I135" s="132"/>
    </row>
    <row r="136" spans="1:9" ht="13.5">
      <c r="A136" s="132"/>
      <c r="B136" s="170"/>
      <c r="C136" s="187" t="str">
        <f>PROPER(Furnizor!AO20)</f>
        <v>Nume Repl Legal Prenume Repl</v>
      </c>
      <c r="D136" s="186"/>
      <c r="E136" s="135"/>
      <c r="F136" s="132"/>
      <c r="G136" s="132"/>
      <c r="H136" s="132"/>
      <c r="I136" s="132"/>
    </row>
    <row r="137" spans="1:9" ht="13.5">
      <c r="A137" s="132"/>
      <c r="B137" s="170"/>
      <c r="C137" s="188" t="s">
        <v>381</v>
      </c>
      <c r="D137" s="188"/>
      <c r="E137" s="135"/>
      <c r="F137" s="132"/>
      <c r="G137" s="132"/>
      <c r="H137" s="132"/>
      <c r="I137" s="132"/>
    </row>
    <row r="138" ht="12.75">
      <c r="B138" s="5"/>
    </row>
    <row r="139" ht="12.75">
      <c r="B139" s="5"/>
    </row>
    <row r="140" ht="12.75">
      <c r="B140" s="5"/>
    </row>
  </sheetData>
  <sheetProtection password="FD18" sheet="1" objects="1" scenarios="1"/>
  <mergeCells count="12">
    <mergeCell ref="C1:F1"/>
    <mergeCell ref="A62:I62"/>
    <mergeCell ref="A92:C92"/>
    <mergeCell ref="A93:I93"/>
    <mergeCell ref="A114:C114"/>
    <mergeCell ref="A115:I115"/>
    <mergeCell ref="A124:C124"/>
    <mergeCell ref="B2:C2"/>
    <mergeCell ref="A7:I7"/>
    <mergeCell ref="A18:C18"/>
    <mergeCell ref="A19:I19"/>
    <mergeCell ref="A61:C61"/>
  </mergeCells>
  <dataValidations count="5">
    <dataValidation type="list" allowBlank="1" showErrorMessage="1" sqref="D20:D60 D116:D123 D8:D17 D63:D91 D94:D113">
      <formula1>"Da,Nu"</formula1>
      <formula2>0</formula2>
    </dataValidation>
    <dataValidation type="whole" allowBlank="1" showErrorMessage="1" error="Nr.maxim de participari: 12" sqref="F116:F123 F63:F91 F20:F60 F94:F113">
      <formula1>0</formula1>
      <formula2>12</formula2>
    </dataValidation>
    <dataValidation type="whole" allowBlank="1" showErrorMessage="1" error="Nr. maxim de participari: 12" sqref="F8:F17">
      <formula1>0</formula1>
      <formula2>12</formula2>
    </dataValidation>
    <dataValidation type="whole" allowBlank="1" showErrorMessage="1" error="Nr. maxim de participari 12" sqref="H116:H123 H8:H17 H63:H91 H20:H60 H94:H113">
      <formula1>0</formula1>
      <formula2>12</formula2>
    </dataValidation>
    <dataValidation allowBlank="1" showInputMessage="1" showErrorMessage="1" prompt="Data de forma zz-ll-aaaa" sqref="E4">
      <formula1>0</formula1>
      <formula2>0</formula2>
    </dataValidation>
  </dataValidations>
  <printOptions horizontalCentered="1"/>
  <pageMargins left="0.1968503937007874" right="0.1968503937007874" top="0.3937007874015748" bottom="0.1968503937007874"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2:F18"/>
  <sheetViews>
    <sheetView zoomScalePageLayoutView="0" workbookViewId="0" topLeftCell="A7">
      <selection activeCell="E13" sqref="E13"/>
    </sheetView>
  </sheetViews>
  <sheetFormatPr defaultColWidth="9.140625" defaultRowHeight="12.75"/>
  <cols>
    <col min="1" max="1" width="15.140625" style="315" customWidth="1"/>
    <col min="2" max="2" width="54.8515625" style="315" customWidth="1"/>
    <col min="3" max="3" width="22.57421875" style="315" customWidth="1"/>
    <col min="4" max="4" width="17.140625" style="315" customWidth="1"/>
    <col min="5" max="5" width="9.421875" style="315" customWidth="1"/>
    <col min="6" max="6" width="9.140625" style="315" customWidth="1"/>
    <col min="7" max="16384" width="9.140625" style="315" customWidth="1"/>
  </cols>
  <sheetData>
    <row r="1" ht="12.75"/>
    <row r="2" spans="1:4" ht="38.25">
      <c r="A2" s="358" t="s">
        <v>14</v>
      </c>
      <c r="B2" s="314" t="str">
        <f>PROPER(Furnizor!B2)</f>
        <v>Sc  Denumire Furnizor Srl</v>
      </c>
      <c r="D2" s="316"/>
    </row>
    <row r="3" spans="1:4" s="317" customFormat="1" ht="18" customHeight="1">
      <c r="A3" s="359" t="s">
        <v>15</v>
      </c>
      <c r="B3" s="314" t="str">
        <f>PROPER(Furnizor!AO27)</f>
        <v>Loc.Constanta Str.Nume Strada Punct De Lucru Nr.1 </v>
      </c>
      <c r="D3" s="318"/>
    </row>
    <row r="4" spans="1:4" s="317" customFormat="1" ht="18" customHeight="1">
      <c r="A4" s="359" t="s">
        <v>16</v>
      </c>
      <c r="B4" s="319" t="str">
        <f>PROPER(Furnizor!C4)</f>
        <v>Lxx</v>
      </c>
      <c r="D4" s="318"/>
    </row>
    <row r="5" spans="1:4" s="317" customFormat="1" ht="15.75" customHeight="1">
      <c r="A5" s="360" t="s">
        <v>289</v>
      </c>
      <c r="B5" s="314" t="str">
        <f>PROPER(Furnizor!C5)</f>
        <v>11111111</v>
      </c>
      <c r="D5" s="306" t="s">
        <v>13</v>
      </c>
    </row>
    <row r="6" spans="2:4" ht="13.5" thickBot="1">
      <c r="B6" s="429" t="s">
        <v>566</v>
      </c>
      <c r="C6" s="429"/>
      <c r="D6" s="320" t="s">
        <v>401</v>
      </c>
    </row>
    <row r="7" spans="1:5" s="324" customFormat="1" ht="25.5">
      <c r="A7" s="321" t="s">
        <v>17</v>
      </c>
      <c r="B7" s="427" t="s">
        <v>355</v>
      </c>
      <c r="C7" s="427"/>
      <c r="D7" s="322" t="s">
        <v>368</v>
      </c>
      <c r="E7" s="323" t="s">
        <v>367</v>
      </c>
    </row>
    <row r="8" spans="1:5" ht="26.25" customHeight="1">
      <c r="A8" s="432" t="s">
        <v>356</v>
      </c>
      <c r="B8" s="430" t="s">
        <v>357</v>
      </c>
      <c r="C8" s="345" t="s">
        <v>358</v>
      </c>
      <c r="D8" s="356"/>
      <c r="E8" s="325">
        <f>IF(D8="Da",3,0)</f>
        <v>0</v>
      </c>
    </row>
    <row r="9" spans="1:5" ht="39" customHeight="1">
      <c r="A9" s="432"/>
      <c r="B9" s="431"/>
      <c r="C9" s="346" t="s">
        <v>359</v>
      </c>
      <c r="D9" s="356"/>
      <c r="E9" s="325">
        <f>IF(D9="Da",4,0)</f>
        <v>0</v>
      </c>
    </row>
    <row r="10" spans="1:5" ht="102.75" customHeight="1">
      <c r="A10" s="352">
        <v>2</v>
      </c>
      <c r="B10" s="347" t="s">
        <v>563</v>
      </c>
      <c r="C10" s="348" t="s">
        <v>360</v>
      </c>
      <c r="D10" s="356"/>
      <c r="E10" s="325">
        <f>IF(D10="Da",10,0)</f>
        <v>0</v>
      </c>
    </row>
    <row r="11" spans="1:5" ht="42" customHeight="1">
      <c r="A11" s="353" t="s">
        <v>361</v>
      </c>
      <c r="B11" s="349" t="s">
        <v>564</v>
      </c>
      <c r="C11" s="350" t="s">
        <v>365</v>
      </c>
      <c r="D11" s="356"/>
      <c r="E11" s="325">
        <f>IF(D11="Da",2,0)</f>
        <v>0</v>
      </c>
    </row>
    <row r="12" spans="1:5" ht="27.75" customHeight="1">
      <c r="A12" s="354" t="s">
        <v>362</v>
      </c>
      <c r="B12" s="433" t="s">
        <v>363</v>
      </c>
      <c r="C12" s="433"/>
      <c r="D12" s="356"/>
      <c r="E12" s="325">
        <f>IF(D12="Da",5,0)</f>
        <v>0</v>
      </c>
    </row>
    <row r="13" spans="1:5" ht="66" customHeight="1">
      <c r="A13" s="355" t="s">
        <v>556</v>
      </c>
      <c r="B13" s="351" t="s">
        <v>557</v>
      </c>
      <c r="C13" s="351" t="s">
        <v>562</v>
      </c>
      <c r="D13" s="356" t="s">
        <v>44</v>
      </c>
      <c r="E13" s="357"/>
    </row>
    <row r="14" spans="1:6" s="324" customFormat="1" ht="27.75" customHeight="1">
      <c r="A14" s="428" t="s">
        <v>565</v>
      </c>
      <c r="B14" s="428"/>
      <c r="C14" s="428"/>
      <c r="D14" s="326" t="s">
        <v>366</v>
      </c>
      <c r="E14" s="327">
        <f>SUM(E8:E13)</f>
        <v>0</v>
      </c>
      <c r="F14" s="326"/>
    </row>
    <row r="15" spans="1:6" ht="12.75">
      <c r="A15" s="328" t="s">
        <v>364</v>
      </c>
      <c r="B15" s="329"/>
      <c r="C15" s="329"/>
      <c r="D15" s="330"/>
      <c r="E15" s="317"/>
      <c r="F15" s="324"/>
    </row>
    <row r="16" spans="1:6" ht="12.75">
      <c r="A16" s="331"/>
      <c r="B16" s="332"/>
      <c r="C16" s="333"/>
      <c r="D16" s="333" t="s">
        <v>290</v>
      </c>
      <c r="E16" s="324"/>
      <c r="F16" s="324"/>
    </row>
    <row r="17" spans="1:6" ht="12.75">
      <c r="A17" s="334"/>
      <c r="B17" s="326"/>
      <c r="C17" s="326"/>
      <c r="D17" s="335" t="str">
        <f>PROPER(Furnizor!AO20)</f>
        <v>Nume Repl Legal Prenume Repl</v>
      </c>
      <c r="E17" s="324"/>
      <c r="F17" s="324"/>
    </row>
    <row r="18" ht="12.75">
      <c r="D18" s="315" t="s">
        <v>381</v>
      </c>
    </row>
  </sheetData>
  <sheetProtection password="FD18" sheet="1" objects="1" scenarios="1"/>
  <mergeCells count="6">
    <mergeCell ref="B7:C7"/>
    <mergeCell ref="A14:C14"/>
    <mergeCell ref="B6:C6"/>
    <mergeCell ref="B8:B9"/>
    <mergeCell ref="A8:A9"/>
    <mergeCell ref="B12:C12"/>
  </mergeCells>
  <dataValidations count="1">
    <dataValidation type="list" allowBlank="1" showInputMessage="1" showErrorMessage="1" sqref="D8:D13">
      <formula1>"Nu,Da"</formula1>
    </dataValidation>
  </dataValidations>
  <printOptions horizontalCentered="1"/>
  <pageMargins left="0.1968503937007874" right="0.1968503937007874" top="0.3937007874015748" bottom="0.1968503937007874"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2:X51"/>
  <sheetViews>
    <sheetView zoomScalePageLayoutView="0" workbookViewId="0" topLeftCell="A19">
      <selection activeCell="B40" sqref="B40"/>
    </sheetView>
  </sheetViews>
  <sheetFormatPr defaultColWidth="19.7109375" defaultRowHeight="12.75"/>
  <cols>
    <col min="1" max="1" width="4.421875" style="364" customWidth="1"/>
    <col min="2" max="2" width="16.00390625" style="363" customWidth="1"/>
    <col min="3" max="3" width="10.8515625" style="363" bestFit="1" customWidth="1"/>
    <col min="4" max="4" width="6.57421875" style="363" customWidth="1"/>
    <col min="5" max="5" width="6.00390625" style="363" customWidth="1"/>
    <col min="6" max="7" width="8.28125" style="364" customWidth="1"/>
    <col min="8" max="8" width="10.7109375" style="363" customWidth="1"/>
    <col min="9" max="9" width="10.421875" style="363" customWidth="1"/>
    <col min="10" max="11" width="8.57421875" style="363" customWidth="1"/>
    <col min="12" max="12" width="8.28125" style="363" customWidth="1"/>
    <col min="13" max="13" width="12.28125" style="363" customWidth="1"/>
    <col min="14" max="14" width="9.28125" style="363" customWidth="1"/>
    <col min="15" max="15" width="7.8515625" style="363" customWidth="1"/>
    <col min="16" max="16" width="8.140625" style="363" customWidth="1"/>
    <col min="17" max="17" width="9.28125" style="363" customWidth="1"/>
    <col min="18" max="18" width="6.28125" style="363" customWidth="1"/>
    <col min="19" max="19" width="8.28125" style="363" customWidth="1"/>
    <col min="20" max="20" width="7.28125" style="363" customWidth="1"/>
    <col min="21" max="21" width="6.28125" style="363" customWidth="1"/>
    <col min="22" max="23" width="6.57421875" style="363" customWidth="1"/>
    <col min="24" max="24" width="5.8515625" style="363" customWidth="1"/>
    <col min="25" max="16384" width="19.7109375" style="363" customWidth="1"/>
  </cols>
  <sheetData>
    <row r="1" ht="12.75"/>
    <row r="2" spans="8:14" ht="12.75">
      <c r="H2" s="367" t="s">
        <v>432</v>
      </c>
      <c r="N2" s="368" t="s">
        <v>573</v>
      </c>
    </row>
    <row r="3" ht="12.75">
      <c r="D3" s="369" t="s">
        <v>433</v>
      </c>
    </row>
    <row r="4" ht="13.5" thickBot="1"/>
    <row r="5" spans="1:24" ht="13.5" customHeight="1">
      <c r="A5" s="451" t="s">
        <v>17</v>
      </c>
      <c r="B5" s="443" t="s">
        <v>434</v>
      </c>
      <c r="C5" s="447" t="s">
        <v>9</v>
      </c>
      <c r="D5" s="443" t="s">
        <v>435</v>
      </c>
      <c r="E5" s="447" t="s">
        <v>436</v>
      </c>
      <c r="F5" s="447"/>
      <c r="G5" s="447"/>
      <c r="H5" s="440" t="s">
        <v>437</v>
      </c>
      <c r="I5" s="447" t="s">
        <v>438</v>
      </c>
      <c r="J5" s="447"/>
      <c r="K5" s="443" t="s">
        <v>11</v>
      </c>
      <c r="L5" s="443"/>
      <c r="M5" s="443" t="s">
        <v>439</v>
      </c>
      <c r="N5" s="443"/>
      <c r="O5" s="443"/>
      <c r="P5" s="443"/>
      <c r="Q5" s="447" t="s">
        <v>440</v>
      </c>
      <c r="R5" s="447"/>
      <c r="S5" s="447"/>
      <c r="T5" s="443" t="s">
        <v>441</v>
      </c>
      <c r="U5" s="443"/>
      <c r="V5" s="443"/>
      <c r="W5" s="443" t="s">
        <v>558</v>
      </c>
      <c r="X5" s="444" t="s">
        <v>442</v>
      </c>
    </row>
    <row r="6" spans="1:24" ht="12" customHeight="1">
      <c r="A6" s="452"/>
      <c r="B6" s="438"/>
      <c r="C6" s="434"/>
      <c r="D6" s="438"/>
      <c r="E6" s="434"/>
      <c r="F6" s="434"/>
      <c r="G6" s="434"/>
      <c r="H6" s="441"/>
      <c r="I6" s="434"/>
      <c r="J6" s="434"/>
      <c r="K6" s="438"/>
      <c r="L6" s="438"/>
      <c r="M6" s="438"/>
      <c r="N6" s="438"/>
      <c r="O6" s="438"/>
      <c r="P6" s="438"/>
      <c r="Q6" s="434"/>
      <c r="R6" s="434"/>
      <c r="S6" s="434"/>
      <c r="T6" s="438"/>
      <c r="U6" s="438"/>
      <c r="V6" s="438"/>
      <c r="W6" s="438"/>
      <c r="X6" s="445"/>
    </row>
    <row r="7" spans="1:24" ht="12" customHeight="1">
      <c r="A7" s="452"/>
      <c r="B7" s="438"/>
      <c r="C7" s="434"/>
      <c r="D7" s="438"/>
      <c r="E7" s="434"/>
      <c r="F7" s="434"/>
      <c r="G7" s="434"/>
      <c r="H7" s="441"/>
      <c r="I7" s="434"/>
      <c r="J7" s="434"/>
      <c r="K7" s="438"/>
      <c r="L7" s="438"/>
      <c r="M7" s="438"/>
      <c r="N7" s="438"/>
      <c r="O7" s="438"/>
      <c r="P7" s="438"/>
      <c r="Q7" s="434"/>
      <c r="R7" s="434"/>
      <c r="S7" s="434"/>
      <c r="T7" s="438"/>
      <c r="U7" s="438"/>
      <c r="V7" s="438"/>
      <c r="W7" s="438"/>
      <c r="X7" s="445"/>
    </row>
    <row r="8" spans="1:24" ht="12.75" customHeight="1">
      <c r="A8" s="452"/>
      <c r="B8" s="438"/>
      <c r="C8" s="434"/>
      <c r="D8" s="438"/>
      <c r="E8" s="434"/>
      <c r="F8" s="434"/>
      <c r="G8" s="434"/>
      <c r="H8" s="441"/>
      <c r="I8" s="434"/>
      <c r="J8" s="434"/>
      <c r="K8" s="438"/>
      <c r="L8" s="438"/>
      <c r="M8" s="438"/>
      <c r="N8" s="438"/>
      <c r="O8" s="438"/>
      <c r="P8" s="438"/>
      <c r="Q8" s="434"/>
      <c r="R8" s="434"/>
      <c r="S8" s="434"/>
      <c r="T8" s="438"/>
      <c r="U8" s="438"/>
      <c r="V8" s="438"/>
      <c r="W8" s="438"/>
      <c r="X8" s="445"/>
    </row>
    <row r="9" spans="1:24" ht="12.75" customHeight="1">
      <c r="A9" s="452"/>
      <c r="B9" s="438"/>
      <c r="C9" s="434"/>
      <c r="D9" s="438"/>
      <c r="E9" s="434" t="s">
        <v>443</v>
      </c>
      <c r="F9" s="434" t="s">
        <v>444</v>
      </c>
      <c r="G9" s="434" t="s">
        <v>560</v>
      </c>
      <c r="H9" s="441"/>
      <c r="I9" s="434" t="s">
        <v>445</v>
      </c>
      <c r="J9" s="438" t="s">
        <v>446</v>
      </c>
      <c r="K9" s="436" t="s">
        <v>11</v>
      </c>
      <c r="L9" s="438" t="s">
        <v>446</v>
      </c>
      <c r="M9" s="434" t="s">
        <v>443</v>
      </c>
      <c r="N9" s="434" t="s">
        <v>447</v>
      </c>
      <c r="O9" s="434" t="s">
        <v>444</v>
      </c>
      <c r="P9" s="434" t="s">
        <v>448</v>
      </c>
      <c r="Q9" s="434" t="s">
        <v>449</v>
      </c>
      <c r="R9" s="434" t="s">
        <v>450</v>
      </c>
      <c r="S9" s="434" t="s">
        <v>451</v>
      </c>
      <c r="T9" s="448" t="s">
        <v>452</v>
      </c>
      <c r="U9" s="434" t="s">
        <v>453</v>
      </c>
      <c r="V9" s="438" t="s">
        <v>454</v>
      </c>
      <c r="W9" s="438"/>
      <c r="X9" s="445"/>
    </row>
    <row r="10" spans="1:24" ht="12.75" customHeight="1">
      <c r="A10" s="452"/>
      <c r="B10" s="438"/>
      <c r="C10" s="434"/>
      <c r="D10" s="438"/>
      <c r="E10" s="434"/>
      <c r="F10" s="434"/>
      <c r="G10" s="434"/>
      <c r="H10" s="441"/>
      <c r="I10" s="434"/>
      <c r="J10" s="438"/>
      <c r="K10" s="436"/>
      <c r="L10" s="438"/>
      <c r="M10" s="434"/>
      <c r="N10" s="434"/>
      <c r="O10" s="434"/>
      <c r="P10" s="434"/>
      <c r="Q10" s="434"/>
      <c r="R10" s="434"/>
      <c r="S10" s="434"/>
      <c r="T10" s="448"/>
      <c r="U10" s="434"/>
      <c r="V10" s="438"/>
      <c r="W10" s="438"/>
      <c r="X10" s="445"/>
    </row>
    <row r="11" spans="1:24" ht="13.5" customHeight="1" thickBot="1">
      <c r="A11" s="453"/>
      <c r="B11" s="439"/>
      <c r="C11" s="435"/>
      <c r="D11" s="439"/>
      <c r="E11" s="435"/>
      <c r="F11" s="435"/>
      <c r="G11" s="435"/>
      <c r="H11" s="442"/>
      <c r="I11" s="435"/>
      <c r="J11" s="439"/>
      <c r="K11" s="437"/>
      <c r="L11" s="439"/>
      <c r="M11" s="435"/>
      <c r="N11" s="435"/>
      <c r="O11" s="435"/>
      <c r="P11" s="435"/>
      <c r="Q11" s="435"/>
      <c r="R11" s="435"/>
      <c r="S11" s="435"/>
      <c r="T11" s="449"/>
      <c r="U11" s="435"/>
      <c r="V11" s="439"/>
      <c r="W11" s="439"/>
      <c r="X11" s="446"/>
    </row>
    <row r="12" spans="1:24" s="371" customFormat="1" ht="12.75">
      <c r="A12" s="450">
        <v>1</v>
      </c>
      <c r="B12" s="450" t="s">
        <v>561</v>
      </c>
      <c r="C12" s="456">
        <v>1234567891011</v>
      </c>
      <c r="D12" s="450">
        <v>112233</v>
      </c>
      <c r="E12" s="450">
        <v>6784</v>
      </c>
      <c r="F12" s="458">
        <v>45272</v>
      </c>
      <c r="G12" s="458">
        <v>45272</v>
      </c>
      <c r="H12" s="460" t="s">
        <v>212</v>
      </c>
      <c r="I12" s="450" t="s">
        <v>464</v>
      </c>
      <c r="J12" s="458">
        <v>45272</v>
      </c>
      <c r="K12" s="454" t="s">
        <v>213</v>
      </c>
      <c r="L12" s="458">
        <v>45274</v>
      </c>
      <c r="M12" s="462" t="s">
        <v>455</v>
      </c>
      <c r="N12" s="450">
        <v>345000</v>
      </c>
      <c r="O12" s="458">
        <v>45274</v>
      </c>
      <c r="P12" s="450"/>
      <c r="Q12" s="450"/>
      <c r="R12" s="450"/>
      <c r="S12" s="458">
        <v>45276</v>
      </c>
      <c r="T12" s="370" t="s">
        <v>291</v>
      </c>
      <c r="U12" s="340" t="s">
        <v>456</v>
      </c>
      <c r="V12" s="340" t="s">
        <v>457</v>
      </c>
      <c r="W12" s="450" t="s">
        <v>44</v>
      </c>
      <c r="X12" s="450">
        <v>35</v>
      </c>
    </row>
    <row r="13" spans="1:24" s="371" customFormat="1" ht="12.75">
      <c r="A13" s="438"/>
      <c r="B13" s="438"/>
      <c r="C13" s="457"/>
      <c r="D13" s="438"/>
      <c r="E13" s="438"/>
      <c r="F13" s="459"/>
      <c r="G13" s="459"/>
      <c r="H13" s="461"/>
      <c r="I13" s="438"/>
      <c r="J13" s="459"/>
      <c r="K13" s="455"/>
      <c r="L13" s="459"/>
      <c r="M13" s="463"/>
      <c r="N13" s="438"/>
      <c r="O13" s="459"/>
      <c r="P13" s="438"/>
      <c r="Q13" s="438"/>
      <c r="R13" s="438"/>
      <c r="S13" s="459"/>
      <c r="T13" s="311" t="s">
        <v>308</v>
      </c>
      <c r="U13" s="309" t="s">
        <v>456</v>
      </c>
      <c r="V13" s="309" t="s">
        <v>457</v>
      </c>
      <c r="W13" s="438"/>
      <c r="X13" s="438"/>
    </row>
    <row r="14" spans="1:24" s="371" customFormat="1" ht="12.75">
      <c r="A14" s="438"/>
      <c r="B14" s="438"/>
      <c r="C14" s="457"/>
      <c r="D14" s="438"/>
      <c r="E14" s="438"/>
      <c r="F14" s="459"/>
      <c r="G14" s="459"/>
      <c r="H14" s="461"/>
      <c r="I14" s="438"/>
      <c r="J14" s="459"/>
      <c r="K14" s="455"/>
      <c r="L14" s="459"/>
      <c r="M14" s="463"/>
      <c r="N14" s="438"/>
      <c r="O14" s="459"/>
      <c r="P14" s="438"/>
      <c r="Q14" s="438"/>
      <c r="R14" s="438"/>
      <c r="S14" s="459"/>
      <c r="T14" s="311" t="s">
        <v>292</v>
      </c>
      <c r="U14" s="309" t="s">
        <v>465</v>
      </c>
      <c r="V14" s="309" t="s">
        <v>466</v>
      </c>
      <c r="W14" s="438"/>
      <c r="X14" s="438"/>
    </row>
    <row r="15" spans="1:24" s="371" customFormat="1" ht="12.75" customHeight="1">
      <c r="A15" s="438"/>
      <c r="B15" s="438"/>
      <c r="C15" s="457"/>
      <c r="D15" s="438"/>
      <c r="E15" s="438"/>
      <c r="F15" s="459"/>
      <c r="G15" s="459"/>
      <c r="H15" s="461"/>
      <c r="I15" s="438"/>
      <c r="J15" s="459"/>
      <c r="K15" s="455"/>
      <c r="L15" s="459"/>
      <c r="M15" s="463"/>
      <c r="N15" s="438"/>
      <c r="O15" s="459"/>
      <c r="P15" s="438"/>
      <c r="Q15" s="438"/>
      <c r="R15" s="438"/>
      <c r="S15" s="459"/>
      <c r="T15" s="311" t="s">
        <v>293</v>
      </c>
      <c r="U15" s="309"/>
      <c r="V15" s="309"/>
      <c r="W15" s="438"/>
      <c r="X15" s="438"/>
    </row>
    <row r="16" spans="1:24" s="371" customFormat="1" ht="12.75" customHeight="1">
      <c r="A16" s="438"/>
      <c r="B16" s="438"/>
      <c r="C16" s="457"/>
      <c r="D16" s="438"/>
      <c r="E16" s="438"/>
      <c r="F16" s="459"/>
      <c r="G16" s="459"/>
      <c r="H16" s="461"/>
      <c r="I16" s="438"/>
      <c r="J16" s="459"/>
      <c r="K16" s="455"/>
      <c r="L16" s="459"/>
      <c r="M16" s="463"/>
      <c r="N16" s="438"/>
      <c r="O16" s="459"/>
      <c r="P16" s="438"/>
      <c r="Q16" s="438"/>
      <c r="R16" s="438"/>
      <c r="S16" s="459"/>
      <c r="T16" s="311" t="s">
        <v>294</v>
      </c>
      <c r="U16" s="309"/>
      <c r="V16" s="309"/>
      <c r="W16" s="438"/>
      <c r="X16" s="438"/>
    </row>
    <row r="17" spans="1:24" s="371" customFormat="1" ht="12.75" customHeight="1">
      <c r="A17" s="438"/>
      <c r="B17" s="438"/>
      <c r="C17" s="457"/>
      <c r="D17" s="438"/>
      <c r="E17" s="438"/>
      <c r="F17" s="459"/>
      <c r="G17" s="459"/>
      <c r="H17" s="461"/>
      <c r="I17" s="438"/>
      <c r="J17" s="459"/>
      <c r="K17" s="455"/>
      <c r="L17" s="459"/>
      <c r="M17" s="463"/>
      <c r="N17" s="438"/>
      <c r="O17" s="459"/>
      <c r="P17" s="438"/>
      <c r="Q17" s="438"/>
      <c r="R17" s="438"/>
      <c r="S17" s="459"/>
      <c r="T17" s="311" t="s">
        <v>309</v>
      </c>
      <c r="U17" s="309"/>
      <c r="V17" s="309"/>
      <c r="W17" s="438"/>
      <c r="X17" s="438"/>
    </row>
    <row r="18" spans="1:24" s="371" customFormat="1" ht="12.75" customHeight="1">
      <c r="A18" s="438"/>
      <c r="B18" s="438"/>
      <c r="C18" s="457"/>
      <c r="D18" s="438"/>
      <c r="E18" s="438"/>
      <c r="F18" s="459"/>
      <c r="G18" s="459"/>
      <c r="H18" s="461"/>
      <c r="I18" s="438"/>
      <c r="J18" s="459"/>
      <c r="K18" s="455"/>
      <c r="L18" s="459"/>
      <c r="M18" s="463"/>
      <c r="N18" s="438"/>
      <c r="O18" s="459"/>
      <c r="P18" s="438"/>
      <c r="Q18" s="438"/>
      <c r="R18" s="438"/>
      <c r="S18" s="459"/>
      <c r="T18" s="311" t="s">
        <v>310</v>
      </c>
      <c r="U18" s="309"/>
      <c r="V18" s="309"/>
      <c r="W18" s="438"/>
      <c r="X18" s="438"/>
    </row>
    <row r="19" spans="1:24" s="371" customFormat="1" ht="12" customHeight="1">
      <c r="A19" s="438">
        <v>2</v>
      </c>
      <c r="B19" s="438"/>
      <c r="C19" s="457"/>
      <c r="D19" s="438"/>
      <c r="E19" s="438"/>
      <c r="F19" s="459"/>
      <c r="G19" s="459"/>
      <c r="H19" s="461" t="s">
        <v>574</v>
      </c>
      <c r="I19" s="438"/>
      <c r="J19" s="459"/>
      <c r="K19" s="455"/>
      <c r="L19" s="459"/>
      <c r="M19" s="463"/>
      <c r="N19" s="438"/>
      <c r="O19" s="459"/>
      <c r="P19" s="438"/>
      <c r="Q19" s="438"/>
      <c r="R19" s="438"/>
      <c r="S19" s="459"/>
      <c r="T19" s="311" t="s">
        <v>291</v>
      </c>
      <c r="U19" s="309"/>
      <c r="V19" s="309"/>
      <c r="W19" s="438" t="s">
        <v>31</v>
      </c>
      <c r="X19" s="438"/>
    </row>
    <row r="20" spans="1:24" s="371" customFormat="1" ht="12.75">
      <c r="A20" s="438"/>
      <c r="B20" s="438"/>
      <c r="C20" s="457"/>
      <c r="D20" s="438"/>
      <c r="E20" s="438"/>
      <c r="F20" s="459"/>
      <c r="G20" s="459"/>
      <c r="H20" s="461"/>
      <c r="I20" s="438"/>
      <c r="J20" s="459"/>
      <c r="K20" s="455"/>
      <c r="L20" s="459"/>
      <c r="M20" s="463"/>
      <c r="N20" s="438"/>
      <c r="O20" s="459"/>
      <c r="P20" s="438"/>
      <c r="Q20" s="438"/>
      <c r="R20" s="438"/>
      <c r="S20" s="459"/>
      <c r="T20" s="311" t="s">
        <v>308</v>
      </c>
      <c r="U20" s="309"/>
      <c r="V20" s="309"/>
      <c r="W20" s="438"/>
      <c r="X20" s="438"/>
    </row>
    <row r="21" spans="1:24" s="371" customFormat="1" ht="12.75">
      <c r="A21" s="438"/>
      <c r="B21" s="438"/>
      <c r="C21" s="457"/>
      <c r="D21" s="438"/>
      <c r="E21" s="438"/>
      <c r="F21" s="459"/>
      <c r="G21" s="459"/>
      <c r="H21" s="461"/>
      <c r="I21" s="438"/>
      <c r="J21" s="459"/>
      <c r="K21" s="455"/>
      <c r="L21" s="459"/>
      <c r="M21" s="463"/>
      <c r="N21" s="438"/>
      <c r="O21" s="459"/>
      <c r="P21" s="438"/>
      <c r="Q21" s="438"/>
      <c r="R21" s="438"/>
      <c r="S21" s="459"/>
      <c r="T21" s="311" t="s">
        <v>292</v>
      </c>
      <c r="U21" s="309"/>
      <c r="V21" s="309"/>
      <c r="W21" s="438"/>
      <c r="X21" s="438"/>
    </row>
    <row r="22" spans="1:24" s="371" customFormat="1" ht="12.75">
      <c r="A22" s="438"/>
      <c r="B22" s="438"/>
      <c r="C22" s="457"/>
      <c r="D22" s="438"/>
      <c r="E22" s="438"/>
      <c r="F22" s="459"/>
      <c r="G22" s="459"/>
      <c r="H22" s="461"/>
      <c r="I22" s="438"/>
      <c r="J22" s="459"/>
      <c r="K22" s="455"/>
      <c r="L22" s="459"/>
      <c r="M22" s="463"/>
      <c r="N22" s="438"/>
      <c r="O22" s="459"/>
      <c r="P22" s="438"/>
      <c r="Q22" s="438"/>
      <c r="R22" s="438"/>
      <c r="S22" s="459"/>
      <c r="T22" s="311" t="s">
        <v>293</v>
      </c>
      <c r="U22" s="309"/>
      <c r="V22" s="309"/>
      <c r="W22" s="438"/>
      <c r="X22" s="438"/>
    </row>
    <row r="23" spans="1:24" s="371" customFormat="1" ht="12.75">
      <c r="A23" s="438"/>
      <c r="B23" s="438"/>
      <c r="C23" s="457"/>
      <c r="D23" s="438"/>
      <c r="E23" s="438"/>
      <c r="F23" s="459"/>
      <c r="G23" s="459"/>
      <c r="H23" s="461"/>
      <c r="I23" s="438"/>
      <c r="J23" s="459"/>
      <c r="K23" s="455"/>
      <c r="L23" s="459"/>
      <c r="M23" s="463"/>
      <c r="N23" s="438"/>
      <c r="O23" s="459"/>
      <c r="P23" s="438"/>
      <c r="Q23" s="438"/>
      <c r="R23" s="438"/>
      <c r="S23" s="459"/>
      <c r="T23" s="311" t="s">
        <v>294</v>
      </c>
      <c r="U23" s="309"/>
      <c r="V23" s="309"/>
      <c r="W23" s="438"/>
      <c r="X23" s="438"/>
    </row>
    <row r="24" spans="1:24" s="371" customFormat="1" ht="12.75">
      <c r="A24" s="438"/>
      <c r="B24" s="438"/>
      <c r="C24" s="457"/>
      <c r="D24" s="438"/>
      <c r="E24" s="438"/>
      <c r="F24" s="459"/>
      <c r="G24" s="459"/>
      <c r="H24" s="461"/>
      <c r="I24" s="438"/>
      <c r="J24" s="459"/>
      <c r="K24" s="455"/>
      <c r="L24" s="459"/>
      <c r="M24" s="463"/>
      <c r="N24" s="438"/>
      <c r="O24" s="459"/>
      <c r="P24" s="438"/>
      <c r="Q24" s="438"/>
      <c r="R24" s="438"/>
      <c r="S24" s="459"/>
      <c r="T24" s="311" t="s">
        <v>309</v>
      </c>
      <c r="U24" s="309"/>
      <c r="V24" s="309"/>
      <c r="W24" s="438"/>
      <c r="X24" s="438"/>
    </row>
    <row r="25" spans="1:24" s="371" customFormat="1" ht="12.75">
      <c r="A25" s="438"/>
      <c r="B25" s="438"/>
      <c r="C25" s="457"/>
      <c r="D25" s="438"/>
      <c r="E25" s="438"/>
      <c r="F25" s="459"/>
      <c r="G25" s="459"/>
      <c r="H25" s="461"/>
      <c r="I25" s="438"/>
      <c r="J25" s="459"/>
      <c r="K25" s="455"/>
      <c r="L25" s="459"/>
      <c r="M25" s="463"/>
      <c r="N25" s="438"/>
      <c r="O25" s="459"/>
      <c r="P25" s="438"/>
      <c r="Q25" s="438"/>
      <c r="R25" s="438"/>
      <c r="S25" s="459"/>
      <c r="T25" s="311" t="s">
        <v>310</v>
      </c>
      <c r="U25" s="309"/>
      <c r="V25" s="309"/>
      <c r="W25" s="438"/>
      <c r="X25" s="438"/>
    </row>
    <row r="26" spans="1:24" s="371" customFormat="1" ht="12" customHeight="1">
      <c r="A26" s="438">
        <v>3</v>
      </c>
      <c r="B26" s="438"/>
      <c r="C26" s="457"/>
      <c r="D26" s="438"/>
      <c r="E26" s="438"/>
      <c r="F26" s="459"/>
      <c r="G26" s="459"/>
      <c r="H26" s="461" t="s">
        <v>574</v>
      </c>
      <c r="I26" s="438"/>
      <c r="J26" s="459"/>
      <c r="K26" s="455"/>
      <c r="L26" s="459"/>
      <c r="M26" s="463"/>
      <c r="N26" s="438"/>
      <c r="O26" s="459"/>
      <c r="P26" s="438"/>
      <c r="Q26" s="438"/>
      <c r="R26" s="438"/>
      <c r="S26" s="459"/>
      <c r="T26" s="311" t="s">
        <v>291</v>
      </c>
      <c r="U26" s="309"/>
      <c r="V26" s="309"/>
      <c r="W26" s="438" t="s">
        <v>44</v>
      </c>
      <c r="X26" s="438"/>
    </row>
    <row r="27" spans="1:24" s="371" customFormat="1" ht="12.75">
      <c r="A27" s="438"/>
      <c r="B27" s="438"/>
      <c r="C27" s="457"/>
      <c r="D27" s="438"/>
      <c r="E27" s="438"/>
      <c r="F27" s="459"/>
      <c r="G27" s="459"/>
      <c r="H27" s="461"/>
      <c r="I27" s="438"/>
      <c r="J27" s="459"/>
      <c r="K27" s="455"/>
      <c r="L27" s="459"/>
      <c r="M27" s="463"/>
      <c r="N27" s="438"/>
      <c r="O27" s="459"/>
      <c r="P27" s="438"/>
      <c r="Q27" s="438"/>
      <c r="R27" s="438"/>
      <c r="S27" s="459"/>
      <c r="T27" s="311" t="s">
        <v>308</v>
      </c>
      <c r="U27" s="309"/>
      <c r="V27" s="309"/>
      <c r="W27" s="438"/>
      <c r="X27" s="438"/>
    </row>
    <row r="28" spans="1:24" s="371" customFormat="1" ht="12.75">
      <c r="A28" s="438"/>
      <c r="B28" s="438"/>
      <c r="C28" s="457"/>
      <c r="D28" s="438"/>
      <c r="E28" s="438"/>
      <c r="F28" s="459"/>
      <c r="G28" s="459"/>
      <c r="H28" s="461"/>
      <c r="I28" s="438"/>
      <c r="J28" s="459"/>
      <c r="K28" s="455"/>
      <c r="L28" s="459"/>
      <c r="M28" s="463"/>
      <c r="N28" s="438"/>
      <c r="O28" s="459"/>
      <c r="P28" s="438"/>
      <c r="Q28" s="438"/>
      <c r="R28" s="438"/>
      <c r="S28" s="459"/>
      <c r="T28" s="311" t="s">
        <v>292</v>
      </c>
      <c r="U28" s="309"/>
      <c r="V28" s="309"/>
      <c r="W28" s="438"/>
      <c r="X28" s="438"/>
    </row>
    <row r="29" spans="1:24" s="371" customFormat="1" ht="12.75">
      <c r="A29" s="438"/>
      <c r="B29" s="438"/>
      <c r="C29" s="457"/>
      <c r="D29" s="438"/>
      <c r="E29" s="438"/>
      <c r="F29" s="459"/>
      <c r="G29" s="459"/>
      <c r="H29" s="461"/>
      <c r="I29" s="438"/>
      <c r="J29" s="459"/>
      <c r="K29" s="455"/>
      <c r="L29" s="459"/>
      <c r="M29" s="463"/>
      <c r="N29" s="438"/>
      <c r="O29" s="459"/>
      <c r="P29" s="438"/>
      <c r="Q29" s="438"/>
      <c r="R29" s="438"/>
      <c r="S29" s="459"/>
      <c r="T29" s="311" t="s">
        <v>293</v>
      </c>
      <c r="U29" s="309"/>
      <c r="V29" s="309"/>
      <c r="W29" s="438"/>
      <c r="X29" s="438"/>
    </row>
    <row r="30" spans="1:24" s="371" customFormat="1" ht="12.75">
      <c r="A30" s="438"/>
      <c r="B30" s="438"/>
      <c r="C30" s="457"/>
      <c r="D30" s="438"/>
      <c r="E30" s="438"/>
      <c r="F30" s="459"/>
      <c r="G30" s="459"/>
      <c r="H30" s="461"/>
      <c r="I30" s="438"/>
      <c r="J30" s="459"/>
      <c r="K30" s="455"/>
      <c r="L30" s="459"/>
      <c r="M30" s="463"/>
      <c r="N30" s="438"/>
      <c r="O30" s="459"/>
      <c r="P30" s="438"/>
      <c r="Q30" s="438"/>
      <c r="R30" s="438"/>
      <c r="S30" s="459"/>
      <c r="T30" s="311" t="s">
        <v>294</v>
      </c>
      <c r="U30" s="309"/>
      <c r="V30" s="309"/>
      <c r="W30" s="438"/>
      <c r="X30" s="438"/>
    </row>
    <row r="31" spans="1:24" s="371" customFormat="1" ht="12.75">
      <c r="A31" s="438"/>
      <c r="B31" s="438"/>
      <c r="C31" s="457"/>
      <c r="D31" s="438"/>
      <c r="E31" s="438"/>
      <c r="F31" s="459"/>
      <c r="G31" s="459"/>
      <c r="H31" s="461"/>
      <c r="I31" s="438"/>
      <c r="J31" s="459"/>
      <c r="K31" s="455"/>
      <c r="L31" s="459"/>
      <c r="M31" s="463"/>
      <c r="N31" s="438"/>
      <c r="O31" s="459"/>
      <c r="P31" s="438"/>
      <c r="Q31" s="438"/>
      <c r="R31" s="438"/>
      <c r="S31" s="459"/>
      <c r="T31" s="311" t="s">
        <v>309</v>
      </c>
      <c r="U31" s="309"/>
      <c r="V31" s="309"/>
      <c r="W31" s="438"/>
      <c r="X31" s="438"/>
    </row>
    <row r="32" spans="1:24" s="371" customFormat="1" ht="12.75">
      <c r="A32" s="438"/>
      <c r="B32" s="438"/>
      <c r="C32" s="457"/>
      <c r="D32" s="438"/>
      <c r="E32" s="438"/>
      <c r="F32" s="459"/>
      <c r="G32" s="459"/>
      <c r="H32" s="461"/>
      <c r="I32" s="438"/>
      <c r="J32" s="459"/>
      <c r="K32" s="455"/>
      <c r="L32" s="459"/>
      <c r="M32" s="463"/>
      <c r="N32" s="438"/>
      <c r="O32" s="459"/>
      <c r="P32" s="438"/>
      <c r="Q32" s="438"/>
      <c r="R32" s="438"/>
      <c r="S32" s="459"/>
      <c r="T32" s="311" t="s">
        <v>310</v>
      </c>
      <c r="U32" s="309"/>
      <c r="V32" s="309"/>
      <c r="W32" s="438"/>
      <c r="X32" s="438"/>
    </row>
    <row r="33" spans="1:24" s="371" customFormat="1" ht="12" customHeight="1">
      <c r="A33" s="438">
        <v>4</v>
      </c>
      <c r="B33" s="438"/>
      <c r="C33" s="457"/>
      <c r="D33" s="438"/>
      <c r="E33" s="438"/>
      <c r="F33" s="459"/>
      <c r="G33" s="459"/>
      <c r="H33" s="461" t="s">
        <v>574</v>
      </c>
      <c r="I33" s="438"/>
      <c r="J33" s="459"/>
      <c r="K33" s="455"/>
      <c r="L33" s="459"/>
      <c r="M33" s="463"/>
      <c r="N33" s="438"/>
      <c r="O33" s="459"/>
      <c r="P33" s="438"/>
      <c r="Q33" s="438"/>
      <c r="R33" s="438"/>
      <c r="S33" s="459"/>
      <c r="T33" s="311" t="s">
        <v>291</v>
      </c>
      <c r="U33" s="309"/>
      <c r="V33" s="309"/>
      <c r="W33" s="438"/>
      <c r="X33" s="438"/>
    </row>
    <row r="34" spans="1:24" s="371" customFormat="1" ht="12.75">
      <c r="A34" s="438"/>
      <c r="B34" s="438"/>
      <c r="C34" s="457"/>
      <c r="D34" s="438"/>
      <c r="E34" s="438"/>
      <c r="F34" s="459"/>
      <c r="G34" s="459"/>
      <c r="H34" s="461"/>
      <c r="I34" s="438"/>
      <c r="J34" s="459"/>
      <c r="K34" s="455"/>
      <c r="L34" s="459"/>
      <c r="M34" s="463"/>
      <c r="N34" s="438"/>
      <c r="O34" s="459"/>
      <c r="P34" s="438"/>
      <c r="Q34" s="438"/>
      <c r="R34" s="438"/>
      <c r="S34" s="459"/>
      <c r="T34" s="311" t="s">
        <v>308</v>
      </c>
      <c r="U34" s="309"/>
      <c r="V34" s="309"/>
      <c r="W34" s="438"/>
      <c r="X34" s="438"/>
    </row>
    <row r="35" spans="1:24" s="371" customFormat="1" ht="12.75">
      <c r="A35" s="438"/>
      <c r="B35" s="438"/>
      <c r="C35" s="457"/>
      <c r="D35" s="438"/>
      <c r="E35" s="438"/>
      <c r="F35" s="459"/>
      <c r="G35" s="459"/>
      <c r="H35" s="461"/>
      <c r="I35" s="438"/>
      <c r="J35" s="459"/>
      <c r="K35" s="455"/>
      <c r="L35" s="459"/>
      <c r="M35" s="463"/>
      <c r="N35" s="438"/>
      <c r="O35" s="459"/>
      <c r="P35" s="438"/>
      <c r="Q35" s="438"/>
      <c r="R35" s="438"/>
      <c r="S35" s="459"/>
      <c r="T35" s="311" t="s">
        <v>292</v>
      </c>
      <c r="U35" s="309"/>
      <c r="V35" s="309"/>
      <c r="W35" s="438"/>
      <c r="X35" s="438"/>
    </row>
    <row r="36" spans="1:24" s="371" customFormat="1" ht="12.75">
      <c r="A36" s="438"/>
      <c r="B36" s="438"/>
      <c r="C36" s="457"/>
      <c r="D36" s="438"/>
      <c r="E36" s="438"/>
      <c r="F36" s="459"/>
      <c r="G36" s="459"/>
      <c r="H36" s="461"/>
      <c r="I36" s="438"/>
      <c r="J36" s="459"/>
      <c r="K36" s="455"/>
      <c r="L36" s="459"/>
      <c r="M36" s="463"/>
      <c r="N36" s="438"/>
      <c r="O36" s="459"/>
      <c r="P36" s="438"/>
      <c r="Q36" s="438"/>
      <c r="R36" s="438"/>
      <c r="S36" s="459"/>
      <c r="T36" s="311" t="s">
        <v>293</v>
      </c>
      <c r="U36" s="309"/>
      <c r="V36" s="309"/>
      <c r="W36" s="438"/>
      <c r="X36" s="438"/>
    </row>
    <row r="37" spans="1:24" s="371" customFormat="1" ht="12.75">
      <c r="A37" s="438"/>
      <c r="B37" s="438"/>
      <c r="C37" s="457"/>
      <c r="D37" s="438"/>
      <c r="E37" s="438"/>
      <c r="F37" s="459"/>
      <c r="G37" s="459"/>
      <c r="H37" s="461"/>
      <c r="I37" s="438"/>
      <c r="J37" s="459"/>
      <c r="K37" s="455"/>
      <c r="L37" s="459"/>
      <c r="M37" s="463"/>
      <c r="N37" s="438"/>
      <c r="O37" s="459"/>
      <c r="P37" s="438"/>
      <c r="Q37" s="438"/>
      <c r="R37" s="438"/>
      <c r="S37" s="459"/>
      <c r="T37" s="311" t="s">
        <v>294</v>
      </c>
      <c r="U37" s="309"/>
      <c r="V37" s="309"/>
      <c r="W37" s="438"/>
      <c r="X37" s="438"/>
    </row>
    <row r="38" spans="1:24" s="371" customFormat="1" ht="12.75">
      <c r="A38" s="438"/>
      <c r="B38" s="438"/>
      <c r="C38" s="457"/>
      <c r="D38" s="438"/>
      <c r="E38" s="438"/>
      <c r="F38" s="459"/>
      <c r="G38" s="459"/>
      <c r="H38" s="461"/>
      <c r="I38" s="438"/>
      <c r="J38" s="459"/>
      <c r="K38" s="455"/>
      <c r="L38" s="459"/>
      <c r="M38" s="463"/>
      <c r="N38" s="438"/>
      <c r="O38" s="459"/>
      <c r="P38" s="438"/>
      <c r="Q38" s="438"/>
      <c r="R38" s="438"/>
      <c r="S38" s="459"/>
      <c r="T38" s="311" t="s">
        <v>309</v>
      </c>
      <c r="U38" s="309"/>
      <c r="V38" s="309"/>
      <c r="W38" s="438"/>
      <c r="X38" s="438"/>
    </row>
    <row r="39" spans="1:24" s="371" customFormat="1" ht="12.75">
      <c r="A39" s="438"/>
      <c r="B39" s="438"/>
      <c r="C39" s="457"/>
      <c r="D39" s="438"/>
      <c r="E39" s="438"/>
      <c r="F39" s="459"/>
      <c r="G39" s="459"/>
      <c r="H39" s="461"/>
      <c r="I39" s="438"/>
      <c r="J39" s="459"/>
      <c r="K39" s="455"/>
      <c r="L39" s="459"/>
      <c r="M39" s="463"/>
      <c r="N39" s="438"/>
      <c r="O39" s="459"/>
      <c r="P39" s="438"/>
      <c r="Q39" s="438"/>
      <c r="R39" s="438"/>
      <c r="S39" s="459"/>
      <c r="T39" s="311" t="s">
        <v>310</v>
      </c>
      <c r="U39" s="309"/>
      <c r="V39" s="309"/>
      <c r="W39" s="438"/>
      <c r="X39" s="438"/>
    </row>
    <row r="40" spans="1:24" s="371" customFormat="1" ht="12.75">
      <c r="A40" s="341"/>
      <c r="B40" s="341"/>
      <c r="C40" s="342"/>
      <c r="D40" s="341"/>
      <c r="E40" s="341"/>
      <c r="F40" s="343"/>
      <c r="G40" s="343"/>
      <c r="H40" s="361"/>
      <c r="I40" s="341"/>
      <c r="J40" s="343"/>
      <c r="K40" s="362"/>
      <c r="L40" s="343"/>
      <c r="M40" s="344"/>
      <c r="N40" s="341"/>
      <c r="O40" s="343"/>
      <c r="P40" s="341"/>
      <c r="Q40" s="341"/>
      <c r="R40" s="341"/>
      <c r="S40" s="343"/>
      <c r="T40" s="344"/>
      <c r="U40" s="341"/>
      <c r="V40" s="341"/>
      <c r="W40" s="341"/>
      <c r="X40" s="341"/>
    </row>
    <row r="41" ht="12.75">
      <c r="A41" s="365" t="s">
        <v>570</v>
      </c>
    </row>
    <row r="42" ht="12.75">
      <c r="A42" s="365" t="s">
        <v>571</v>
      </c>
    </row>
    <row r="43" ht="12.75">
      <c r="A43" s="365" t="s">
        <v>458</v>
      </c>
    </row>
    <row r="44" ht="12.75">
      <c r="A44" s="366" t="s">
        <v>459</v>
      </c>
    </row>
    <row r="45" ht="12.75">
      <c r="A45" s="365" t="s">
        <v>559</v>
      </c>
    </row>
    <row r="46" ht="12.75">
      <c r="A46" s="365" t="s">
        <v>460</v>
      </c>
    </row>
    <row r="47" ht="12.75">
      <c r="A47" s="365" t="s">
        <v>461</v>
      </c>
    </row>
    <row r="48" ht="12.75">
      <c r="D48" s="363" t="s">
        <v>380</v>
      </c>
    </row>
    <row r="49" ht="12.75">
      <c r="D49" s="363" t="s">
        <v>462</v>
      </c>
    </row>
    <row r="50" ht="12.75">
      <c r="D50" s="363" t="s">
        <v>463</v>
      </c>
    </row>
    <row r="51" ht="12.75">
      <c r="D51" s="363" t="s">
        <v>381</v>
      </c>
    </row>
  </sheetData>
  <sheetProtection password="FD18" sheet="1" objects="1" scenarios="1" formatCells="0" insertRows="0" deleteRows="0"/>
  <mergeCells count="114">
    <mergeCell ref="W33:W39"/>
    <mergeCell ref="J33:J39"/>
    <mergeCell ref="K33:K39"/>
    <mergeCell ref="L33:L39"/>
    <mergeCell ref="M33:M39"/>
    <mergeCell ref="N33:N39"/>
    <mergeCell ref="X33:X39"/>
    <mergeCell ref="O33:O39"/>
    <mergeCell ref="P33:P39"/>
    <mergeCell ref="Q33:Q39"/>
    <mergeCell ref="R33:R39"/>
    <mergeCell ref="X26:X32"/>
    <mergeCell ref="R26:R32"/>
    <mergeCell ref="S26:S32"/>
    <mergeCell ref="W26:W32"/>
    <mergeCell ref="S33:S39"/>
    <mergeCell ref="A33:A39"/>
    <mergeCell ref="B33:B39"/>
    <mergeCell ref="C33:C39"/>
    <mergeCell ref="D33:D39"/>
    <mergeCell ref="E33:E39"/>
    <mergeCell ref="F33:F39"/>
    <mergeCell ref="G33:G39"/>
    <mergeCell ref="H33:H39"/>
    <mergeCell ref="I33:I39"/>
    <mergeCell ref="O26:O32"/>
    <mergeCell ref="P26:P32"/>
    <mergeCell ref="Q26:Q32"/>
    <mergeCell ref="I26:I32"/>
    <mergeCell ref="J26:J32"/>
    <mergeCell ref="K26:K32"/>
    <mergeCell ref="L26:L32"/>
    <mergeCell ref="W19:W25"/>
    <mergeCell ref="X19:X25"/>
    <mergeCell ref="A26:A32"/>
    <mergeCell ref="B26:B32"/>
    <mergeCell ref="C26:C32"/>
    <mergeCell ref="D26:D32"/>
    <mergeCell ref="E26:E32"/>
    <mergeCell ref="F26:F32"/>
    <mergeCell ref="G26:G32"/>
    <mergeCell ref="H26:H32"/>
    <mergeCell ref="N19:N25"/>
    <mergeCell ref="O19:O25"/>
    <mergeCell ref="P19:P25"/>
    <mergeCell ref="Q19:Q25"/>
    <mergeCell ref="M26:M32"/>
    <mergeCell ref="N26:N32"/>
    <mergeCell ref="F19:F25"/>
    <mergeCell ref="G19:G25"/>
    <mergeCell ref="R19:R25"/>
    <mergeCell ref="S19:S25"/>
    <mergeCell ref="H19:H25"/>
    <mergeCell ref="I19:I25"/>
    <mergeCell ref="J19:J25"/>
    <mergeCell ref="K19:K25"/>
    <mergeCell ref="L19:L25"/>
    <mergeCell ref="M19:M25"/>
    <mergeCell ref="P12:P18"/>
    <mergeCell ref="Q12:Q18"/>
    <mergeCell ref="R12:R18"/>
    <mergeCell ref="S12:S18"/>
    <mergeCell ref="A12:A18"/>
    <mergeCell ref="A19:A25"/>
    <mergeCell ref="B19:B25"/>
    <mergeCell ref="C19:C25"/>
    <mergeCell ref="D19:D25"/>
    <mergeCell ref="E19:E25"/>
    <mergeCell ref="I12:I18"/>
    <mergeCell ref="J12:J18"/>
    <mergeCell ref="L12:L18"/>
    <mergeCell ref="M12:M18"/>
    <mergeCell ref="N12:N18"/>
    <mergeCell ref="O12:O18"/>
    <mergeCell ref="I5:J8"/>
    <mergeCell ref="K12:K18"/>
    <mergeCell ref="X12:X18"/>
    <mergeCell ref="B12:B18"/>
    <mergeCell ref="C12:C18"/>
    <mergeCell ref="D12:D18"/>
    <mergeCell ref="E12:E18"/>
    <mergeCell ref="F12:F18"/>
    <mergeCell ref="G12:G18"/>
    <mergeCell ref="H12:H18"/>
    <mergeCell ref="T9:T11"/>
    <mergeCell ref="V9:V11"/>
    <mergeCell ref="W12:W18"/>
    <mergeCell ref="A5:A11"/>
    <mergeCell ref="B5:B11"/>
    <mergeCell ref="C5:C11"/>
    <mergeCell ref="D5:D11"/>
    <mergeCell ref="E5:G8"/>
    <mergeCell ref="F9:F11"/>
    <mergeCell ref="E9:E11"/>
    <mergeCell ref="P9:P11"/>
    <mergeCell ref="J9:J11"/>
    <mergeCell ref="O9:O11"/>
    <mergeCell ref="X5:X11"/>
    <mergeCell ref="Q5:S8"/>
    <mergeCell ref="T5:V8"/>
    <mergeCell ref="Q9:Q11"/>
    <mergeCell ref="U9:U11"/>
    <mergeCell ref="W5:W11"/>
    <mergeCell ref="S9:S11"/>
    <mergeCell ref="G9:G11"/>
    <mergeCell ref="K9:K11"/>
    <mergeCell ref="L9:L11"/>
    <mergeCell ref="M9:M11"/>
    <mergeCell ref="H5:H11"/>
    <mergeCell ref="R9:R11"/>
    <mergeCell ref="I9:I11"/>
    <mergeCell ref="K5:L8"/>
    <mergeCell ref="M5:P8"/>
    <mergeCell ref="N9:N11"/>
  </mergeCells>
  <dataValidations count="4">
    <dataValidation type="list" allowBlank="1" showInputMessage="1" showErrorMessage="1" sqref="H12 H19 H26 H33">
      <formula1>"Medicina de laborator,Biolog_medical,Chimist_medical,Biochimist_medical,Biolog,Farmacist,Chimist,Biochimist"</formula1>
    </dataValidation>
    <dataValidation type="list" allowBlank="1" showInputMessage="1" showErrorMessage="1" sqref="K12 K19 K26 K33">
      <formula1>"Primar,Specialist,Principal,Fara_Grad,"</formula1>
    </dataValidation>
    <dataValidation type="list" allowBlank="1" showInputMessage="1" showErrorMessage="1" sqref="W12:W40">
      <formula1>"Da,Nu"</formula1>
    </dataValidation>
    <dataValidation type="list" allowBlank="1" showInputMessage="1" showErrorMessage="1" sqref="T12:T40">
      <formula1>"Luni,Marti,Miercuri,Joi,Vineri,Sambata,Duminica"</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72" r:id="rId3"/>
  <legacyDrawing r:id="rId2"/>
</worksheet>
</file>

<file path=xl/worksheets/sheet7.xml><?xml version="1.0" encoding="utf-8"?>
<worksheet xmlns="http://schemas.openxmlformats.org/spreadsheetml/2006/main" xmlns:r="http://schemas.openxmlformats.org/officeDocument/2006/relationships">
  <dimension ref="A1:T58"/>
  <sheetViews>
    <sheetView zoomScalePageLayoutView="0" workbookViewId="0" topLeftCell="A1">
      <selection activeCell="D42" sqref="D42:D48"/>
    </sheetView>
  </sheetViews>
  <sheetFormatPr defaultColWidth="8.8515625" defaultRowHeight="12.75"/>
  <cols>
    <col min="1" max="1" width="5.140625" style="363" customWidth="1"/>
    <col min="2" max="2" width="22.28125" style="363" customWidth="1"/>
    <col min="3" max="3" width="12.57421875" style="363" customWidth="1"/>
    <col min="4" max="4" width="9.28125" style="363" customWidth="1"/>
    <col min="5" max="5" width="8.57421875" style="363" customWidth="1"/>
    <col min="6" max="6" width="8.8515625" style="363" customWidth="1"/>
    <col min="7" max="7" width="13.57421875" style="363" customWidth="1"/>
    <col min="8" max="8" width="11.28125" style="363" customWidth="1"/>
    <col min="9" max="9" width="10.28125" style="363" customWidth="1"/>
    <col min="10" max="15" width="8.8515625" style="363" customWidth="1"/>
    <col min="16" max="16" width="5.57421875" style="363" bestFit="1" customWidth="1"/>
    <col min="17" max="17" width="5.421875" style="363" bestFit="1" customWidth="1"/>
    <col min="18" max="18" width="5.421875" style="363" customWidth="1"/>
    <col min="19" max="19" width="6.140625" style="363" customWidth="1"/>
    <col min="20" max="20" width="5.00390625" style="363" customWidth="1"/>
    <col min="21" max="23" width="8.8515625" style="363" customWidth="1"/>
    <col min="24" max="24" width="10.421875" style="363" customWidth="1"/>
    <col min="25" max="16384" width="8.8515625" style="363" customWidth="1"/>
  </cols>
  <sheetData>
    <row r="1" spans="14:18" ht="12.75">
      <c r="N1" s="372" t="s">
        <v>467</v>
      </c>
      <c r="O1" s="372"/>
      <c r="P1" s="372"/>
      <c r="Q1" s="372"/>
      <c r="R1" s="372"/>
    </row>
    <row r="2" spans="2:20" ht="12.75">
      <c r="B2" s="467" t="s">
        <v>468</v>
      </c>
      <c r="C2" s="467"/>
      <c r="D2" s="467"/>
      <c r="E2" s="467"/>
      <c r="F2" s="467"/>
      <c r="G2" s="467"/>
      <c r="H2" s="467"/>
      <c r="I2" s="467"/>
      <c r="J2" s="467"/>
      <c r="K2" s="467"/>
      <c r="L2" s="467"/>
      <c r="M2" s="467"/>
      <c r="N2" s="467"/>
      <c r="O2" s="467"/>
      <c r="P2" s="467"/>
      <c r="Q2" s="467"/>
      <c r="R2" s="467"/>
      <c r="S2" s="467"/>
      <c r="T2" s="467"/>
    </row>
    <row r="3" spans="2:20" ht="29.25" customHeight="1">
      <c r="B3" s="468" t="s">
        <v>469</v>
      </c>
      <c r="C3" s="469"/>
      <c r="D3" s="469"/>
      <c r="E3" s="469"/>
      <c r="F3" s="469"/>
      <c r="G3" s="469"/>
      <c r="H3" s="469"/>
      <c r="I3" s="469"/>
      <c r="J3" s="469"/>
      <c r="K3" s="469"/>
      <c r="L3" s="469"/>
      <c r="M3" s="469"/>
      <c r="N3" s="469"/>
      <c r="O3" s="469"/>
      <c r="P3" s="469"/>
      <c r="Q3" s="469"/>
      <c r="R3" s="469"/>
      <c r="S3" s="469"/>
      <c r="T3" s="469"/>
    </row>
    <row r="4" spans="2:20" ht="15.75" customHeight="1">
      <c r="B4" s="373"/>
      <c r="C4" s="374"/>
      <c r="D4" s="374"/>
      <c r="E4" s="374"/>
      <c r="F4" s="374"/>
      <c r="G4" s="374"/>
      <c r="H4" s="374"/>
      <c r="I4" s="374"/>
      <c r="J4" s="374"/>
      <c r="K4" s="374"/>
      <c r="L4" s="374"/>
      <c r="M4" s="374"/>
      <c r="N4" s="374"/>
      <c r="O4" s="374"/>
      <c r="P4" s="374"/>
      <c r="Q4" s="374"/>
      <c r="R4" s="374"/>
      <c r="S4" s="374"/>
      <c r="T4" s="374"/>
    </row>
    <row r="5" spans="1:19" ht="39.75" customHeight="1">
      <c r="A5" s="464" t="s">
        <v>470</v>
      </c>
      <c r="B5" s="464" t="s">
        <v>471</v>
      </c>
      <c r="C5" s="464" t="s">
        <v>9</v>
      </c>
      <c r="D5" s="464" t="s">
        <v>472</v>
      </c>
      <c r="E5" s="464"/>
      <c r="F5" s="464"/>
      <c r="G5" s="470" t="s">
        <v>473</v>
      </c>
      <c r="H5" s="464" t="s">
        <v>439</v>
      </c>
      <c r="I5" s="464"/>
      <c r="J5" s="464"/>
      <c r="K5" s="464"/>
      <c r="L5" s="464" t="s">
        <v>440</v>
      </c>
      <c r="M5" s="464"/>
      <c r="N5" s="464"/>
      <c r="O5" s="464" t="s">
        <v>474</v>
      </c>
      <c r="P5" s="464"/>
      <c r="Q5" s="464"/>
      <c r="R5" s="465" t="s">
        <v>558</v>
      </c>
      <c r="S5" s="465" t="s">
        <v>475</v>
      </c>
    </row>
    <row r="6" spans="1:19" ht="40.5" customHeight="1">
      <c r="A6" s="465"/>
      <c r="B6" s="465"/>
      <c r="C6" s="465"/>
      <c r="D6" s="308" t="s">
        <v>443</v>
      </c>
      <c r="E6" s="308" t="s">
        <v>476</v>
      </c>
      <c r="F6" s="308" t="s">
        <v>477</v>
      </c>
      <c r="G6" s="471"/>
      <c r="H6" s="308" t="s">
        <v>443</v>
      </c>
      <c r="I6" s="308" t="s">
        <v>447</v>
      </c>
      <c r="J6" s="308" t="s">
        <v>444</v>
      </c>
      <c r="K6" s="308" t="s">
        <v>478</v>
      </c>
      <c r="L6" s="308" t="s">
        <v>479</v>
      </c>
      <c r="M6" s="308" t="s">
        <v>480</v>
      </c>
      <c r="N6" s="308" t="s">
        <v>481</v>
      </c>
      <c r="O6" s="375" t="s">
        <v>452</v>
      </c>
      <c r="P6" s="310" t="s">
        <v>453</v>
      </c>
      <c r="Q6" s="310" t="s">
        <v>454</v>
      </c>
      <c r="R6" s="466"/>
      <c r="S6" s="466"/>
    </row>
    <row r="7" spans="1:19" s="364" customFormat="1" ht="12.75" customHeight="1">
      <c r="A7" s="464">
        <v>1</v>
      </c>
      <c r="B7" s="476" t="s">
        <v>482</v>
      </c>
      <c r="C7" s="477">
        <v>1234567891012</v>
      </c>
      <c r="D7" s="438"/>
      <c r="E7" s="459"/>
      <c r="F7" s="459"/>
      <c r="G7" s="478" t="s">
        <v>430</v>
      </c>
      <c r="H7" s="438"/>
      <c r="I7" s="438"/>
      <c r="J7" s="459"/>
      <c r="K7" s="459"/>
      <c r="L7" s="479"/>
      <c r="M7" s="463"/>
      <c r="N7" s="438"/>
      <c r="O7" s="376" t="s">
        <v>291</v>
      </c>
      <c r="P7" s="292" t="s">
        <v>456</v>
      </c>
      <c r="Q7" s="307" t="s">
        <v>457</v>
      </c>
      <c r="R7" s="472" t="s">
        <v>44</v>
      </c>
      <c r="S7" s="465">
        <v>35</v>
      </c>
    </row>
    <row r="8" spans="1:19" s="364" customFormat="1" ht="12.75" customHeight="1">
      <c r="A8" s="464"/>
      <c r="B8" s="476"/>
      <c r="C8" s="477"/>
      <c r="D8" s="438"/>
      <c r="E8" s="459"/>
      <c r="F8" s="459"/>
      <c r="G8" s="478"/>
      <c r="H8" s="438"/>
      <c r="I8" s="438"/>
      <c r="J8" s="459"/>
      <c r="K8" s="459"/>
      <c r="L8" s="479"/>
      <c r="M8" s="463"/>
      <c r="N8" s="438"/>
      <c r="O8" s="376" t="s">
        <v>308</v>
      </c>
      <c r="P8" s="292"/>
      <c r="Q8" s="307"/>
      <c r="R8" s="473"/>
      <c r="S8" s="475"/>
    </row>
    <row r="9" spans="1:19" s="364" customFormat="1" ht="12.75" customHeight="1">
      <c r="A9" s="464"/>
      <c r="B9" s="476"/>
      <c r="C9" s="477"/>
      <c r="D9" s="438"/>
      <c r="E9" s="459"/>
      <c r="F9" s="459"/>
      <c r="G9" s="478"/>
      <c r="H9" s="438"/>
      <c r="I9" s="438"/>
      <c r="J9" s="459"/>
      <c r="K9" s="459"/>
      <c r="L9" s="479"/>
      <c r="M9" s="463"/>
      <c r="N9" s="438"/>
      <c r="O9" s="376" t="s">
        <v>292</v>
      </c>
      <c r="P9" s="292"/>
      <c r="Q9" s="307"/>
      <c r="R9" s="473"/>
      <c r="S9" s="475"/>
    </row>
    <row r="10" spans="1:19" s="364" customFormat="1" ht="12.75" customHeight="1">
      <c r="A10" s="464"/>
      <c r="B10" s="476"/>
      <c r="C10" s="477"/>
      <c r="D10" s="438"/>
      <c r="E10" s="459"/>
      <c r="F10" s="459"/>
      <c r="G10" s="478"/>
      <c r="H10" s="438"/>
      <c r="I10" s="438"/>
      <c r="J10" s="459"/>
      <c r="K10" s="459"/>
      <c r="L10" s="479"/>
      <c r="M10" s="463"/>
      <c r="N10" s="438"/>
      <c r="O10" s="376" t="s">
        <v>293</v>
      </c>
      <c r="P10" s="292"/>
      <c r="Q10" s="307"/>
      <c r="R10" s="473"/>
      <c r="S10" s="475"/>
    </row>
    <row r="11" spans="1:19" s="364" customFormat="1" ht="12.75" customHeight="1">
      <c r="A11" s="464"/>
      <c r="B11" s="476"/>
      <c r="C11" s="477"/>
      <c r="D11" s="438"/>
      <c r="E11" s="459"/>
      <c r="F11" s="459"/>
      <c r="G11" s="478"/>
      <c r="H11" s="438"/>
      <c r="I11" s="438"/>
      <c r="J11" s="459"/>
      <c r="K11" s="459"/>
      <c r="L11" s="479"/>
      <c r="M11" s="463"/>
      <c r="N11" s="438"/>
      <c r="O11" s="376" t="s">
        <v>294</v>
      </c>
      <c r="P11" s="292"/>
      <c r="Q11" s="307"/>
      <c r="R11" s="473"/>
      <c r="S11" s="475"/>
    </row>
    <row r="12" spans="1:19" s="364" customFormat="1" ht="12.75" customHeight="1">
      <c r="A12" s="464"/>
      <c r="B12" s="476"/>
      <c r="C12" s="477"/>
      <c r="D12" s="438"/>
      <c r="E12" s="459"/>
      <c r="F12" s="459"/>
      <c r="G12" s="478"/>
      <c r="H12" s="438"/>
      <c r="I12" s="438"/>
      <c r="J12" s="459"/>
      <c r="K12" s="459"/>
      <c r="L12" s="479"/>
      <c r="M12" s="463"/>
      <c r="N12" s="438"/>
      <c r="O12" s="376" t="s">
        <v>309</v>
      </c>
      <c r="P12" s="292"/>
      <c r="Q12" s="307"/>
      <c r="R12" s="473"/>
      <c r="S12" s="475"/>
    </row>
    <row r="13" spans="1:19" s="364" customFormat="1" ht="12.75" customHeight="1">
      <c r="A13" s="464"/>
      <c r="B13" s="476"/>
      <c r="C13" s="477"/>
      <c r="D13" s="438"/>
      <c r="E13" s="459"/>
      <c r="F13" s="459"/>
      <c r="G13" s="478"/>
      <c r="H13" s="438"/>
      <c r="I13" s="438"/>
      <c r="J13" s="459"/>
      <c r="K13" s="459"/>
      <c r="L13" s="479"/>
      <c r="M13" s="463"/>
      <c r="N13" s="438"/>
      <c r="O13" s="376" t="s">
        <v>310</v>
      </c>
      <c r="P13" s="292"/>
      <c r="Q13" s="307"/>
      <c r="R13" s="474"/>
      <c r="S13" s="466"/>
    </row>
    <row r="14" spans="1:19" s="364" customFormat="1" ht="12.75" customHeight="1">
      <c r="A14" s="464">
        <v>2</v>
      </c>
      <c r="B14" s="476" t="s">
        <v>482</v>
      </c>
      <c r="C14" s="480">
        <v>1234567891012</v>
      </c>
      <c r="D14" s="438"/>
      <c r="E14" s="459"/>
      <c r="F14" s="459"/>
      <c r="G14" s="478" t="s">
        <v>430</v>
      </c>
      <c r="H14" s="438"/>
      <c r="I14" s="438"/>
      <c r="J14" s="459"/>
      <c r="K14" s="459"/>
      <c r="L14" s="479"/>
      <c r="M14" s="463"/>
      <c r="N14" s="438"/>
      <c r="O14" s="376" t="s">
        <v>291</v>
      </c>
      <c r="P14" s="292"/>
      <c r="Q14" s="307"/>
      <c r="R14" s="472" t="s">
        <v>44</v>
      </c>
      <c r="S14" s="465"/>
    </row>
    <row r="15" spans="1:19" s="364" customFormat="1" ht="12.75" customHeight="1">
      <c r="A15" s="464"/>
      <c r="B15" s="476"/>
      <c r="C15" s="480"/>
      <c r="D15" s="438"/>
      <c r="E15" s="459"/>
      <c r="F15" s="459"/>
      <c r="G15" s="478"/>
      <c r="H15" s="438"/>
      <c r="I15" s="438"/>
      <c r="J15" s="459"/>
      <c r="K15" s="459"/>
      <c r="L15" s="479"/>
      <c r="M15" s="463"/>
      <c r="N15" s="438"/>
      <c r="O15" s="376" t="s">
        <v>308</v>
      </c>
      <c r="P15" s="292"/>
      <c r="Q15" s="307"/>
      <c r="R15" s="473"/>
      <c r="S15" s="475"/>
    </row>
    <row r="16" spans="1:19" s="364" customFormat="1" ht="12.75" customHeight="1">
      <c r="A16" s="464"/>
      <c r="B16" s="476"/>
      <c r="C16" s="480"/>
      <c r="D16" s="438"/>
      <c r="E16" s="459"/>
      <c r="F16" s="459"/>
      <c r="G16" s="478"/>
      <c r="H16" s="438"/>
      <c r="I16" s="438"/>
      <c r="J16" s="459"/>
      <c r="K16" s="459"/>
      <c r="L16" s="479"/>
      <c r="M16" s="463"/>
      <c r="N16" s="438"/>
      <c r="O16" s="376" t="s">
        <v>292</v>
      </c>
      <c r="P16" s="292"/>
      <c r="Q16" s="307"/>
      <c r="R16" s="473"/>
      <c r="S16" s="475"/>
    </row>
    <row r="17" spans="1:19" s="364" customFormat="1" ht="12.75" customHeight="1">
      <c r="A17" s="464"/>
      <c r="B17" s="476"/>
      <c r="C17" s="480"/>
      <c r="D17" s="438"/>
      <c r="E17" s="459"/>
      <c r="F17" s="459"/>
      <c r="G17" s="478"/>
      <c r="H17" s="438"/>
      <c r="I17" s="438"/>
      <c r="J17" s="459"/>
      <c r="K17" s="459"/>
      <c r="L17" s="479"/>
      <c r="M17" s="463"/>
      <c r="N17" s="438"/>
      <c r="O17" s="376" t="s">
        <v>293</v>
      </c>
      <c r="P17" s="292"/>
      <c r="Q17" s="307"/>
      <c r="R17" s="473"/>
      <c r="S17" s="475"/>
    </row>
    <row r="18" spans="1:19" s="364" customFormat="1" ht="12.75" customHeight="1">
      <c r="A18" s="464"/>
      <c r="B18" s="476"/>
      <c r="C18" s="480"/>
      <c r="D18" s="438"/>
      <c r="E18" s="459"/>
      <c r="F18" s="459"/>
      <c r="G18" s="478"/>
      <c r="H18" s="438"/>
      <c r="I18" s="438"/>
      <c r="J18" s="459"/>
      <c r="K18" s="459"/>
      <c r="L18" s="479"/>
      <c r="M18" s="463"/>
      <c r="N18" s="438"/>
      <c r="O18" s="376" t="s">
        <v>294</v>
      </c>
      <c r="P18" s="292"/>
      <c r="Q18" s="307"/>
      <c r="R18" s="473"/>
      <c r="S18" s="475"/>
    </row>
    <row r="19" spans="1:19" s="364" customFormat="1" ht="12.75" customHeight="1">
      <c r="A19" s="464"/>
      <c r="B19" s="476"/>
      <c r="C19" s="480"/>
      <c r="D19" s="438"/>
      <c r="E19" s="459"/>
      <c r="F19" s="459"/>
      <c r="G19" s="478"/>
      <c r="H19" s="438"/>
      <c r="I19" s="438"/>
      <c r="J19" s="459"/>
      <c r="K19" s="459"/>
      <c r="L19" s="479"/>
      <c r="M19" s="463"/>
      <c r="N19" s="438"/>
      <c r="O19" s="376" t="s">
        <v>309</v>
      </c>
      <c r="P19" s="292"/>
      <c r="Q19" s="307"/>
      <c r="R19" s="473"/>
      <c r="S19" s="475"/>
    </row>
    <row r="20" spans="1:19" s="364" customFormat="1" ht="12.75" customHeight="1">
      <c r="A20" s="464"/>
      <c r="B20" s="476"/>
      <c r="C20" s="480"/>
      <c r="D20" s="438"/>
      <c r="E20" s="459"/>
      <c r="F20" s="459"/>
      <c r="G20" s="478"/>
      <c r="H20" s="438"/>
      <c r="I20" s="438"/>
      <c r="J20" s="459"/>
      <c r="K20" s="459"/>
      <c r="L20" s="479"/>
      <c r="M20" s="463"/>
      <c r="N20" s="438"/>
      <c r="O20" s="376" t="s">
        <v>310</v>
      </c>
      <c r="P20" s="292"/>
      <c r="Q20" s="307"/>
      <c r="R20" s="474"/>
      <c r="S20" s="466"/>
    </row>
    <row r="21" spans="1:19" s="364" customFormat="1" ht="12.75" customHeight="1">
      <c r="A21" s="464">
        <v>3</v>
      </c>
      <c r="B21" s="476"/>
      <c r="C21" s="480"/>
      <c r="D21" s="438"/>
      <c r="E21" s="459"/>
      <c r="F21" s="459"/>
      <c r="G21" s="478"/>
      <c r="H21" s="438"/>
      <c r="I21" s="438"/>
      <c r="J21" s="459"/>
      <c r="K21" s="459"/>
      <c r="L21" s="479"/>
      <c r="M21" s="463"/>
      <c r="N21" s="438"/>
      <c r="O21" s="376" t="s">
        <v>291</v>
      </c>
      <c r="P21" s="292"/>
      <c r="Q21" s="307"/>
      <c r="R21" s="472" t="s">
        <v>44</v>
      </c>
      <c r="S21" s="465"/>
    </row>
    <row r="22" spans="1:19" s="364" customFormat="1" ht="12.75" customHeight="1">
      <c r="A22" s="464"/>
      <c r="B22" s="476"/>
      <c r="C22" s="480"/>
      <c r="D22" s="438"/>
      <c r="E22" s="459"/>
      <c r="F22" s="459"/>
      <c r="G22" s="478"/>
      <c r="H22" s="438"/>
      <c r="I22" s="438"/>
      <c r="J22" s="459"/>
      <c r="K22" s="459"/>
      <c r="L22" s="479"/>
      <c r="M22" s="463"/>
      <c r="N22" s="438"/>
      <c r="O22" s="376" t="s">
        <v>308</v>
      </c>
      <c r="P22" s="292"/>
      <c r="Q22" s="307"/>
      <c r="R22" s="473"/>
      <c r="S22" s="475"/>
    </row>
    <row r="23" spans="1:19" s="364" customFormat="1" ht="12.75" customHeight="1">
      <c r="A23" s="464"/>
      <c r="B23" s="476"/>
      <c r="C23" s="480"/>
      <c r="D23" s="438"/>
      <c r="E23" s="459"/>
      <c r="F23" s="459"/>
      <c r="G23" s="478"/>
      <c r="H23" s="438"/>
      <c r="I23" s="438"/>
      <c r="J23" s="459"/>
      <c r="K23" s="459"/>
      <c r="L23" s="479"/>
      <c r="M23" s="463"/>
      <c r="N23" s="438"/>
      <c r="O23" s="376" t="s">
        <v>292</v>
      </c>
      <c r="P23" s="292"/>
      <c r="Q23" s="307"/>
      <c r="R23" s="473"/>
      <c r="S23" s="475"/>
    </row>
    <row r="24" spans="1:19" s="364" customFormat="1" ht="12.75" customHeight="1">
      <c r="A24" s="464"/>
      <c r="B24" s="476"/>
      <c r="C24" s="480"/>
      <c r="D24" s="438"/>
      <c r="E24" s="459"/>
      <c r="F24" s="459"/>
      <c r="G24" s="478"/>
      <c r="H24" s="438"/>
      <c r="I24" s="438"/>
      <c r="J24" s="459"/>
      <c r="K24" s="459"/>
      <c r="L24" s="479"/>
      <c r="M24" s="463"/>
      <c r="N24" s="438"/>
      <c r="O24" s="376" t="s">
        <v>293</v>
      </c>
      <c r="P24" s="292"/>
      <c r="Q24" s="307"/>
      <c r="R24" s="473"/>
      <c r="S24" s="475"/>
    </row>
    <row r="25" spans="1:19" s="364" customFormat="1" ht="12.75" customHeight="1">
      <c r="A25" s="464"/>
      <c r="B25" s="476"/>
      <c r="C25" s="480"/>
      <c r="D25" s="438"/>
      <c r="E25" s="459"/>
      <c r="F25" s="459"/>
      <c r="G25" s="478"/>
      <c r="H25" s="438"/>
      <c r="I25" s="438"/>
      <c r="J25" s="459"/>
      <c r="K25" s="459"/>
      <c r="L25" s="479"/>
      <c r="M25" s="463"/>
      <c r="N25" s="438"/>
      <c r="O25" s="376" t="s">
        <v>294</v>
      </c>
      <c r="P25" s="292"/>
      <c r="Q25" s="307"/>
      <c r="R25" s="473"/>
      <c r="S25" s="475"/>
    </row>
    <row r="26" spans="1:19" s="364" customFormat="1" ht="12.75" customHeight="1">
      <c r="A26" s="464"/>
      <c r="B26" s="476"/>
      <c r="C26" s="480"/>
      <c r="D26" s="438"/>
      <c r="E26" s="459"/>
      <c r="F26" s="459"/>
      <c r="G26" s="478"/>
      <c r="H26" s="438"/>
      <c r="I26" s="438"/>
      <c r="J26" s="459"/>
      <c r="K26" s="459"/>
      <c r="L26" s="479"/>
      <c r="M26" s="463"/>
      <c r="N26" s="438"/>
      <c r="O26" s="376" t="s">
        <v>309</v>
      </c>
      <c r="P26" s="292"/>
      <c r="Q26" s="307"/>
      <c r="R26" s="473"/>
      <c r="S26" s="475"/>
    </row>
    <row r="27" spans="1:19" s="364" customFormat="1" ht="12.75">
      <c r="A27" s="464"/>
      <c r="B27" s="476"/>
      <c r="C27" s="480"/>
      <c r="D27" s="438"/>
      <c r="E27" s="459"/>
      <c r="F27" s="459"/>
      <c r="G27" s="478"/>
      <c r="H27" s="438"/>
      <c r="I27" s="438"/>
      <c r="J27" s="459"/>
      <c r="K27" s="459"/>
      <c r="L27" s="479"/>
      <c r="M27" s="463"/>
      <c r="N27" s="438"/>
      <c r="O27" s="376" t="s">
        <v>310</v>
      </c>
      <c r="P27" s="292"/>
      <c r="Q27" s="307"/>
      <c r="R27" s="474"/>
      <c r="S27" s="466"/>
    </row>
    <row r="28" spans="1:19" s="364" customFormat="1" ht="12" customHeight="1">
      <c r="A28" s="464">
        <v>4</v>
      </c>
      <c r="B28" s="476"/>
      <c r="C28" s="480"/>
      <c r="D28" s="438"/>
      <c r="E28" s="459"/>
      <c r="F28" s="459"/>
      <c r="G28" s="478"/>
      <c r="H28" s="438"/>
      <c r="I28" s="438"/>
      <c r="J28" s="459"/>
      <c r="K28" s="459"/>
      <c r="L28" s="479"/>
      <c r="M28" s="463"/>
      <c r="N28" s="438"/>
      <c r="O28" s="376" t="s">
        <v>291</v>
      </c>
      <c r="P28" s="292"/>
      <c r="Q28" s="307"/>
      <c r="R28" s="472" t="s">
        <v>44</v>
      </c>
      <c r="S28" s="465"/>
    </row>
    <row r="29" spans="1:19" s="364" customFormat="1" ht="12" customHeight="1">
      <c r="A29" s="464"/>
      <c r="B29" s="476"/>
      <c r="C29" s="480"/>
      <c r="D29" s="438"/>
      <c r="E29" s="459"/>
      <c r="F29" s="459"/>
      <c r="G29" s="478"/>
      <c r="H29" s="438"/>
      <c r="I29" s="438"/>
      <c r="J29" s="459"/>
      <c r="K29" s="459"/>
      <c r="L29" s="479"/>
      <c r="M29" s="463"/>
      <c r="N29" s="438"/>
      <c r="O29" s="376" t="s">
        <v>308</v>
      </c>
      <c r="P29" s="292"/>
      <c r="Q29" s="307"/>
      <c r="R29" s="473"/>
      <c r="S29" s="475"/>
    </row>
    <row r="30" spans="1:19" s="364" customFormat="1" ht="12" customHeight="1">
      <c r="A30" s="464"/>
      <c r="B30" s="476"/>
      <c r="C30" s="480"/>
      <c r="D30" s="438"/>
      <c r="E30" s="459"/>
      <c r="F30" s="459"/>
      <c r="G30" s="478"/>
      <c r="H30" s="438"/>
      <c r="I30" s="438"/>
      <c r="J30" s="459"/>
      <c r="K30" s="459"/>
      <c r="L30" s="479"/>
      <c r="M30" s="463"/>
      <c r="N30" s="438"/>
      <c r="O30" s="376" t="s">
        <v>292</v>
      </c>
      <c r="P30" s="292"/>
      <c r="Q30" s="307"/>
      <c r="R30" s="473"/>
      <c r="S30" s="475"/>
    </row>
    <row r="31" spans="1:19" s="364" customFormat="1" ht="12" customHeight="1">
      <c r="A31" s="464"/>
      <c r="B31" s="476"/>
      <c r="C31" s="480"/>
      <c r="D31" s="438"/>
      <c r="E31" s="459"/>
      <c r="F31" s="459"/>
      <c r="G31" s="478"/>
      <c r="H31" s="438"/>
      <c r="I31" s="438"/>
      <c r="J31" s="459"/>
      <c r="K31" s="459"/>
      <c r="L31" s="479"/>
      <c r="M31" s="463"/>
      <c r="N31" s="438"/>
      <c r="O31" s="376" t="s">
        <v>293</v>
      </c>
      <c r="P31" s="292"/>
      <c r="Q31" s="307"/>
      <c r="R31" s="473"/>
      <c r="S31" s="475"/>
    </row>
    <row r="32" spans="1:19" s="364" customFormat="1" ht="12" customHeight="1">
      <c r="A32" s="464"/>
      <c r="B32" s="476"/>
      <c r="C32" s="480"/>
      <c r="D32" s="438"/>
      <c r="E32" s="459"/>
      <c r="F32" s="459"/>
      <c r="G32" s="478"/>
      <c r="H32" s="438"/>
      <c r="I32" s="438"/>
      <c r="J32" s="459"/>
      <c r="K32" s="459"/>
      <c r="L32" s="479"/>
      <c r="M32" s="463"/>
      <c r="N32" s="438"/>
      <c r="O32" s="376" t="s">
        <v>294</v>
      </c>
      <c r="P32" s="292"/>
      <c r="Q32" s="307"/>
      <c r="R32" s="473"/>
      <c r="S32" s="475"/>
    </row>
    <row r="33" spans="1:19" s="364" customFormat="1" ht="12" customHeight="1">
      <c r="A33" s="464"/>
      <c r="B33" s="476"/>
      <c r="C33" s="480"/>
      <c r="D33" s="438"/>
      <c r="E33" s="459"/>
      <c r="F33" s="459"/>
      <c r="G33" s="478"/>
      <c r="H33" s="438"/>
      <c r="I33" s="438"/>
      <c r="J33" s="459"/>
      <c r="K33" s="459"/>
      <c r="L33" s="479"/>
      <c r="M33" s="463"/>
      <c r="N33" s="438"/>
      <c r="O33" s="376" t="s">
        <v>309</v>
      </c>
      <c r="P33" s="292"/>
      <c r="Q33" s="307"/>
      <c r="R33" s="473"/>
      <c r="S33" s="475"/>
    </row>
    <row r="34" spans="1:19" s="364" customFormat="1" ht="12" customHeight="1">
      <c r="A34" s="464"/>
      <c r="B34" s="476"/>
      <c r="C34" s="480"/>
      <c r="D34" s="438"/>
      <c r="E34" s="459"/>
      <c r="F34" s="459"/>
      <c r="G34" s="478"/>
      <c r="H34" s="438"/>
      <c r="I34" s="438"/>
      <c r="J34" s="459"/>
      <c r="K34" s="459"/>
      <c r="L34" s="479"/>
      <c r="M34" s="463"/>
      <c r="N34" s="438"/>
      <c r="O34" s="376" t="s">
        <v>310</v>
      </c>
      <c r="P34" s="292"/>
      <c r="Q34" s="307"/>
      <c r="R34" s="474"/>
      <c r="S34" s="466"/>
    </row>
    <row r="35" spans="1:19" s="364" customFormat="1" ht="12" customHeight="1">
      <c r="A35" s="464">
        <v>5</v>
      </c>
      <c r="B35" s="476"/>
      <c r="C35" s="480"/>
      <c r="D35" s="438"/>
      <c r="E35" s="459"/>
      <c r="F35" s="459"/>
      <c r="G35" s="478"/>
      <c r="H35" s="438"/>
      <c r="I35" s="438"/>
      <c r="J35" s="459"/>
      <c r="K35" s="459"/>
      <c r="L35" s="479"/>
      <c r="M35" s="463"/>
      <c r="N35" s="438"/>
      <c r="O35" s="376" t="s">
        <v>291</v>
      </c>
      <c r="P35" s="292"/>
      <c r="Q35" s="307"/>
      <c r="R35" s="472" t="s">
        <v>44</v>
      </c>
      <c r="S35" s="465"/>
    </row>
    <row r="36" spans="1:19" s="364" customFormat="1" ht="12" customHeight="1">
      <c r="A36" s="464"/>
      <c r="B36" s="476"/>
      <c r="C36" s="480"/>
      <c r="D36" s="438"/>
      <c r="E36" s="459"/>
      <c r="F36" s="459"/>
      <c r="G36" s="478"/>
      <c r="H36" s="438"/>
      <c r="I36" s="438"/>
      <c r="J36" s="459"/>
      <c r="K36" s="459"/>
      <c r="L36" s="479"/>
      <c r="M36" s="463"/>
      <c r="N36" s="438"/>
      <c r="O36" s="376" t="s">
        <v>308</v>
      </c>
      <c r="P36" s="292"/>
      <c r="Q36" s="307"/>
      <c r="R36" s="473"/>
      <c r="S36" s="475"/>
    </row>
    <row r="37" spans="1:19" s="364" customFormat="1" ht="12" customHeight="1">
      <c r="A37" s="464"/>
      <c r="B37" s="476"/>
      <c r="C37" s="480"/>
      <c r="D37" s="438"/>
      <c r="E37" s="459"/>
      <c r="F37" s="459"/>
      <c r="G37" s="478"/>
      <c r="H37" s="438"/>
      <c r="I37" s="438"/>
      <c r="J37" s="459"/>
      <c r="K37" s="459"/>
      <c r="L37" s="479"/>
      <c r="M37" s="463"/>
      <c r="N37" s="438"/>
      <c r="O37" s="376" t="s">
        <v>292</v>
      </c>
      <c r="P37" s="292"/>
      <c r="Q37" s="307"/>
      <c r="R37" s="473"/>
      <c r="S37" s="475"/>
    </row>
    <row r="38" spans="1:19" s="364" customFormat="1" ht="12" customHeight="1">
      <c r="A38" s="464"/>
      <c r="B38" s="476"/>
      <c r="C38" s="480"/>
      <c r="D38" s="438"/>
      <c r="E38" s="459"/>
      <c r="F38" s="459"/>
      <c r="G38" s="478"/>
      <c r="H38" s="438"/>
      <c r="I38" s="438"/>
      <c r="J38" s="459"/>
      <c r="K38" s="459"/>
      <c r="L38" s="479"/>
      <c r="M38" s="463"/>
      <c r="N38" s="438"/>
      <c r="O38" s="376" t="s">
        <v>293</v>
      </c>
      <c r="P38" s="292"/>
      <c r="Q38" s="307"/>
      <c r="R38" s="473"/>
      <c r="S38" s="475"/>
    </row>
    <row r="39" spans="1:19" s="364" customFormat="1" ht="12" customHeight="1">
      <c r="A39" s="464"/>
      <c r="B39" s="476"/>
      <c r="C39" s="480"/>
      <c r="D39" s="438"/>
      <c r="E39" s="459"/>
      <c r="F39" s="459"/>
      <c r="G39" s="478"/>
      <c r="H39" s="438"/>
      <c r="I39" s="438"/>
      <c r="J39" s="459"/>
      <c r="K39" s="459"/>
      <c r="L39" s="479"/>
      <c r="M39" s="463"/>
      <c r="N39" s="438"/>
      <c r="O39" s="376" t="s">
        <v>294</v>
      </c>
      <c r="P39" s="292"/>
      <c r="Q39" s="307"/>
      <c r="R39" s="473"/>
      <c r="S39" s="475"/>
    </row>
    <row r="40" spans="1:19" s="364" customFormat="1" ht="12" customHeight="1">
      <c r="A40" s="464"/>
      <c r="B40" s="476"/>
      <c r="C40" s="480"/>
      <c r="D40" s="438"/>
      <c r="E40" s="459"/>
      <c r="F40" s="459"/>
      <c r="G40" s="478"/>
      <c r="H40" s="438"/>
      <c r="I40" s="438"/>
      <c r="J40" s="459"/>
      <c r="K40" s="459"/>
      <c r="L40" s="479"/>
      <c r="M40" s="463"/>
      <c r="N40" s="438"/>
      <c r="O40" s="376" t="s">
        <v>309</v>
      </c>
      <c r="P40" s="292"/>
      <c r="Q40" s="307"/>
      <c r="R40" s="473"/>
      <c r="S40" s="475"/>
    </row>
    <row r="41" spans="1:19" s="364" customFormat="1" ht="12" customHeight="1">
      <c r="A41" s="464"/>
      <c r="B41" s="476"/>
      <c r="C41" s="480"/>
      <c r="D41" s="438"/>
      <c r="E41" s="459"/>
      <c r="F41" s="459"/>
      <c r="G41" s="478"/>
      <c r="H41" s="438"/>
      <c r="I41" s="438"/>
      <c r="J41" s="459"/>
      <c r="K41" s="459"/>
      <c r="L41" s="479"/>
      <c r="M41" s="463"/>
      <c r="N41" s="438"/>
      <c r="O41" s="376" t="s">
        <v>310</v>
      </c>
      <c r="P41" s="292"/>
      <c r="Q41" s="307"/>
      <c r="R41" s="474"/>
      <c r="S41" s="466"/>
    </row>
    <row r="42" spans="1:19" s="364" customFormat="1" ht="12" customHeight="1">
      <c r="A42" s="464">
        <v>5</v>
      </c>
      <c r="B42" s="476"/>
      <c r="C42" s="480"/>
      <c r="D42" s="438"/>
      <c r="E42" s="459"/>
      <c r="F42" s="459"/>
      <c r="G42" s="478"/>
      <c r="H42" s="438"/>
      <c r="I42" s="438"/>
      <c r="J42" s="459"/>
      <c r="K42" s="459"/>
      <c r="L42" s="479"/>
      <c r="M42" s="463"/>
      <c r="N42" s="438"/>
      <c r="O42" s="376" t="s">
        <v>291</v>
      </c>
      <c r="P42" s="292"/>
      <c r="Q42" s="385"/>
      <c r="R42" s="472" t="s">
        <v>44</v>
      </c>
      <c r="S42" s="465"/>
    </row>
    <row r="43" spans="1:19" s="364" customFormat="1" ht="12" customHeight="1">
      <c r="A43" s="464"/>
      <c r="B43" s="476"/>
      <c r="C43" s="480"/>
      <c r="D43" s="438"/>
      <c r="E43" s="459"/>
      <c r="F43" s="459"/>
      <c r="G43" s="478"/>
      <c r="H43" s="438"/>
      <c r="I43" s="438"/>
      <c r="J43" s="459"/>
      <c r="K43" s="459"/>
      <c r="L43" s="479"/>
      <c r="M43" s="463"/>
      <c r="N43" s="438"/>
      <c r="O43" s="376" t="s">
        <v>308</v>
      </c>
      <c r="P43" s="292"/>
      <c r="Q43" s="385"/>
      <c r="R43" s="473"/>
      <c r="S43" s="475"/>
    </row>
    <row r="44" spans="1:19" s="364" customFormat="1" ht="12" customHeight="1">
      <c r="A44" s="464"/>
      <c r="B44" s="476"/>
      <c r="C44" s="480"/>
      <c r="D44" s="438"/>
      <c r="E44" s="459"/>
      <c r="F44" s="459"/>
      <c r="G44" s="478"/>
      <c r="H44" s="438"/>
      <c r="I44" s="438"/>
      <c r="J44" s="459"/>
      <c r="K44" s="459"/>
      <c r="L44" s="479"/>
      <c r="M44" s="463"/>
      <c r="N44" s="438"/>
      <c r="O44" s="376" t="s">
        <v>292</v>
      </c>
      <c r="P44" s="292"/>
      <c r="Q44" s="385"/>
      <c r="R44" s="473"/>
      <c r="S44" s="475"/>
    </row>
    <row r="45" spans="1:19" s="364" customFormat="1" ht="12" customHeight="1">
      <c r="A45" s="464"/>
      <c r="B45" s="476"/>
      <c r="C45" s="480"/>
      <c r="D45" s="438"/>
      <c r="E45" s="459"/>
      <c r="F45" s="459"/>
      <c r="G45" s="478"/>
      <c r="H45" s="438"/>
      <c r="I45" s="438"/>
      <c r="J45" s="459"/>
      <c r="K45" s="459"/>
      <c r="L45" s="479"/>
      <c r="M45" s="463"/>
      <c r="N45" s="438"/>
      <c r="O45" s="376" t="s">
        <v>293</v>
      </c>
      <c r="P45" s="292"/>
      <c r="Q45" s="385"/>
      <c r="R45" s="473"/>
      <c r="S45" s="475"/>
    </row>
    <row r="46" spans="1:19" s="364" customFormat="1" ht="12" customHeight="1">
      <c r="A46" s="464"/>
      <c r="B46" s="476"/>
      <c r="C46" s="480"/>
      <c r="D46" s="438"/>
      <c r="E46" s="459"/>
      <c r="F46" s="459"/>
      <c r="G46" s="478"/>
      <c r="H46" s="438"/>
      <c r="I46" s="438"/>
      <c r="J46" s="459"/>
      <c r="K46" s="459"/>
      <c r="L46" s="479"/>
      <c r="M46" s="463"/>
      <c r="N46" s="438"/>
      <c r="O46" s="376" t="s">
        <v>294</v>
      </c>
      <c r="P46" s="292"/>
      <c r="Q46" s="385"/>
      <c r="R46" s="473"/>
      <c r="S46" s="475"/>
    </row>
    <row r="47" spans="1:19" s="364" customFormat="1" ht="12" customHeight="1">
      <c r="A47" s="464"/>
      <c r="B47" s="476"/>
      <c r="C47" s="480"/>
      <c r="D47" s="438"/>
      <c r="E47" s="459"/>
      <c r="F47" s="459"/>
      <c r="G47" s="478"/>
      <c r="H47" s="438"/>
      <c r="I47" s="438"/>
      <c r="J47" s="459"/>
      <c r="K47" s="459"/>
      <c r="L47" s="479"/>
      <c r="M47" s="463"/>
      <c r="N47" s="438"/>
      <c r="O47" s="376" t="s">
        <v>309</v>
      </c>
      <c r="P47" s="292"/>
      <c r="Q47" s="385"/>
      <c r="R47" s="473"/>
      <c r="S47" s="475"/>
    </row>
    <row r="48" spans="1:19" s="364" customFormat="1" ht="12" customHeight="1">
      <c r="A48" s="464"/>
      <c r="B48" s="476"/>
      <c r="C48" s="480"/>
      <c r="D48" s="438"/>
      <c r="E48" s="459"/>
      <c r="F48" s="459"/>
      <c r="G48" s="478"/>
      <c r="H48" s="438"/>
      <c r="I48" s="438"/>
      <c r="J48" s="459"/>
      <c r="K48" s="459"/>
      <c r="L48" s="479"/>
      <c r="M48" s="463"/>
      <c r="N48" s="438"/>
      <c r="O48" s="376" t="s">
        <v>310</v>
      </c>
      <c r="P48" s="292"/>
      <c r="Q48" s="385"/>
      <c r="R48" s="474"/>
      <c r="S48" s="466"/>
    </row>
    <row r="49" spans="1:19" s="364" customFormat="1" ht="12" customHeight="1">
      <c r="A49" s="386"/>
      <c r="B49" s="387"/>
      <c r="C49" s="388"/>
      <c r="D49" s="341"/>
      <c r="E49" s="343"/>
      <c r="F49" s="343"/>
      <c r="G49" s="389"/>
      <c r="H49" s="341"/>
      <c r="I49" s="341"/>
      <c r="J49" s="343"/>
      <c r="K49" s="343"/>
      <c r="L49" s="390"/>
      <c r="M49" s="344"/>
      <c r="N49" s="341"/>
      <c r="O49" s="391"/>
      <c r="P49" s="392"/>
      <c r="Q49" s="393"/>
      <c r="R49" s="393"/>
      <c r="S49" s="386"/>
    </row>
    <row r="50" spans="1:19" s="364" customFormat="1" ht="12" customHeight="1">
      <c r="A50" s="386"/>
      <c r="B50" s="387"/>
      <c r="C50" s="388"/>
      <c r="D50" s="341"/>
      <c r="E50" s="343"/>
      <c r="F50" s="343"/>
      <c r="G50" s="389"/>
      <c r="H50" s="341"/>
      <c r="I50" s="341"/>
      <c r="J50" s="343"/>
      <c r="K50" s="343"/>
      <c r="L50" s="390"/>
      <c r="M50" s="344"/>
      <c r="N50" s="341"/>
      <c r="O50" s="391"/>
      <c r="P50" s="392"/>
      <c r="Q50" s="393"/>
      <c r="R50" s="393"/>
      <c r="S50" s="386"/>
    </row>
    <row r="51" spans="1:19" ht="12.75" customHeight="1">
      <c r="A51" s="380" t="s">
        <v>487</v>
      </c>
      <c r="B51" s="377"/>
      <c r="C51" s="378"/>
      <c r="D51" s="377"/>
      <c r="E51" s="377"/>
      <c r="F51" s="377"/>
      <c r="G51" s="377"/>
      <c r="H51" s="377"/>
      <c r="I51" s="377"/>
      <c r="J51" s="377"/>
      <c r="K51" s="377"/>
      <c r="L51" s="377"/>
      <c r="M51" s="377"/>
      <c r="N51" s="377"/>
      <c r="O51" s="377"/>
      <c r="P51" s="377"/>
      <c r="Q51" s="377"/>
      <c r="R51" s="377"/>
      <c r="S51" s="377"/>
    </row>
    <row r="52" spans="1:19" ht="12.75" customHeight="1">
      <c r="A52" s="381" t="s">
        <v>460</v>
      </c>
      <c r="B52" s="377"/>
      <c r="C52" s="378"/>
      <c r="D52" s="377"/>
      <c r="E52" s="377"/>
      <c r="F52" s="377"/>
      <c r="G52" s="377"/>
      <c r="H52" s="377"/>
      <c r="I52" s="377"/>
      <c r="J52" s="377"/>
      <c r="K52" s="377"/>
      <c r="L52" s="377"/>
      <c r="M52" s="377"/>
      <c r="N52" s="377"/>
      <c r="O52" s="377"/>
      <c r="P52" s="377"/>
      <c r="Q52" s="377"/>
      <c r="R52" s="377"/>
      <c r="S52" s="377"/>
    </row>
    <row r="53" spans="1:19" ht="12.75" customHeight="1">
      <c r="A53" s="381" t="s">
        <v>461</v>
      </c>
      <c r="B53" s="377"/>
      <c r="C53" s="378"/>
      <c r="D53" s="377"/>
      <c r="E53" s="377"/>
      <c r="F53" s="377"/>
      <c r="G53" s="377"/>
      <c r="H53" s="377"/>
      <c r="I53" s="377"/>
      <c r="J53" s="377"/>
      <c r="K53" s="377"/>
      <c r="L53" s="377"/>
      <c r="M53" s="377"/>
      <c r="N53" s="377"/>
      <c r="O53" s="377"/>
      <c r="P53" s="377"/>
      <c r="Q53" s="377"/>
      <c r="R53" s="377"/>
      <c r="S53" s="377"/>
    </row>
    <row r="54" ht="7.5" customHeight="1"/>
    <row r="55" ht="12.75">
      <c r="G55" s="379" t="s">
        <v>380</v>
      </c>
    </row>
    <row r="56" ht="12.75">
      <c r="G56" s="367" t="s">
        <v>462</v>
      </c>
    </row>
    <row r="57" s="382" customFormat="1" ht="12.75">
      <c r="G57" s="383" t="s">
        <v>463</v>
      </c>
    </row>
    <row r="58" s="382" customFormat="1" ht="12.75">
      <c r="G58" s="383" t="s">
        <v>381</v>
      </c>
    </row>
  </sheetData>
  <sheetProtection password="FD18" sheet="1" objects="1" scenarios="1" formatRows="0" insertRows="0" deleteRows="0"/>
  <mergeCells count="108">
    <mergeCell ref="M42:M48"/>
    <mergeCell ref="N42:N48"/>
    <mergeCell ref="R42:R48"/>
    <mergeCell ref="S42:S48"/>
    <mergeCell ref="G42:G48"/>
    <mergeCell ref="H42:H48"/>
    <mergeCell ref="I42:I48"/>
    <mergeCell ref="J42:J48"/>
    <mergeCell ref="K42:K48"/>
    <mergeCell ref="L42:L48"/>
    <mergeCell ref="A42:A48"/>
    <mergeCell ref="B42:B48"/>
    <mergeCell ref="C42:C48"/>
    <mergeCell ref="D42:D48"/>
    <mergeCell ref="E42:E48"/>
    <mergeCell ref="F42:F48"/>
    <mergeCell ref="M35:M41"/>
    <mergeCell ref="N35:N41"/>
    <mergeCell ref="R35:R41"/>
    <mergeCell ref="S35:S41"/>
    <mergeCell ref="G35:G41"/>
    <mergeCell ref="H35:H41"/>
    <mergeCell ref="I35:I41"/>
    <mergeCell ref="J35:J41"/>
    <mergeCell ref="K35:K41"/>
    <mergeCell ref="L35:L41"/>
    <mergeCell ref="A35:A41"/>
    <mergeCell ref="B35:B41"/>
    <mergeCell ref="C35:C41"/>
    <mergeCell ref="D35:D41"/>
    <mergeCell ref="E35:E41"/>
    <mergeCell ref="F35:F41"/>
    <mergeCell ref="R28:R34"/>
    <mergeCell ref="S28:S34"/>
    <mergeCell ref="A28:A34"/>
    <mergeCell ref="B28:B34"/>
    <mergeCell ref="C28:C34"/>
    <mergeCell ref="D28:D34"/>
    <mergeCell ref="E28:E34"/>
    <mergeCell ref="F28:F34"/>
    <mergeCell ref="G28:G34"/>
    <mergeCell ref="H28:H34"/>
    <mergeCell ref="I28:I34"/>
    <mergeCell ref="J28:J34"/>
    <mergeCell ref="K28:K34"/>
    <mergeCell ref="L28:L34"/>
    <mergeCell ref="M28:M34"/>
    <mergeCell ref="N28:N34"/>
    <mergeCell ref="R21:R27"/>
    <mergeCell ref="S21:S27"/>
    <mergeCell ref="I21:I27"/>
    <mergeCell ref="J21:J27"/>
    <mergeCell ref="K21:K27"/>
    <mergeCell ref="L21:L27"/>
    <mergeCell ref="M21:M27"/>
    <mergeCell ref="N21:N27"/>
    <mergeCell ref="R14:R20"/>
    <mergeCell ref="S14:S20"/>
    <mergeCell ref="A21:A27"/>
    <mergeCell ref="B21:B27"/>
    <mergeCell ref="C21:C27"/>
    <mergeCell ref="D21:D27"/>
    <mergeCell ref="E21:E27"/>
    <mergeCell ref="F21:F27"/>
    <mergeCell ref="G21:G27"/>
    <mergeCell ref="H21:H27"/>
    <mergeCell ref="I14:I20"/>
    <mergeCell ref="J14:J20"/>
    <mergeCell ref="K14:K20"/>
    <mergeCell ref="L14:L20"/>
    <mergeCell ref="M14:M20"/>
    <mergeCell ref="N14:N20"/>
    <mergeCell ref="N7:N13"/>
    <mergeCell ref="A7:A13"/>
    <mergeCell ref="A14:A20"/>
    <mergeCell ref="B14:B20"/>
    <mergeCell ref="C14:C20"/>
    <mergeCell ref="D14:D20"/>
    <mergeCell ref="E14:E20"/>
    <mergeCell ref="F14:F20"/>
    <mergeCell ref="G14:G20"/>
    <mergeCell ref="H14:H20"/>
    <mergeCell ref="H7:H13"/>
    <mergeCell ref="I7:I13"/>
    <mergeCell ref="J7:J13"/>
    <mergeCell ref="K7:K13"/>
    <mergeCell ref="L7:L13"/>
    <mergeCell ref="M7:M13"/>
    <mergeCell ref="H5:K5"/>
    <mergeCell ref="R5:R6"/>
    <mergeCell ref="R7:R13"/>
    <mergeCell ref="S7:S13"/>
    <mergeCell ref="B7:B13"/>
    <mergeCell ref="C7:C13"/>
    <mergeCell ref="D7:D13"/>
    <mergeCell ref="E7:E13"/>
    <mergeCell ref="F7:F13"/>
    <mergeCell ref="G7:G13"/>
    <mergeCell ref="L5:N5"/>
    <mergeCell ref="O5:Q5"/>
    <mergeCell ref="S5:S6"/>
    <mergeCell ref="B2:T2"/>
    <mergeCell ref="B3:T3"/>
    <mergeCell ref="A5:A6"/>
    <mergeCell ref="B5:B6"/>
    <mergeCell ref="C5:C6"/>
    <mergeCell ref="D5:F5"/>
    <mergeCell ref="G5:G6"/>
  </mergeCells>
  <dataValidations count="2">
    <dataValidation type="list" allowBlank="1" showInputMessage="1" showErrorMessage="1" sqref="O7:O50">
      <formula1>"Luni,Marti,Miercuri,Joi,Vineri,Sambata,Duminica"</formula1>
    </dataValidation>
    <dataValidation type="list" allowBlank="1" showInputMessage="1" showErrorMessage="1" sqref="R7:R50">
      <formula1>"Da,Nu"</formula1>
    </dataValidation>
  </dataValidations>
  <printOptions horizontalCentered="1"/>
  <pageMargins left="0.1968503937007874" right="0.1968503937007874" top="0.5905511811023623" bottom="0.3937007874015748" header="0.31496062992125984" footer="0.31496062992125984"/>
  <pageSetup horizontalDpi="600" verticalDpi="600" orientation="landscape" paperSize="9" scale="82" r:id="rId3"/>
  <legacyDrawing r:id="rId2"/>
</worksheet>
</file>

<file path=xl/worksheets/sheet8.xml><?xml version="1.0" encoding="utf-8"?>
<worksheet xmlns="http://schemas.openxmlformats.org/spreadsheetml/2006/main" xmlns:r="http://schemas.openxmlformats.org/officeDocument/2006/relationships">
  <sheetPr>
    <tabColor rgb="FFFFFF99"/>
  </sheetPr>
  <dimension ref="B2:K45"/>
  <sheetViews>
    <sheetView zoomScalePageLayoutView="0" workbookViewId="0" topLeftCell="A22">
      <selection activeCell="B16" sqref="B16:B17"/>
    </sheetView>
  </sheetViews>
  <sheetFormatPr defaultColWidth="9.140625" defaultRowHeight="12.75"/>
  <cols>
    <col min="1" max="1" width="4.28125" style="0" customWidth="1"/>
    <col min="2" max="2" width="16.28125" style="0" customWidth="1"/>
    <col min="3" max="3" width="22.421875" style="0" customWidth="1"/>
    <col min="4" max="4" width="10.28125" style="0" customWidth="1"/>
    <col min="11" max="11" width="7.140625" style="0" customWidth="1"/>
    <col min="12" max="12" width="19.8515625" style="0" customWidth="1"/>
  </cols>
  <sheetData>
    <row r="1" ht="8.25" customHeight="1"/>
    <row r="2" ht="12.75">
      <c r="B2" s="303" t="s">
        <v>352</v>
      </c>
    </row>
    <row r="3" ht="6" customHeight="1"/>
    <row r="4" spans="2:3" ht="15">
      <c r="B4" s="204" t="s">
        <v>350</v>
      </c>
      <c r="C4" s="209" t="str">
        <f>PROPER(Furnizor!B2)</f>
        <v>Sc  Denumire Furnizor Srl</v>
      </c>
    </row>
    <row r="5" ht="9" customHeight="1">
      <c r="B5" s="205"/>
    </row>
    <row r="6" spans="2:4" s="206" customFormat="1" ht="15">
      <c r="B6" s="207" t="s">
        <v>351</v>
      </c>
      <c r="D6" s="210" t="str">
        <f>PROPER(Furnizor!AO6)</f>
        <v>Loc.Constanta Str.Nume Strada Sediu Social Nr.1A</v>
      </c>
    </row>
    <row r="7" ht="9" customHeight="1">
      <c r="B7" s="204"/>
    </row>
    <row r="8" spans="2:3" ht="15">
      <c r="B8" s="204" t="s">
        <v>349</v>
      </c>
      <c r="C8" s="208" t="str">
        <f>PROPER(Furnizor!AO27)</f>
        <v>Loc.Constanta Str.Nume Strada Punct De Lucru Nr.1 </v>
      </c>
    </row>
    <row r="9" ht="10.5" customHeight="1">
      <c r="B9" s="99"/>
    </row>
    <row r="10" spans="2:5" ht="15.75">
      <c r="B10" s="99"/>
      <c r="E10" s="100" t="s">
        <v>312</v>
      </c>
    </row>
    <row r="11" spans="2:4" ht="9" customHeight="1">
      <c r="B11" s="99"/>
      <c r="D11" s="101"/>
    </row>
    <row r="12" spans="2:5" s="198" customFormat="1" ht="15.75">
      <c r="B12" s="202" t="s">
        <v>348</v>
      </c>
      <c r="C12" s="203" t="str">
        <f>PROPER(Furnizor!AO20)</f>
        <v>Nume Repl Legal Prenume Repl</v>
      </c>
      <c r="E12" s="258" t="s">
        <v>548</v>
      </c>
    </row>
    <row r="13" s="198" customFormat="1" ht="15.75">
      <c r="B13" s="199" t="s">
        <v>347</v>
      </c>
    </row>
    <row r="14" s="198" customFormat="1" ht="15.75">
      <c r="B14" s="200" t="s">
        <v>549</v>
      </c>
    </row>
    <row r="15" s="198" customFormat="1" ht="9" customHeight="1">
      <c r="B15" s="200"/>
    </row>
    <row r="16" s="198" customFormat="1" ht="13.5">
      <c r="B16" s="313" t="s">
        <v>552</v>
      </c>
    </row>
    <row r="17" s="198" customFormat="1" ht="12" customHeight="1" thickBot="1">
      <c r="B17" s="312" t="s">
        <v>553</v>
      </c>
    </row>
    <row r="18" spans="2:11" ht="12.75" customHeight="1">
      <c r="B18" s="489" t="s">
        <v>316</v>
      </c>
      <c r="C18" s="489" t="s">
        <v>306</v>
      </c>
      <c r="D18" s="495" t="s">
        <v>307</v>
      </c>
      <c r="E18" s="496"/>
      <c r="F18" s="496"/>
      <c r="G18" s="496"/>
      <c r="H18" s="496"/>
      <c r="I18" s="496"/>
      <c r="J18" s="496"/>
      <c r="K18" s="497"/>
    </row>
    <row r="19" spans="2:11" ht="13.5" thickBot="1">
      <c r="B19" s="481"/>
      <c r="C19" s="481"/>
      <c r="D19" s="498"/>
      <c r="E19" s="499"/>
      <c r="F19" s="499"/>
      <c r="G19" s="499"/>
      <c r="H19" s="499"/>
      <c r="I19" s="499"/>
      <c r="J19" s="499"/>
      <c r="K19" s="500"/>
    </row>
    <row r="20" spans="2:11" ht="12.75">
      <c r="B20" s="481"/>
      <c r="C20" s="481"/>
      <c r="D20" s="481" t="s">
        <v>291</v>
      </c>
      <c r="E20" s="481" t="s">
        <v>308</v>
      </c>
      <c r="F20" s="481" t="s">
        <v>292</v>
      </c>
      <c r="G20" s="481" t="s">
        <v>293</v>
      </c>
      <c r="H20" s="481" t="s">
        <v>294</v>
      </c>
      <c r="I20" s="481" t="s">
        <v>309</v>
      </c>
      <c r="J20" s="481" t="s">
        <v>310</v>
      </c>
      <c r="K20" s="493" t="s">
        <v>551</v>
      </c>
    </row>
    <row r="21" spans="2:11" ht="12.75">
      <c r="B21" s="481"/>
      <c r="C21" s="481"/>
      <c r="D21" s="481"/>
      <c r="E21" s="481"/>
      <c r="F21" s="481"/>
      <c r="G21" s="481"/>
      <c r="H21" s="481"/>
      <c r="I21" s="481"/>
      <c r="J21" s="481"/>
      <c r="K21" s="493"/>
    </row>
    <row r="22" spans="2:11" ht="13.5" thickBot="1">
      <c r="B22" s="482"/>
      <c r="C22" s="482"/>
      <c r="D22" s="482"/>
      <c r="E22" s="482"/>
      <c r="F22" s="482"/>
      <c r="G22" s="482"/>
      <c r="H22" s="482"/>
      <c r="I22" s="482"/>
      <c r="J22" s="482"/>
      <c r="K22" s="494"/>
    </row>
    <row r="23" spans="2:11" ht="12.75">
      <c r="B23" s="489" t="s">
        <v>550</v>
      </c>
      <c r="C23" s="501" t="str">
        <f>CONCATENATE(Furnizor!AO27," ",Furnizor!AO8)</f>
        <v>Loc.Constanta Str.nume strada punct de lucru Nr.1  Tel:0241/XXXXXX Fax0241/XXXXXX E-mail societate@email.ro</v>
      </c>
      <c r="D23" s="486" t="s">
        <v>396</v>
      </c>
      <c r="E23" s="486" t="s">
        <v>396</v>
      </c>
      <c r="F23" s="486" t="s">
        <v>396</v>
      </c>
      <c r="G23" s="486" t="s">
        <v>396</v>
      </c>
      <c r="H23" s="486" t="s">
        <v>396</v>
      </c>
      <c r="I23" s="486" t="s">
        <v>44</v>
      </c>
      <c r="J23" s="486" t="s">
        <v>44</v>
      </c>
      <c r="K23" s="486" t="s">
        <v>44</v>
      </c>
    </row>
    <row r="24" spans="2:11" ht="12.75">
      <c r="B24" s="481"/>
      <c r="C24" s="502"/>
      <c r="D24" s="487"/>
      <c r="E24" s="487"/>
      <c r="F24" s="487"/>
      <c r="G24" s="487"/>
      <c r="H24" s="487"/>
      <c r="I24" s="487"/>
      <c r="J24" s="487"/>
      <c r="K24" s="487"/>
    </row>
    <row r="25" spans="2:11" ht="12.75">
      <c r="B25" s="481"/>
      <c r="C25" s="502"/>
      <c r="D25" s="487"/>
      <c r="E25" s="487"/>
      <c r="F25" s="487"/>
      <c r="G25" s="487"/>
      <c r="H25" s="487"/>
      <c r="I25" s="487"/>
      <c r="J25" s="487"/>
      <c r="K25" s="487"/>
    </row>
    <row r="26" spans="2:11" ht="12.75">
      <c r="B26" s="481"/>
      <c r="C26" s="502"/>
      <c r="D26" s="487"/>
      <c r="E26" s="487"/>
      <c r="F26" s="487"/>
      <c r="G26" s="487"/>
      <c r="H26" s="487"/>
      <c r="I26" s="487"/>
      <c r="J26" s="487"/>
      <c r="K26" s="487"/>
    </row>
    <row r="27" spans="2:11" ht="13.5" thickBot="1">
      <c r="B27" s="482"/>
      <c r="C27" s="503"/>
      <c r="D27" s="488"/>
      <c r="E27" s="488"/>
      <c r="F27" s="488"/>
      <c r="G27" s="488"/>
      <c r="H27" s="488"/>
      <c r="I27" s="488"/>
      <c r="J27" s="488"/>
      <c r="K27" s="488"/>
    </row>
    <row r="28" spans="2:11" ht="12.75">
      <c r="B28" s="489" t="s">
        <v>319</v>
      </c>
      <c r="C28" s="501" t="str">
        <f>CONCATENATE(Furnizor!AO27," ",Furnizor!AO33)</f>
        <v>Loc.Constanta Str.nume strada punct de lucru Nr.1  Tel:0241/XXXXXX Fax0241/XXXXXX E-mail email@pct_lucru_daca_are.ro</v>
      </c>
      <c r="D28" s="483"/>
      <c r="E28" s="483"/>
      <c r="F28" s="483"/>
      <c r="G28" s="483"/>
      <c r="H28" s="483"/>
      <c r="I28" s="486"/>
      <c r="J28" s="486"/>
      <c r="K28" s="486"/>
    </row>
    <row r="29" spans="2:11" ht="12.75">
      <c r="B29" s="481"/>
      <c r="C29" s="502"/>
      <c r="D29" s="484"/>
      <c r="E29" s="484"/>
      <c r="F29" s="484"/>
      <c r="G29" s="484"/>
      <c r="H29" s="484"/>
      <c r="I29" s="487"/>
      <c r="J29" s="487"/>
      <c r="K29" s="487"/>
    </row>
    <row r="30" spans="2:11" ht="12.75">
      <c r="B30" s="481"/>
      <c r="C30" s="502"/>
      <c r="D30" s="484"/>
      <c r="E30" s="484"/>
      <c r="F30" s="484"/>
      <c r="G30" s="484"/>
      <c r="H30" s="484"/>
      <c r="I30" s="487"/>
      <c r="J30" s="487"/>
      <c r="K30" s="487"/>
    </row>
    <row r="31" spans="2:11" ht="12.75">
      <c r="B31" s="481"/>
      <c r="C31" s="502"/>
      <c r="D31" s="484"/>
      <c r="E31" s="484"/>
      <c r="F31" s="484"/>
      <c r="G31" s="484"/>
      <c r="H31" s="484"/>
      <c r="I31" s="487"/>
      <c r="J31" s="487"/>
      <c r="K31" s="487"/>
    </row>
    <row r="32" spans="2:11" ht="12.75">
      <c r="B32" s="481"/>
      <c r="C32" s="502"/>
      <c r="D32" s="484"/>
      <c r="E32" s="484"/>
      <c r="F32" s="484"/>
      <c r="G32" s="484"/>
      <c r="H32" s="484"/>
      <c r="I32" s="487"/>
      <c r="J32" s="487"/>
      <c r="K32" s="487"/>
    </row>
    <row r="33" spans="2:11" ht="13.5" thickBot="1">
      <c r="B33" s="482"/>
      <c r="C33" s="503"/>
      <c r="D33" s="485"/>
      <c r="E33" s="485"/>
      <c r="F33" s="485"/>
      <c r="G33" s="485"/>
      <c r="H33" s="485"/>
      <c r="I33" s="488"/>
      <c r="J33" s="488"/>
      <c r="K33" s="488"/>
    </row>
    <row r="34" spans="2:11" ht="12.75">
      <c r="B34" s="241"/>
      <c r="C34" s="490"/>
      <c r="D34" s="483"/>
      <c r="E34" s="483"/>
      <c r="F34" s="483"/>
      <c r="G34" s="483"/>
      <c r="H34" s="483"/>
      <c r="I34" s="483"/>
      <c r="J34" s="483"/>
      <c r="K34" s="483"/>
    </row>
    <row r="35" spans="2:11" ht="12.75">
      <c r="B35" s="242" t="s">
        <v>311</v>
      </c>
      <c r="C35" s="491"/>
      <c r="D35" s="484"/>
      <c r="E35" s="484"/>
      <c r="F35" s="484"/>
      <c r="G35" s="484"/>
      <c r="H35" s="484"/>
      <c r="I35" s="484"/>
      <c r="J35" s="484"/>
      <c r="K35" s="484"/>
    </row>
    <row r="36" spans="2:11" ht="13.5" thickBot="1">
      <c r="B36" s="243"/>
      <c r="C36" s="492"/>
      <c r="D36" s="485"/>
      <c r="E36" s="485"/>
      <c r="F36" s="485"/>
      <c r="G36" s="485"/>
      <c r="H36" s="485"/>
      <c r="I36" s="485"/>
      <c r="J36" s="485"/>
      <c r="K36" s="485"/>
    </row>
    <row r="37" ht="8.25" customHeight="1"/>
    <row r="38" ht="15.75">
      <c r="B38" s="99" t="s">
        <v>317</v>
      </c>
    </row>
    <row r="39" ht="15.75">
      <c r="B39" s="99" t="s">
        <v>318</v>
      </c>
    </row>
    <row r="40" ht="15.75">
      <c r="B40" s="99" t="s">
        <v>313</v>
      </c>
    </row>
    <row r="41" ht="6.75" customHeight="1"/>
    <row r="42" spans="2:8" ht="15.75">
      <c r="B42" s="102" t="s">
        <v>287</v>
      </c>
      <c r="H42" t="s">
        <v>314</v>
      </c>
    </row>
    <row r="43" spans="2:8" ht="12.75">
      <c r="B43" s="278" t="s">
        <v>547</v>
      </c>
      <c r="H43" s="201" t="str">
        <f>Furnizor!AO20</f>
        <v>Nume Repl Legal Prenume Repl</v>
      </c>
    </row>
    <row r="45" ht="12.75">
      <c r="H45" t="s">
        <v>381</v>
      </c>
    </row>
  </sheetData>
  <sheetProtection password="FD18" sheet="1" formatCells="0" insertRows="0" deleteRows="0"/>
  <mergeCells count="40">
    <mergeCell ref="K20:K22"/>
    <mergeCell ref="D18:K19"/>
    <mergeCell ref="J23:J27"/>
    <mergeCell ref="K23:K27"/>
    <mergeCell ref="C28:C33"/>
    <mergeCell ref="D28:D33"/>
    <mergeCell ref="E28:E33"/>
    <mergeCell ref="F28:F33"/>
    <mergeCell ref="G28:G33"/>
    <mergeCell ref="C23:C27"/>
    <mergeCell ref="I34:I36"/>
    <mergeCell ref="H23:H27"/>
    <mergeCell ref="I23:I27"/>
    <mergeCell ref="F23:F27"/>
    <mergeCell ref="G23:G27"/>
    <mergeCell ref="C18:C22"/>
    <mergeCell ref="I20:I22"/>
    <mergeCell ref="D23:D27"/>
    <mergeCell ref="E23:E27"/>
    <mergeCell ref="E34:E36"/>
    <mergeCell ref="B18:B22"/>
    <mergeCell ref="B28:B33"/>
    <mergeCell ref="B23:B27"/>
    <mergeCell ref="C34:C36"/>
    <mergeCell ref="D34:D36"/>
    <mergeCell ref="H20:H22"/>
    <mergeCell ref="H28:H33"/>
    <mergeCell ref="F34:F36"/>
    <mergeCell ref="G34:G36"/>
    <mergeCell ref="H34:H36"/>
    <mergeCell ref="J20:J22"/>
    <mergeCell ref="J34:J36"/>
    <mergeCell ref="K34:K36"/>
    <mergeCell ref="D20:D22"/>
    <mergeCell ref="E20:E22"/>
    <mergeCell ref="F20:F22"/>
    <mergeCell ref="G20:G22"/>
    <mergeCell ref="I28:I33"/>
    <mergeCell ref="J28:J33"/>
    <mergeCell ref="K28:K33"/>
  </mergeCells>
  <printOptions horizontalCentered="1"/>
  <pageMargins left="0.1968503937007874" right="0.1968503937007874" top="0.3937007874015748" bottom="0.1968503937007874" header="0.31496062992125984" footer="0.31496062992125984"/>
  <pageSetup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dimension ref="A2:I21"/>
  <sheetViews>
    <sheetView zoomScalePageLayoutView="0" workbookViewId="0" topLeftCell="A1">
      <selection activeCell="A7" sqref="A7:I7"/>
    </sheetView>
  </sheetViews>
  <sheetFormatPr defaultColWidth="9.140625" defaultRowHeight="12.75"/>
  <cols>
    <col min="1" max="1" width="2.8515625" style="98" customWidth="1"/>
    <col min="2" max="2" width="13.57421875" style="98" customWidth="1"/>
    <col min="3" max="3" width="13.00390625" style="98" customWidth="1"/>
    <col min="4" max="4" width="7.7109375" style="98" customWidth="1"/>
    <col min="5" max="5" width="9.57421875" style="98" customWidth="1"/>
    <col min="6" max="6" width="9.8515625" style="98" customWidth="1"/>
    <col min="7" max="7" width="12.140625" style="98" customWidth="1"/>
    <col min="8" max="8" width="8.7109375" style="98" customWidth="1"/>
    <col min="9" max="9" width="11.7109375" style="98" customWidth="1"/>
    <col min="10" max="16384" width="9.140625" style="98" customWidth="1"/>
  </cols>
  <sheetData>
    <row r="2" spans="2:6" ht="12.75">
      <c r="B2" s="403" t="s">
        <v>14</v>
      </c>
      <c r="C2" s="403"/>
      <c r="D2" s="265" t="str">
        <f>PROPER(Furnizor!B2)</f>
        <v>Sc  Denumire Furnizor Srl</v>
      </c>
      <c r="E2" s="250"/>
      <c r="F2" s="250"/>
    </row>
    <row r="3" spans="2:6" ht="12.75">
      <c r="B3" s="248"/>
      <c r="C3" s="211"/>
      <c r="D3" s="250"/>
      <c r="E3" s="250"/>
      <c r="F3" s="250"/>
    </row>
    <row r="4" spans="2:9" ht="12.75">
      <c r="B4" s="53" t="s">
        <v>15</v>
      </c>
      <c r="C4" s="121" t="str">
        <f>PROPER(Furnizor!AO27)</f>
        <v>Loc.Constanta Str.Nume Strada Punct De Lucru Nr.1 </v>
      </c>
      <c r="D4" s="250"/>
      <c r="E4" s="250"/>
      <c r="F4" s="250"/>
      <c r="I4" s="110" t="s">
        <v>287</v>
      </c>
    </row>
    <row r="5" spans="2:9" ht="12.75">
      <c r="B5" s="53" t="s">
        <v>16</v>
      </c>
      <c r="C5" s="244" t="str">
        <f>PROPER(Furnizor!C4)</f>
        <v>Lxx</v>
      </c>
      <c r="D5" s="250"/>
      <c r="E5" s="250"/>
      <c r="F5" s="250"/>
      <c r="I5" s="274" t="s">
        <v>401</v>
      </c>
    </row>
    <row r="6" spans="2:6" ht="12.75">
      <c r="B6" s="249" t="s">
        <v>289</v>
      </c>
      <c r="C6" s="121" t="str">
        <f>PROPER(Furnizor!C5)</f>
        <v>11111111</v>
      </c>
      <c r="D6" s="250"/>
      <c r="E6" s="250"/>
      <c r="F6" s="250"/>
    </row>
    <row r="7" spans="1:9" s="108" customFormat="1" ht="38.25">
      <c r="A7" s="247" t="s">
        <v>17</v>
      </c>
      <c r="B7" s="245" t="s">
        <v>370</v>
      </c>
      <c r="C7" s="245" t="s">
        <v>371</v>
      </c>
      <c r="D7" s="245" t="s">
        <v>369</v>
      </c>
      <c r="E7" s="251" t="s">
        <v>372</v>
      </c>
      <c r="F7" s="245" t="s">
        <v>375</v>
      </c>
      <c r="G7" s="245" t="s">
        <v>374</v>
      </c>
      <c r="H7" s="251" t="s">
        <v>373</v>
      </c>
      <c r="I7" s="251" t="s">
        <v>228</v>
      </c>
    </row>
    <row r="8" spans="1:9" ht="12.75">
      <c r="A8" s="246">
        <v>1</v>
      </c>
      <c r="B8" s="252">
        <f>'Resurse Umane'!J48</f>
        <v>0</v>
      </c>
      <c r="C8" s="252">
        <f>'Resuse Tehnice'!M53</f>
        <v>0</v>
      </c>
      <c r="D8" s="253">
        <f>Logistica!E14</f>
        <v>0</v>
      </c>
      <c r="E8" s="259">
        <f>B8+C8+D8</f>
        <v>0</v>
      </c>
      <c r="F8" s="253">
        <f>Calitate!E132</f>
        <v>0</v>
      </c>
      <c r="G8" s="252">
        <f>Calitate!G132</f>
        <v>0</v>
      </c>
      <c r="H8" s="259">
        <f>F8+G8</f>
        <v>0</v>
      </c>
      <c r="I8" s="259">
        <f>E8+H8</f>
        <v>0</v>
      </c>
    </row>
    <row r="10" ht="12.75">
      <c r="A10" s="98" t="s">
        <v>403</v>
      </c>
    </row>
    <row r="11" ht="12.75">
      <c r="A11" s="98" t="s">
        <v>404</v>
      </c>
    </row>
    <row r="14" ht="12.75">
      <c r="G14" s="272" t="s">
        <v>380</v>
      </c>
    </row>
    <row r="15" ht="12.75">
      <c r="G15" s="98" t="s">
        <v>314</v>
      </c>
    </row>
    <row r="16" spans="5:9" ht="12.75">
      <c r="E16" s="384"/>
      <c r="F16" s="384"/>
      <c r="G16" s="384" t="s">
        <v>315</v>
      </c>
      <c r="H16" s="384"/>
      <c r="I16" s="384"/>
    </row>
    <row r="17" spans="5:9" ht="12.75">
      <c r="E17" s="384"/>
      <c r="F17" s="384"/>
      <c r="G17" s="384"/>
      <c r="H17" s="384"/>
      <c r="I17" s="384"/>
    </row>
    <row r="18" spans="5:9" ht="12.75">
      <c r="E18" s="384"/>
      <c r="F18" s="384"/>
      <c r="G18" s="384"/>
      <c r="H18" s="384"/>
      <c r="I18" s="384"/>
    </row>
    <row r="19" spans="5:9" ht="12.75">
      <c r="E19" s="384"/>
      <c r="F19" s="384"/>
      <c r="G19" s="384"/>
      <c r="H19" s="384"/>
      <c r="I19" s="384"/>
    </row>
    <row r="20" spans="5:9" ht="12.75">
      <c r="E20" s="384"/>
      <c r="F20" s="384"/>
      <c r="G20" s="384"/>
      <c r="H20" s="384"/>
      <c r="I20" s="384"/>
    </row>
    <row r="21" spans="5:9" ht="12.75">
      <c r="E21" s="384"/>
      <c r="F21" s="384"/>
      <c r="G21" s="384"/>
      <c r="H21" s="384"/>
      <c r="I21" s="384"/>
    </row>
  </sheetData>
  <sheetProtection password="FD18" sheet="1" objects="1" scenarios="1" selectLockedCells="1" selectUnlockedCells="1"/>
  <mergeCells count="1">
    <mergeCell ref="B2:C2"/>
  </mergeCells>
  <printOptions horizontalCentered="1"/>
  <pageMargins left="0.1968503937007874" right="0.1968503937007874"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dc:creator>
  <cp:keywords/>
  <dc:description/>
  <cp:lastModifiedBy>wsct0301</cp:lastModifiedBy>
  <cp:lastPrinted>2023-06-05T12:12:56Z</cp:lastPrinted>
  <dcterms:created xsi:type="dcterms:W3CDTF">2023-01-15T13:22:46Z</dcterms:created>
  <dcterms:modified xsi:type="dcterms:W3CDTF">2023-06-12T13:34:20Z</dcterms:modified>
  <cp:category/>
  <cp:version/>
  <cp:contentType/>
  <cp:contentStatus/>
</cp:coreProperties>
</file>