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SK F\ANUL 2023\CONTRACTARE 2023\PARACLINIC 2023\TRIM.I 2023\1, IAN+FEB 2023\"/>
    </mc:Choice>
  </mc:AlternateContent>
  <bookViews>
    <workbookView xWindow="0" yWindow="0" windowWidth="20490" windowHeight="7905" tabRatio="512" firstSheet="4" activeTab="10"/>
  </bookViews>
  <sheets>
    <sheet name="1, central.ian+feb" sheetId="70" r:id="rId1"/>
    <sheet name="spitale" sheetId="71" r:id="rId2"/>
    <sheet name="buget ian + feb" sheetId="64" r:id="rId3"/>
    <sheet name="repartiz lab" sheetId="65" r:id="rId4"/>
    <sheet name="rep cito" sheetId="67" r:id="rId5"/>
    <sheet name="rep eco" sheetId="68" r:id="rId6"/>
    <sheet name="CT RMN" sheetId="69" r:id="rId7"/>
    <sheet name="rep radiolog" sheetId="66" r:id="rId8"/>
    <sheet name="an 2022 cu supl 27 dec" sheetId="72" r:id="rId9"/>
    <sheet name="AN 2022 LA SERV NOV" sheetId="42" r:id="rId10"/>
    <sheet name="suma max eco" sheetId="59" r:id="rId11"/>
  </sheets>
  <externalReferences>
    <externalReference r:id="rId12"/>
  </externalReferences>
  <definedNames>
    <definedName name="_xlnm.Print_Titles" localSheetId="9">'AN 2022 LA SERV NOV'!$7:$8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71" l="1"/>
  <c r="B22" i="71"/>
  <c r="C21" i="71"/>
  <c r="B21" i="71"/>
  <c r="D22" i="71" l="1"/>
  <c r="D21" i="71"/>
  <c r="B23" i="71"/>
  <c r="C23" i="71"/>
  <c r="C30" i="64"/>
  <c r="C27" i="64"/>
  <c r="C23" i="64"/>
  <c r="C22" i="64"/>
  <c r="C21" i="64"/>
  <c r="C20" i="64"/>
  <c r="C19" i="64"/>
  <c r="N85" i="72"/>
  <c r="M85" i="72"/>
  <c r="L85" i="72"/>
  <c r="K85" i="72"/>
  <c r="J85" i="72"/>
  <c r="I85" i="72"/>
  <c r="H85" i="72"/>
  <c r="G85" i="72"/>
  <c r="F85" i="72"/>
  <c r="E85" i="72"/>
  <c r="D85" i="72"/>
  <c r="C85" i="72"/>
  <c r="N84" i="72"/>
  <c r="M84" i="72"/>
  <c r="L84" i="72"/>
  <c r="K84" i="72"/>
  <c r="J84" i="72"/>
  <c r="I84" i="72"/>
  <c r="H84" i="72"/>
  <c r="G84" i="72"/>
  <c r="F84" i="72"/>
  <c r="E84" i="72"/>
  <c r="D84" i="72"/>
  <c r="C84" i="72"/>
  <c r="N83" i="72"/>
  <c r="M83" i="72"/>
  <c r="L83" i="72"/>
  <c r="K83" i="72"/>
  <c r="J83" i="72"/>
  <c r="I83" i="72"/>
  <c r="H83" i="72"/>
  <c r="G83" i="72"/>
  <c r="F83" i="72"/>
  <c r="E83" i="72"/>
  <c r="D83" i="72"/>
  <c r="C83" i="72"/>
  <c r="N82" i="72"/>
  <c r="M82" i="72"/>
  <c r="L82" i="72"/>
  <c r="K82" i="72"/>
  <c r="J82" i="72"/>
  <c r="I82" i="72"/>
  <c r="H82" i="72"/>
  <c r="G82" i="72"/>
  <c r="F82" i="72"/>
  <c r="E82" i="72"/>
  <c r="D82" i="72"/>
  <c r="C82" i="72"/>
  <c r="N72" i="72"/>
  <c r="J72" i="72"/>
  <c r="F72" i="72"/>
  <c r="L71" i="72"/>
  <c r="L73" i="72" s="1"/>
  <c r="N74" i="72" s="1"/>
  <c r="H71" i="72"/>
  <c r="D71" i="72"/>
  <c r="N69" i="72"/>
  <c r="K69" i="72"/>
  <c r="H69" i="72"/>
  <c r="O68" i="72"/>
  <c r="Q68" i="72" s="1"/>
  <c r="P64" i="72"/>
  <c r="N64" i="72"/>
  <c r="M64" i="72"/>
  <c r="L64" i="72"/>
  <c r="N65" i="72" s="1"/>
  <c r="K64" i="72"/>
  <c r="K65" i="72" s="1"/>
  <c r="J64" i="72"/>
  <c r="I64" i="72"/>
  <c r="H64" i="72"/>
  <c r="G64" i="72"/>
  <c r="F64" i="72"/>
  <c r="E64" i="72"/>
  <c r="D64" i="72"/>
  <c r="C64" i="72"/>
  <c r="H65" i="72" s="1"/>
  <c r="O63" i="72"/>
  <c r="Q63" i="72" s="1"/>
  <c r="O62" i="72"/>
  <c r="Q62" i="72" s="1"/>
  <c r="O61" i="72"/>
  <c r="Q61" i="72" s="1"/>
  <c r="O54" i="72"/>
  <c r="Q54" i="72" s="1"/>
  <c r="P50" i="72"/>
  <c r="N50" i="72"/>
  <c r="M50" i="72"/>
  <c r="L50" i="72"/>
  <c r="K50" i="72"/>
  <c r="J50" i="72"/>
  <c r="I50" i="72"/>
  <c r="H50" i="72"/>
  <c r="G50" i="72"/>
  <c r="F50" i="72"/>
  <c r="E50" i="72"/>
  <c r="D50" i="72"/>
  <c r="C50" i="72"/>
  <c r="Q49" i="72"/>
  <c r="O49" i="72"/>
  <c r="Q48" i="72"/>
  <c r="O48" i="72"/>
  <c r="Q47" i="72"/>
  <c r="O47" i="72"/>
  <c r="Q46" i="72"/>
  <c r="O46" i="72"/>
  <c r="Q45" i="72"/>
  <c r="O45" i="72"/>
  <c r="Q44" i="72"/>
  <c r="O44" i="72"/>
  <c r="Q43" i="72"/>
  <c r="O43" i="72"/>
  <c r="Q42" i="72"/>
  <c r="O42" i="72"/>
  <c r="Q41" i="72"/>
  <c r="O41" i="72"/>
  <c r="O50" i="72" s="1"/>
  <c r="Q50" i="72" s="1"/>
  <c r="P37" i="72"/>
  <c r="N37" i="72"/>
  <c r="M37" i="72"/>
  <c r="L37" i="72"/>
  <c r="N38" i="72" s="1"/>
  <c r="K37" i="72"/>
  <c r="J37" i="72"/>
  <c r="I37" i="72"/>
  <c r="K38" i="72" s="1"/>
  <c r="H37" i="72"/>
  <c r="G37" i="72"/>
  <c r="F37" i="72"/>
  <c r="H38" i="72" s="1"/>
  <c r="E37" i="72"/>
  <c r="D37" i="72"/>
  <c r="C37" i="72"/>
  <c r="Q36" i="72"/>
  <c r="O36" i="72"/>
  <c r="O83" i="72" s="1"/>
  <c r="Q83" i="72" s="1"/>
  <c r="Q35" i="72"/>
  <c r="O35" i="72"/>
  <c r="O37" i="72" s="1"/>
  <c r="Q37" i="72" s="1"/>
  <c r="P31" i="72"/>
  <c r="N31" i="72"/>
  <c r="M31" i="72"/>
  <c r="M72" i="72" s="1"/>
  <c r="L31" i="72"/>
  <c r="L72" i="72" s="1"/>
  <c r="K31" i="72"/>
  <c r="K72" i="72" s="1"/>
  <c r="J31" i="72"/>
  <c r="I31" i="72"/>
  <c r="I72" i="72" s="1"/>
  <c r="H31" i="72"/>
  <c r="H72" i="72" s="1"/>
  <c r="G31" i="72"/>
  <c r="G72" i="72" s="1"/>
  <c r="F31" i="72"/>
  <c r="E31" i="72"/>
  <c r="E72" i="72" s="1"/>
  <c r="D31" i="72"/>
  <c r="D72" i="72" s="1"/>
  <c r="C31" i="72"/>
  <c r="C72" i="72" s="1"/>
  <c r="O30" i="72"/>
  <c r="Q30" i="72" s="1"/>
  <c r="O29" i="72"/>
  <c r="Q29" i="72" s="1"/>
  <c r="O28" i="72"/>
  <c r="Q28" i="72" s="1"/>
  <c r="O27" i="72"/>
  <c r="Q27" i="72" s="1"/>
  <c r="O26" i="72"/>
  <c r="O31" i="72" s="1"/>
  <c r="N22" i="72"/>
  <c r="N71" i="72" s="1"/>
  <c r="N73" i="72" s="1"/>
  <c r="M22" i="72"/>
  <c r="M71" i="72" s="1"/>
  <c r="M73" i="72" s="1"/>
  <c r="L22" i="72"/>
  <c r="K22" i="72"/>
  <c r="K71" i="72" s="1"/>
  <c r="J22" i="72"/>
  <c r="J71" i="72" s="1"/>
  <c r="J73" i="72" s="1"/>
  <c r="I22" i="72"/>
  <c r="I71" i="72" s="1"/>
  <c r="I73" i="72" s="1"/>
  <c r="H22" i="72"/>
  <c r="G22" i="72"/>
  <c r="G71" i="72" s="1"/>
  <c r="F22" i="72"/>
  <c r="F71" i="72" s="1"/>
  <c r="F73" i="72" s="1"/>
  <c r="E22" i="72"/>
  <c r="E71" i="72" s="1"/>
  <c r="E73" i="72" s="1"/>
  <c r="D22" i="72"/>
  <c r="C22" i="72"/>
  <c r="C71" i="72" s="1"/>
  <c r="Q21" i="72"/>
  <c r="O21" i="72"/>
  <c r="O85" i="72" s="1"/>
  <c r="Q85" i="72" s="1"/>
  <c r="Q20" i="72"/>
  <c r="O20" i="72"/>
  <c r="Q19" i="72"/>
  <c r="O19" i="72"/>
  <c r="Q18" i="72"/>
  <c r="O18" i="72"/>
  <c r="Q17" i="72"/>
  <c r="O17" i="72"/>
  <c r="Q16" i="72"/>
  <c r="O16" i="72"/>
  <c r="Q15" i="72"/>
  <c r="O15" i="72"/>
  <c r="Q14" i="72"/>
  <c r="O14" i="72"/>
  <c r="P13" i="72"/>
  <c r="P22" i="72" s="1"/>
  <c r="O13" i="72"/>
  <c r="O12" i="72"/>
  <c r="O22" i="72" s="1"/>
  <c r="Q22" i="72" l="1"/>
  <c r="D23" i="71"/>
  <c r="D73" i="72"/>
  <c r="C73" i="72"/>
  <c r="E74" i="72" s="1"/>
  <c r="O71" i="72"/>
  <c r="G73" i="72"/>
  <c r="H74" i="72" s="1"/>
  <c r="K73" i="72"/>
  <c r="K74" i="72" s="1"/>
  <c r="O72" i="72"/>
  <c r="Q72" i="72" s="1"/>
  <c r="Q31" i="72"/>
  <c r="H73" i="72"/>
  <c r="Q13" i="72"/>
  <c r="O64" i="72"/>
  <c r="Q64" i="72" s="1"/>
  <c r="O82" i="72"/>
  <c r="Q82" i="72" s="1"/>
  <c r="O84" i="72"/>
  <c r="Q84" i="72" s="1"/>
  <c r="Q12" i="72"/>
  <c r="Q26" i="72"/>
  <c r="O74" i="72" l="1"/>
  <c r="O73" i="72"/>
  <c r="Q71" i="72"/>
  <c r="C14" i="71"/>
  <c r="D14" i="71" s="1"/>
  <c r="B14" i="71"/>
  <c r="C13" i="71"/>
  <c r="B13" i="71"/>
  <c r="D13" i="71" s="1"/>
  <c r="C12" i="71"/>
  <c r="B12" i="71"/>
  <c r="C11" i="71"/>
  <c r="C15" i="71" s="1"/>
  <c r="B11" i="71"/>
  <c r="D11" i="71" s="1"/>
  <c r="C60" i="70"/>
  <c r="D57" i="70"/>
  <c r="E57" i="70" s="1"/>
  <c r="D56" i="70"/>
  <c r="C57" i="70"/>
  <c r="C56" i="70"/>
  <c r="C58" i="70" s="1"/>
  <c r="D52" i="70"/>
  <c r="E52" i="70" s="1"/>
  <c r="C52" i="70"/>
  <c r="D41" i="70"/>
  <c r="D42" i="70"/>
  <c r="D43" i="70"/>
  <c r="D44" i="70"/>
  <c r="D45" i="70"/>
  <c r="D40" i="70"/>
  <c r="C41" i="70"/>
  <c r="C42" i="70"/>
  <c r="C43" i="70"/>
  <c r="C44" i="70"/>
  <c r="C45" i="70"/>
  <c r="C46" i="70"/>
  <c r="C47" i="70"/>
  <c r="E47" i="70" s="1"/>
  <c r="C40" i="70"/>
  <c r="D35" i="70"/>
  <c r="D34" i="70"/>
  <c r="C35" i="70"/>
  <c r="C36" i="70" s="1"/>
  <c r="C34" i="70"/>
  <c r="D13" i="70"/>
  <c r="D14" i="70"/>
  <c r="D15" i="70"/>
  <c r="E15" i="70" s="1"/>
  <c r="D16" i="70"/>
  <c r="D17" i="70"/>
  <c r="D18" i="70"/>
  <c r="D19" i="70"/>
  <c r="E19" i="70" s="1"/>
  <c r="D12" i="70"/>
  <c r="C13" i="70"/>
  <c r="C14" i="70"/>
  <c r="E14" i="70" s="1"/>
  <c r="C15" i="70"/>
  <c r="C16" i="70"/>
  <c r="C17" i="70"/>
  <c r="C18" i="70"/>
  <c r="C19" i="70"/>
  <c r="C20" i="70"/>
  <c r="C12" i="70"/>
  <c r="C10" i="66"/>
  <c r="D12" i="69"/>
  <c r="C10" i="68"/>
  <c r="C12" i="67"/>
  <c r="C12" i="65"/>
  <c r="I23" i="64"/>
  <c r="I19" i="64"/>
  <c r="H20" i="64"/>
  <c r="H21" i="64"/>
  <c r="H22" i="64"/>
  <c r="H23" i="64"/>
  <c r="H19" i="64"/>
  <c r="G25" i="64"/>
  <c r="D20" i="64"/>
  <c r="I20" i="64" s="1"/>
  <c r="D21" i="64"/>
  <c r="I21" i="64" s="1"/>
  <c r="D22" i="64"/>
  <c r="I22" i="64" s="1"/>
  <c r="D23" i="64"/>
  <c r="D19" i="64"/>
  <c r="G24" i="64"/>
  <c r="C24" i="64"/>
  <c r="G13" i="64"/>
  <c r="G14" i="64" s="1"/>
  <c r="G11" i="64"/>
  <c r="D58" i="70"/>
  <c r="E56" i="70"/>
  <c r="D48" i="70"/>
  <c r="E46" i="70"/>
  <c r="E45" i="70"/>
  <c r="E43" i="70"/>
  <c r="E42" i="70"/>
  <c r="E41" i="70"/>
  <c r="E40" i="70"/>
  <c r="D36" i="70"/>
  <c r="E34" i="70"/>
  <c r="D30" i="70"/>
  <c r="C30" i="70"/>
  <c r="E29" i="70"/>
  <c r="E28" i="70"/>
  <c r="E27" i="70"/>
  <c r="E26" i="70"/>
  <c r="E25" i="70"/>
  <c r="E17" i="70"/>
  <c r="E13" i="70"/>
  <c r="G40" i="66"/>
  <c r="G39" i="66"/>
  <c r="F40" i="66"/>
  <c r="F39" i="66"/>
  <c r="F34" i="69"/>
  <c r="P49" i="42"/>
  <c r="P48" i="42"/>
  <c r="I61" i="68" s="1"/>
  <c r="I55" i="68"/>
  <c r="I56" i="68"/>
  <c r="I57" i="68"/>
  <c r="I58" i="68"/>
  <c r="I59" i="68"/>
  <c r="I60" i="68"/>
  <c r="I54" i="68"/>
  <c r="F36" i="67"/>
  <c r="F35" i="67"/>
  <c r="D12" i="71" l="1"/>
  <c r="D15" i="71" s="1"/>
  <c r="B15" i="71"/>
  <c r="C28" i="64"/>
  <c r="E23" i="64"/>
  <c r="F23" i="64" s="1"/>
  <c r="E22" i="64"/>
  <c r="F22" i="64" s="1"/>
  <c r="E19" i="64"/>
  <c r="E20" i="64"/>
  <c r="F20" i="64" s="1"/>
  <c r="E21" i="64"/>
  <c r="F21" i="64" s="1"/>
  <c r="E79" i="72"/>
  <c r="K79" i="72" s="1"/>
  <c r="Q73" i="72"/>
  <c r="E18" i="70"/>
  <c r="D21" i="70"/>
  <c r="D60" i="70" s="1"/>
  <c r="E35" i="70"/>
  <c r="C21" i="70"/>
  <c r="C48" i="70"/>
  <c r="E44" i="70"/>
  <c r="E48" i="70" s="1"/>
  <c r="E20" i="70"/>
  <c r="E12" i="70"/>
  <c r="E21" i="70" s="1"/>
  <c r="E16" i="70"/>
  <c r="E58" i="70"/>
  <c r="E36" i="70"/>
  <c r="E30" i="70"/>
  <c r="H24" i="64"/>
  <c r="D24" i="64"/>
  <c r="I24" i="64" s="1"/>
  <c r="F68" i="65"/>
  <c r="F69" i="65"/>
  <c r="F70" i="65"/>
  <c r="F71" i="65"/>
  <c r="F72" i="65"/>
  <c r="F73" i="65"/>
  <c r="F74" i="65"/>
  <c r="F67" i="65"/>
  <c r="F66" i="65"/>
  <c r="P62" i="42"/>
  <c r="P63" i="42"/>
  <c r="P64" i="42"/>
  <c r="P61" i="42"/>
  <c r="P54" i="42"/>
  <c r="P42" i="42"/>
  <c r="P43" i="42"/>
  <c r="P44" i="42"/>
  <c r="P45" i="42"/>
  <c r="P46" i="42"/>
  <c r="P47" i="42"/>
  <c r="P50" i="42"/>
  <c r="P41" i="42"/>
  <c r="P36" i="42"/>
  <c r="P37" i="42"/>
  <c r="P35" i="42"/>
  <c r="P13" i="42"/>
  <c r="P14" i="42"/>
  <c r="P15" i="42"/>
  <c r="P16" i="42"/>
  <c r="P17" i="42"/>
  <c r="P18" i="42"/>
  <c r="P19" i="42"/>
  <c r="P20" i="42"/>
  <c r="P21" i="42"/>
  <c r="P22" i="42"/>
  <c r="P12" i="42"/>
  <c r="F19" i="64" l="1"/>
  <c r="F24" i="64" s="1"/>
  <c r="F25" i="64" s="1"/>
  <c r="E24" i="64"/>
  <c r="E60" i="70"/>
  <c r="E62" i="70" s="1"/>
  <c r="G55" i="68"/>
  <c r="G56" i="68"/>
  <c r="G57" i="68"/>
  <c r="G58" i="68"/>
  <c r="G59" i="68"/>
  <c r="G60" i="68"/>
  <c r="G61" i="68"/>
  <c r="G54" i="68"/>
  <c r="C40" i="66" l="1"/>
  <c r="D40" i="66" s="1"/>
  <c r="C39" i="66"/>
  <c r="D39" i="66" s="1"/>
  <c r="C27" i="69" l="1"/>
  <c r="H16" i="69"/>
  <c r="F16" i="69"/>
  <c r="E20" i="67"/>
  <c r="C23" i="67" s="1"/>
  <c r="E18" i="67"/>
  <c r="D18" i="67"/>
  <c r="C18" i="67"/>
  <c r="F17" i="67"/>
  <c r="F16" i="67"/>
  <c r="G24" i="68"/>
  <c r="C29" i="68" s="1"/>
  <c r="G21" i="68"/>
  <c r="E21" i="68"/>
  <c r="D21" i="68"/>
  <c r="C21" i="68"/>
  <c r="F20" i="68"/>
  <c r="H20" i="68" s="1"/>
  <c r="F19" i="68"/>
  <c r="H19" i="68" s="1"/>
  <c r="F18" i="68"/>
  <c r="H18" i="68" s="1"/>
  <c r="F17" i="68"/>
  <c r="H17" i="68" s="1"/>
  <c r="F16" i="68"/>
  <c r="H16" i="68" s="1"/>
  <c r="F15" i="68"/>
  <c r="H15" i="68" s="1"/>
  <c r="F14" i="68"/>
  <c r="H14" i="68" s="1"/>
  <c r="F13" i="68"/>
  <c r="H13" i="68" s="1"/>
  <c r="D34" i="69" l="1"/>
  <c r="C34" i="69"/>
  <c r="F21" i="68"/>
  <c r="C28" i="69"/>
  <c r="F18" i="67"/>
  <c r="C24" i="67" s="1"/>
  <c r="H21" i="68"/>
  <c r="C30" i="68" s="1"/>
  <c r="D35" i="69" l="1"/>
  <c r="G34" i="69"/>
  <c r="E34" i="69"/>
  <c r="E35" i="69" s="1"/>
  <c r="C35" i="69"/>
  <c r="C28" i="67"/>
  <c r="C29" i="67"/>
  <c r="C39" i="68"/>
  <c r="C35" i="68"/>
  <c r="C36" i="68"/>
  <c r="C38" i="68"/>
  <c r="C34" i="68"/>
  <c r="C40" i="68"/>
  <c r="C41" i="68"/>
  <c r="C37" i="68"/>
  <c r="D36" i="67" l="1"/>
  <c r="G36" i="67" s="1"/>
  <c r="C36" i="67"/>
  <c r="E36" i="67" s="1"/>
  <c r="C30" i="67"/>
  <c r="F30" i="67" s="1"/>
  <c r="C35" i="67"/>
  <c r="D35" i="67"/>
  <c r="D60" i="68"/>
  <c r="C60" i="68"/>
  <c r="D55" i="68"/>
  <c r="C55" i="68"/>
  <c r="C54" i="68"/>
  <c r="D54" i="68"/>
  <c r="J54" i="68" s="1"/>
  <c r="D59" i="68"/>
  <c r="C59" i="68"/>
  <c r="D58" i="68"/>
  <c r="C58" i="68"/>
  <c r="E58" i="68" s="1"/>
  <c r="F58" i="68" s="1"/>
  <c r="D57" i="68"/>
  <c r="C57" i="68"/>
  <c r="D61" i="68"/>
  <c r="C61" i="68"/>
  <c r="E61" i="68" s="1"/>
  <c r="F61" i="68" s="1"/>
  <c r="D56" i="68"/>
  <c r="C56" i="68"/>
  <c r="C42" i="68"/>
  <c r="E60" i="68" l="1"/>
  <c r="F60" i="68" s="1"/>
  <c r="E56" i="68"/>
  <c r="F56" i="68" s="1"/>
  <c r="E57" i="68"/>
  <c r="F57" i="68" s="1"/>
  <c r="E59" i="68"/>
  <c r="F59" i="68" s="1"/>
  <c r="E55" i="68"/>
  <c r="F55" i="68" s="1"/>
  <c r="E35" i="67"/>
  <c r="E37" i="67" s="1"/>
  <c r="C37" i="67"/>
  <c r="G35" i="67"/>
  <c r="D37" i="67"/>
  <c r="H57" i="68"/>
  <c r="J57" i="68"/>
  <c r="H56" i="68"/>
  <c r="J56" i="68"/>
  <c r="H59" i="68"/>
  <c r="J59" i="68"/>
  <c r="H55" i="68"/>
  <c r="J55" i="68"/>
  <c r="H61" i="68"/>
  <c r="J61" i="68"/>
  <c r="H58" i="68"/>
  <c r="J58" i="68"/>
  <c r="H60" i="68"/>
  <c r="J60" i="68"/>
  <c r="H54" i="68"/>
  <c r="D62" i="68"/>
  <c r="E54" i="68"/>
  <c r="C62" i="68"/>
  <c r="F42" i="68"/>
  <c r="D41" i="66"/>
  <c r="E40" i="66"/>
  <c r="G18" i="66"/>
  <c r="C27" i="66" s="1"/>
  <c r="G15" i="66"/>
  <c r="E15" i="66"/>
  <c r="D15" i="66"/>
  <c r="C15" i="66"/>
  <c r="F14" i="66"/>
  <c r="F15" i="66" s="1"/>
  <c r="F13" i="66"/>
  <c r="H13" i="66" s="1"/>
  <c r="F28" i="65"/>
  <c r="C39" i="65" s="1"/>
  <c r="H25" i="65"/>
  <c r="G25" i="65"/>
  <c r="F25" i="65"/>
  <c r="E25" i="65"/>
  <c r="D25" i="65"/>
  <c r="C24" i="65"/>
  <c r="I24" i="65" s="1"/>
  <c r="C23" i="65"/>
  <c r="I23" i="65" s="1"/>
  <c r="C22" i="65"/>
  <c r="I22" i="65" s="1"/>
  <c r="C21" i="65"/>
  <c r="I21" i="65" s="1"/>
  <c r="C20" i="65"/>
  <c r="I20" i="65" s="1"/>
  <c r="C19" i="65"/>
  <c r="I19" i="65" s="1"/>
  <c r="C18" i="65"/>
  <c r="I18" i="65" s="1"/>
  <c r="C17" i="65"/>
  <c r="I17" i="65" s="1"/>
  <c r="C16" i="65"/>
  <c r="I16" i="65" s="1"/>
  <c r="F54" i="68" l="1"/>
  <c r="E62" i="68"/>
  <c r="I25" i="65"/>
  <c r="H14" i="66"/>
  <c r="H15" i="66" s="1"/>
  <c r="C28" i="66"/>
  <c r="C25" i="65"/>
  <c r="C40" i="65" s="1"/>
  <c r="F30" i="65"/>
  <c r="H30" i="65" s="1"/>
  <c r="C50" i="65" l="1"/>
  <c r="C54" i="65"/>
  <c r="C52" i="65"/>
  <c r="C53" i="65"/>
  <c r="C51" i="65"/>
  <c r="C55" i="65"/>
  <c r="C56" i="65"/>
  <c r="C57" i="65"/>
  <c r="F31" i="65"/>
  <c r="D39" i="65" s="1"/>
  <c r="C49" i="65"/>
  <c r="C34" i="66" l="1"/>
  <c r="E34" i="66" s="1"/>
  <c r="C41" i="66"/>
  <c r="E39" i="66"/>
  <c r="E41" i="66" s="1"/>
  <c r="C58" i="65"/>
  <c r="C60" i="65" s="1"/>
  <c r="F32" i="65"/>
  <c r="G33" i="65" s="1"/>
  <c r="D40" i="65"/>
  <c r="D50" i="65" l="1"/>
  <c r="D54" i="65"/>
  <c r="D52" i="65"/>
  <c r="D53" i="65"/>
  <c r="D51" i="65"/>
  <c r="D55" i="65"/>
  <c r="D56" i="65"/>
  <c r="D57" i="65"/>
  <c r="F34" i="66"/>
  <c r="D49" i="65"/>
  <c r="E39" i="65"/>
  <c r="F33" i="65"/>
  <c r="D58" i="65" l="1"/>
  <c r="D60" i="65" s="1"/>
  <c r="E40" i="65"/>
  <c r="F39" i="65"/>
  <c r="G39" i="65" s="1"/>
  <c r="E50" i="65" l="1"/>
  <c r="E54" i="65"/>
  <c r="F54" i="65" s="1"/>
  <c r="E56" i="65"/>
  <c r="F56" i="65" s="1"/>
  <c r="E53" i="65"/>
  <c r="F53" i="65" s="1"/>
  <c r="E51" i="65"/>
  <c r="E55" i="65"/>
  <c r="F55" i="65" s="1"/>
  <c r="E52" i="65"/>
  <c r="F52" i="65" s="1"/>
  <c r="E57" i="65"/>
  <c r="F57" i="65" s="1"/>
  <c r="F51" i="65"/>
  <c r="F50" i="65"/>
  <c r="E49" i="65"/>
  <c r="C70" i="65" l="1"/>
  <c r="G70" i="65" s="1"/>
  <c r="D70" i="65"/>
  <c r="D72" i="65"/>
  <c r="C72" i="65"/>
  <c r="G72" i="65" s="1"/>
  <c r="C69" i="65"/>
  <c r="G69" i="65" s="1"/>
  <c r="D69" i="65"/>
  <c r="C73" i="65"/>
  <c r="G73" i="65" s="1"/>
  <c r="D73" i="65"/>
  <c r="D68" i="65"/>
  <c r="C68" i="65"/>
  <c r="G68" i="65" s="1"/>
  <c r="D71" i="65"/>
  <c r="C71" i="65"/>
  <c r="G71" i="65" s="1"/>
  <c r="C74" i="65"/>
  <c r="G74" i="65" s="1"/>
  <c r="D74" i="65"/>
  <c r="D67" i="65"/>
  <c r="C67" i="65"/>
  <c r="G67" i="65" s="1"/>
  <c r="E58" i="65"/>
  <c r="E60" i="65" s="1"/>
  <c r="F49" i="65"/>
  <c r="E71" i="65" l="1"/>
  <c r="E72" i="65"/>
  <c r="E73" i="65"/>
  <c r="E74" i="65"/>
  <c r="E69" i="65"/>
  <c r="E67" i="65"/>
  <c r="D66" i="65"/>
  <c r="D75" i="65" s="1"/>
  <c r="C66" i="65"/>
  <c r="G66" i="65" s="1"/>
  <c r="E68" i="65"/>
  <c r="E70" i="65"/>
  <c r="F58" i="65"/>
  <c r="F60" i="65" s="1"/>
  <c r="C75" i="65" l="1"/>
  <c r="E66" i="65"/>
  <c r="E75" i="65" s="1"/>
  <c r="E76" i="65" s="1"/>
  <c r="J6" i="59" l="1"/>
  <c r="J7" i="59"/>
  <c r="J8" i="59"/>
  <c r="J9" i="59"/>
  <c r="J10" i="59"/>
  <c r="J11" i="59"/>
  <c r="J12" i="59"/>
  <c r="J13" i="59"/>
  <c r="P89" i="42" l="1"/>
  <c r="P31" i="42"/>
  <c r="P90" i="42"/>
  <c r="P91" i="42" l="1"/>
  <c r="K8" i="59" l="1"/>
  <c r="K10" i="59"/>
  <c r="I13" i="59"/>
  <c r="M13" i="59" s="1"/>
  <c r="K12" i="59"/>
  <c r="I12" i="59"/>
  <c r="M12" i="59" s="1"/>
  <c r="K11" i="59"/>
  <c r="I11" i="59"/>
  <c r="M11" i="59" s="1"/>
  <c r="I10" i="59"/>
  <c r="M10" i="59" s="1"/>
  <c r="I9" i="59"/>
  <c r="M9" i="59" s="1"/>
  <c r="I8" i="59"/>
  <c r="M8" i="59" s="1"/>
  <c r="I7" i="59"/>
  <c r="M7" i="59" s="1"/>
  <c r="I6" i="59"/>
  <c r="M6" i="59" s="1"/>
  <c r="L12" i="59" l="1"/>
  <c r="L11" i="59"/>
  <c r="L10" i="59"/>
  <c r="L8" i="59"/>
  <c r="K13" i="59"/>
  <c r="L13" i="59" s="1"/>
  <c r="K6" i="59"/>
  <c r="L6" i="59" s="1"/>
  <c r="K7" i="59"/>
  <c r="L7" i="59" s="1"/>
  <c r="K9" i="59"/>
  <c r="L9" i="59" s="1"/>
  <c r="O97" i="42" l="1"/>
  <c r="N138" i="42" l="1"/>
  <c r="M138" i="42"/>
  <c r="L138" i="42"/>
  <c r="K138" i="42"/>
  <c r="J138" i="42"/>
  <c r="I138" i="42"/>
  <c r="H138" i="42"/>
  <c r="G138" i="42"/>
  <c r="F138" i="42"/>
  <c r="E138" i="42"/>
  <c r="D138" i="42"/>
  <c r="C138" i="42"/>
  <c r="N137" i="42"/>
  <c r="M137" i="42"/>
  <c r="M139" i="42" s="1"/>
  <c r="L137" i="42"/>
  <c r="K137" i="42"/>
  <c r="K139" i="42" s="1"/>
  <c r="J137" i="42"/>
  <c r="I137" i="42"/>
  <c r="I139" i="42" s="1"/>
  <c r="H137" i="42"/>
  <c r="G137" i="42"/>
  <c r="G139" i="42" s="1"/>
  <c r="F137" i="42"/>
  <c r="E137" i="42"/>
  <c r="E139" i="42" s="1"/>
  <c r="D137" i="42"/>
  <c r="C137" i="42"/>
  <c r="C139" i="42" s="1"/>
  <c r="N133" i="42"/>
  <c r="M133" i="42"/>
  <c r="L133" i="42"/>
  <c r="K133" i="42"/>
  <c r="J133" i="42"/>
  <c r="I133" i="42"/>
  <c r="H133" i="42"/>
  <c r="G133" i="42"/>
  <c r="F133" i="42"/>
  <c r="E133" i="42"/>
  <c r="D133" i="42"/>
  <c r="C133" i="42"/>
  <c r="O133" i="42" s="1"/>
  <c r="N132" i="42"/>
  <c r="N134" i="42" s="1"/>
  <c r="M132" i="42"/>
  <c r="M134" i="42" s="1"/>
  <c r="L132" i="42"/>
  <c r="L134" i="42" s="1"/>
  <c r="K132" i="42"/>
  <c r="K134" i="42" s="1"/>
  <c r="J132" i="42"/>
  <c r="J134" i="42" s="1"/>
  <c r="I132" i="42"/>
  <c r="I134" i="42" s="1"/>
  <c r="H132" i="42"/>
  <c r="H134" i="42" s="1"/>
  <c r="G132" i="42"/>
  <c r="G134" i="42" s="1"/>
  <c r="F132" i="42"/>
  <c r="F134" i="42" s="1"/>
  <c r="E132" i="42"/>
  <c r="E134" i="42" s="1"/>
  <c r="D132" i="42"/>
  <c r="D134" i="42" s="1"/>
  <c r="C132" i="42"/>
  <c r="C134" i="42" s="1"/>
  <c r="N128" i="42"/>
  <c r="M128" i="42"/>
  <c r="L128" i="42"/>
  <c r="K128" i="42"/>
  <c r="J128" i="42"/>
  <c r="I128" i="42"/>
  <c r="H128" i="42"/>
  <c r="G128" i="42"/>
  <c r="F128" i="42"/>
  <c r="E128" i="42"/>
  <c r="D128" i="42"/>
  <c r="C128" i="42"/>
  <c r="N127" i="42"/>
  <c r="N129" i="42" s="1"/>
  <c r="M127" i="42"/>
  <c r="M129" i="42" s="1"/>
  <c r="L127" i="42"/>
  <c r="L129" i="42" s="1"/>
  <c r="K127" i="42"/>
  <c r="K129" i="42" s="1"/>
  <c r="J127" i="42"/>
  <c r="J129" i="42" s="1"/>
  <c r="I127" i="42"/>
  <c r="I129" i="42" s="1"/>
  <c r="H127" i="42"/>
  <c r="H129" i="42" s="1"/>
  <c r="G127" i="42"/>
  <c r="G129" i="42" s="1"/>
  <c r="F127" i="42"/>
  <c r="F129" i="42" s="1"/>
  <c r="E127" i="42"/>
  <c r="E129" i="42" s="1"/>
  <c r="D127" i="42"/>
  <c r="D129" i="42" s="1"/>
  <c r="C127" i="42"/>
  <c r="C129" i="42" s="1"/>
  <c r="N123" i="42"/>
  <c r="M123" i="42"/>
  <c r="L123" i="42"/>
  <c r="K123" i="42"/>
  <c r="J123" i="42"/>
  <c r="I123" i="42"/>
  <c r="H123" i="42"/>
  <c r="G123" i="42"/>
  <c r="F123" i="42"/>
  <c r="E123" i="42"/>
  <c r="D123" i="42"/>
  <c r="C123" i="42"/>
  <c r="N122" i="42"/>
  <c r="N124" i="42" s="1"/>
  <c r="M122" i="42"/>
  <c r="M124" i="42" s="1"/>
  <c r="L122" i="42"/>
  <c r="L124" i="42" s="1"/>
  <c r="K122" i="42"/>
  <c r="K124" i="42" s="1"/>
  <c r="J122" i="42"/>
  <c r="J124" i="42" s="1"/>
  <c r="I122" i="42"/>
  <c r="I124" i="42" s="1"/>
  <c r="H122" i="42"/>
  <c r="H124" i="42" s="1"/>
  <c r="G122" i="42"/>
  <c r="G124" i="42" s="1"/>
  <c r="F122" i="42"/>
  <c r="F124" i="42" s="1"/>
  <c r="E122" i="42"/>
  <c r="E124" i="42" s="1"/>
  <c r="D122" i="42"/>
  <c r="D124" i="42" s="1"/>
  <c r="C122" i="42"/>
  <c r="C124" i="42" s="1"/>
  <c r="N118" i="42"/>
  <c r="M118" i="42"/>
  <c r="L118" i="42"/>
  <c r="K118" i="42"/>
  <c r="J118" i="42"/>
  <c r="I118" i="42"/>
  <c r="H118" i="42"/>
  <c r="G118" i="42"/>
  <c r="F118" i="42"/>
  <c r="E118" i="42"/>
  <c r="D118" i="42"/>
  <c r="C118" i="42"/>
  <c r="N117" i="42"/>
  <c r="M117" i="42"/>
  <c r="M119" i="42" s="1"/>
  <c r="L117" i="42"/>
  <c r="K117" i="42"/>
  <c r="K119" i="42" s="1"/>
  <c r="J117" i="42"/>
  <c r="I117" i="42"/>
  <c r="I119" i="42" s="1"/>
  <c r="H117" i="42"/>
  <c r="G117" i="42"/>
  <c r="G119" i="42" s="1"/>
  <c r="F117" i="42"/>
  <c r="E117" i="42"/>
  <c r="E119" i="42" s="1"/>
  <c r="D117" i="42"/>
  <c r="C117" i="42"/>
  <c r="C119" i="42" s="1"/>
  <c r="P96" i="42"/>
  <c r="N93" i="42"/>
  <c r="M93" i="42"/>
  <c r="L93" i="42"/>
  <c r="K93" i="42"/>
  <c r="J93" i="42"/>
  <c r="I93" i="42"/>
  <c r="H93" i="42"/>
  <c r="G93" i="42"/>
  <c r="N90" i="42"/>
  <c r="M90" i="42"/>
  <c r="L90" i="42"/>
  <c r="K90" i="42"/>
  <c r="J90" i="42"/>
  <c r="I90" i="42"/>
  <c r="H90" i="42"/>
  <c r="G90" i="42"/>
  <c r="F90" i="42"/>
  <c r="E90" i="42"/>
  <c r="D90" i="42"/>
  <c r="C90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N87" i="42"/>
  <c r="M87" i="42"/>
  <c r="L87" i="42"/>
  <c r="K87" i="42"/>
  <c r="J87" i="42"/>
  <c r="I87" i="42"/>
  <c r="H87" i="42"/>
  <c r="G87" i="42"/>
  <c r="F87" i="42"/>
  <c r="E87" i="42"/>
  <c r="D87" i="42"/>
  <c r="C87" i="42"/>
  <c r="N86" i="42"/>
  <c r="M86" i="42"/>
  <c r="L86" i="42"/>
  <c r="K86" i="42"/>
  <c r="J86" i="42"/>
  <c r="I86" i="42"/>
  <c r="H86" i="42"/>
  <c r="G86" i="42"/>
  <c r="F86" i="42"/>
  <c r="E86" i="42"/>
  <c r="D86" i="42"/>
  <c r="C86" i="42"/>
  <c r="N85" i="42"/>
  <c r="M85" i="42"/>
  <c r="M89" i="42" s="1"/>
  <c r="M91" i="42" s="1"/>
  <c r="M95" i="42" s="1"/>
  <c r="L85" i="42"/>
  <c r="L89" i="42" s="1"/>
  <c r="L91" i="42" s="1"/>
  <c r="L95" i="42" s="1"/>
  <c r="K85" i="42"/>
  <c r="K89" i="42" s="1"/>
  <c r="K91" i="42" s="1"/>
  <c r="K95" i="42" s="1"/>
  <c r="J85" i="42"/>
  <c r="I85" i="42"/>
  <c r="I89" i="42" s="1"/>
  <c r="I91" i="42" s="1"/>
  <c r="I95" i="42" s="1"/>
  <c r="H85" i="42"/>
  <c r="H89" i="42" s="1"/>
  <c r="H91" i="42" s="1"/>
  <c r="H95" i="42" s="1"/>
  <c r="G85" i="42"/>
  <c r="G89" i="42" s="1"/>
  <c r="G91" i="42" s="1"/>
  <c r="G95" i="42" s="1"/>
  <c r="F85" i="42"/>
  <c r="E85" i="42"/>
  <c r="E89" i="42" s="1"/>
  <c r="E91" i="42" s="1"/>
  <c r="D85" i="42"/>
  <c r="D89" i="42" s="1"/>
  <c r="D91" i="42" s="1"/>
  <c r="C85" i="42"/>
  <c r="C89" i="42" s="1"/>
  <c r="N69" i="42"/>
  <c r="K69" i="42"/>
  <c r="H69" i="42"/>
  <c r="O68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O63" i="42"/>
  <c r="E104" i="42" s="1"/>
  <c r="O62" i="42"/>
  <c r="D104" i="42" s="1"/>
  <c r="O61" i="42"/>
  <c r="C104" i="42" s="1"/>
  <c r="N55" i="42"/>
  <c r="K55" i="42"/>
  <c r="H55" i="42"/>
  <c r="O54" i="42"/>
  <c r="C103" i="42" s="1"/>
  <c r="N50" i="42"/>
  <c r="M50" i="42"/>
  <c r="L50" i="42"/>
  <c r="K50" i="42"/>
  <c r="J50" i="42"/>
  <c r="I50" i="42"/>
  <c r="K51" i="42" s="1"/>
  <c r="H50" i="42"/>
  <c r="G50" i="42"/>
  <c r="F50" i="42"/>
  <c r="E50" i="42"/>
  <c r="D50" i="42"/>
  <c r="C50" i="42"/>
  <c r="O49" i="42"/>
  <c r="O48" i="42"/>
  <c r="E102" i="42" s="1"/>
  <c r="O47" i="42"/>
  <c r="O46" i="42"/>
  <c r="F102" i="42" s="1"/>
  <c r="O45" i="42"/>
  <c r="D102" i="42" s="1"/>
  <c r="O44" i="42"/>
  <c r="O43" i="42"/>
  <c r="O42" i="42"/>
  <c r="O41" i="42"/>
  <c r="N37" i="42"/>
  <c r="M37" i="42"/>
  <c r="L37" i="42"/>
  <c r="K37" i="42"/>
  <c r="J37" i="42"/>
  <c r="I37" i="42"/>
  <c r="H37" i="42"/>
  <c r="G37" i="42"/>
  <c r="F37" i="42"/>
  <c r="E37" i="42"/>
  <c r="D37" i="42"/>
  <c r="C37" i="42"/>
  <c r="O36" i="42"/>
  <c r="D101" i="42" s="1"/>
  <c r="D106" i="42" s="1"/>
  <c r="O35" i="42"/>
  <c r="C101" i="42" s="1"/>
  <c r="N31" i="42"/>
  <c r="N72" i="42" s="1"/>
  <c r="M31" i="42"/>
  <c r="L31" i="42"/>
  <c r="L72" i="42" s="1"/>
  <c r="K31" i="42"/>
  <c r="K72" i="42" s="1"/>
  <c r="J31" i="42"/>
  <c r="J72" i="42" s="1"/>
  <c r="I31" i="42"/>
  <c r="H31" i="42"/>
  <c r="H72" i="42" s="1"/>
  <c r="G31" i="42"/>
  <c r="G72" i="42" s="1"/>
  <c r="F31" i="42"/>
  <c r="F93" i="42" s="1"/>
  <c r="E31" i="42"/>
  <c r="E93" i="42" s="1"/>
  <c r="D31" i="42"/>
  <c r="D93" i="42" s="1"/>
  <c r="C31" i="42"/>
  <c r="O30" i="42"/>
  <c r="E105" i="42" s="1"/>
  <c r="O29" i="42"/>
  <c r="O28" i="42"/>
  <c r="O27" i="42"/>
  <c r="O26" i="42"/>
  <c r="N22" i="42"/>
  <c r="M22" i="42"/>
  <c r="M71" i="42" s="1"/>
  <c r="L22" i="42"/>
  <c r="K22" i="42"/>
  <c r="J22" i="42"/>
  <c r="I22" i="42"/>
  <c r="I71" i="42" s="1"/>
  <c r="H22" i="42"/>
  <c r="G22" i="42"/>
  <c r="F22" i="42"/>
  <c r="E22" i="42"/>
  <c r="E71" i="42" s="1"/>
  <c r="D22" i="42"/>
  <c r="C22" i="42"/>
  <c r="O21" i="42"/>
  <c r="F100" i="42" s="1"/>
  <c r="O20" i="42"/>
  <c r="E100" i="42" s="1"/>
  <c r="E106" i="42" s="1"/>
  <c r="O19" i="42"/>
  <c r="C100" i="42" s="1"/>
  <c r="O18" i="42"/>
  <c r="O17" i="42"/>
  <c r="O16" i="42"/>
  <c r="O15" i="42"/>
  <c r="O14" i="42"/>
  <c r="O13" i="42"/>
  <c r="O12" i="42"/>
  <c r="G96" i="42" l="1"/>
  <c r="K96" i="42"/>
  <c r="H38" i="42"/>
  <c r="N38" i="42"/>
  <c r="H51" i="42"/>
  <c r="H65" i="42"/>
  <c r="N65" i="42"/>
  <c r="C106" i="42"/>
  <c r="F106" i="42"/>
  <c r="O123" i="42"/>
  <c r="D95" i="42"/>
  <c r="F89" i="42"/>
  <c r="F91" i="42" s="1"/>
  <c r="F95" i="42" s="1"/>
  <c r="F96" i="42" s="1"/>
  <c r="J89" i="42"/>
  <c r="J91" i="42" s="1"/>
  <c r="J95" i="42" s="1"/>
  <c r="H23" i="42"/>
  <c r="O31" i="42"/>
  <c r="O72" i="42" s="1"/>
  <c r="H32" i="42"/>
  <c r="I96" i="42"/>
  <c r="N32" i="42"/>
  <c r="K38" i="42"/>
  <c r="N51" i="42"/>
  <c r="K65" i="42"/>
  <c r="D142" i="42"/>
  <c r="F142" i="42"/>
  <c r="H142" i="42"/>
  <c r="J142" i="42"/>
  <c r="L142" i="42"/>
  <c r="N142" i="42"/>
  <c r="O128" i="42"/>
  <c r="O127" i="42"/>
  <c r="O64" i="42"/>
  <c r="O50" i="42"/>
  <c r="O86" i="42"/>
  <c r="N89" i="42"/>
  <c r="N91" i="42" s="1"/>
  <c r="N95" i="42" s="1"/>
  <c r="N96" i="42" s="1"/>
  <c r="O22" i="42"/>
  <c r="O87" i="42"/>
  <c r="O88" i="42"/>
  <c r="O90" i="42"/>
  <c r="H96" i="42"/>
  <c r="J96" i="42"/>
  <c r="L96" i="42"/>
  <c r="N23" i="42"/>
  <c r="F71" i="42"/>
  <c r="L71" i="42"/>
  <c r="L73" i="42" s="1"/>
  <c r="C72" i="42"/>
  <c r="M72" i="42"/>
  <c r="M73" i="42" s="1"/>
  <c r="C91" i="42"/>
  <c r="O85" i="42"/>
  <c r="O93" i="42"/>
  <c r="M96" i="42"/>
  <c r="O137" i="42"/>
  <c r="D96" i="42"/>
  <c r="K32" i="42"/>
  <c r="D71" i="42"/>
  <c r="H71" i="42"/>
  <c r="H73" i="42" s="1"/>
  <c r="J71" i="42"/>
  <c r="J73" i="42" s="1"/>
  <c r="N71" i="42"/>
  <c r="N73" i="42" s="1"/>
  <c r="E72" i="42"/>
  <c r="E73" i="42" s="1"/>
  <c r="I72" i="42"/>
  <c r="I73" i="42" s="1"/>
  <c r="E95" i="42"/>
  <c r="E96" i="42" s="1"/>
  <c r="C93" i="42"/>
  <c r="O117" i="42"/>
  <c r="K23" i="42"/>
  <c r="O37" i="42"/>
  <c r="C71" i="42"/>
  <c r="G71" i="42"/>
  <c r="G73" i="42" s="1"/>
  <c r="K71" i="42"/>
  <c r="K73" i="42" s="1"/>
  <c r="D72" i="42"/>
  <c r="F72" i="42"/>
  <c r="D119" i="42"/>
  <c r="F119" i="42"/>
  <c r="H119" i="42"/>
  <c r="J119" i="42"/>
  <c r="L119" i="42"/>
  <c r="N119" i="42"/>
  <c r="C142" i="42"/>
  <c r="E142" i="42"/>
  <c r="G142" i="42"/>
  <c r="I142" i="42"/>
  <c r="K142" i="42"/>
  <c r="M142" i="42"/>
  <c r="D139" i="42"/>
  <c r="F139" i="42"/>
  <c r="H139" i="42"/>
  <c r="J139" i="42"/>
  <c r="L139" i="42"/>
  <c r="N139" i="42"/>
  <c r="O138" i="42"/>
  <c r="O118" i="42"/>
  <c r="O122" i="42"/>
  <c r="O124" i="42" s="1"/>
  <c r="O132" i="42"/>
  <c r="O134" i="42" s="1"/>
  <c r="L32" i="42" l="1"/>
  <c r="O94" i="42"/>
  <c r="O129" i="42"/>
  <c r="C95" i="42"/>
  <c r="C96" i="42" s="1"/>
  <c r="F73" i="42"/>
  <c r="O119" i="42"/>
  <c r="O89" i="42"/>
  <c r="O91" i="42" s="1"/>
  <c r="D73" i="42"/>
  <c r="O139" i="42"/>
  <c r="H74" i="42"/>
  <c r="K74" i="42"/>
  <c r="E77" i="42" s="1"/>
  <c r="O142" i="42"/>
  <c r="C73" i="42"/>
  <c r="O71" i="42"/>
  <c r="O73" i="42" s="1"/>
  <c r="O95" i="42"/>
  <c r="O98" i="42" s="1"/>
  <c r="N74" i="42"/>
  <c r="E78" i="42" s="1"/>
  <c r="E74" i="42" l="1"/>
  <c r="O96" i="42"/>
  <c r="K75" i="42" l="1"/>
  <c r="E76" i="42"/>
  <c r="E79" i="42" s="1"/>
  <c r="K79" i="42" s="1"/>
  <c r="O74" i="42"/>
</calcChain>
</file>

<file path=xl/sharedStrings.xml><?xml version="1.0" encoding="utf-8"?>
<sst xmlns="http://schemas.openxmlformats.org/spreadsheetml/2006/main" count="1051" uniqueCount="259">
  <si>
    <t>CAS IALOMITA</t>
  </si>
  <si>
    <t xml:space="preserve">        EC  MIHAI GEANTA</t>
  </si>
  <si>
    <t xml:space="preserve">         EC ANDA BUSUIOC</t>
  </si>
  <si>
    <t>1. LABORATOARE DE ANALIZE MEDICALE</t>
  </si>
  <si>
    <t>nr crt</t>
  </si>
  <si>
    <t>Laborator</t>
  </si>
  <si>
    <t xml:space="preserve">PHILOS </t>
  </si>
  <si>
    <t>NERA</t>
  </si>
  <si>
    <t>MEDICTEST</t>
  </si>
  <si>
    <t>SPITAL SLOBOZIA</t>
  </si>
  <si>
    <t>SPITAL FETESTI</t>
  </si>
  <si>
    <t>SPITAL TANDAREI</t>
  </si>
  <si>
    <t>total laboratoare</t>
  </si>
  <si>
    <t>2. CITOLOGIE SI ANATOMIE PATOLOGICA</t>
  </si>
  <si>
    <t>spital SLOBOZIA</t>
  </si>
  <si>
    <t>spital URZICENI</t>
  </si>
  <si>
    <t>total  citologie</t>
  </si>
  <si>
    <t>3. ECOGRAFII</t>
  </si>
  <si>
    <t>FURNIZOR</t>
  </si>
  <si>
    <t>CAMEGRO</t>
  </si>
  <si>
    <t>MARINESCU DOINA</t>
  </si>
  <si>
    <t>LUNGU TACHE IONEL</t>
  </si>
  <si>
    <t>total ecografii</t>
  </si>
  <si>
    <t>4.  COMPUTER-TOMOGRAF SI RMN -SPITAL SLOBOZIA</t>
  </si>
  <si>
    <t>total radiologie</t>
  </si>
  <si>
    <t>DAISY CLINIC</t>
  </si>
  <si>
    <t>SPITAL</t>
  </si>
  <si>
    <t>SLOBOZIA</t>
  </si>
  <si>
    <t>URZICENI</t>
  </si>
  <si>
    <t>FETESTI</t>
  </si>
  <si>
    <t>TANDAREI</t>
  </si>
  <si>
    <t>total spitale</t>
  </si>
  <si>
    <t>total particulari</t>
  </si>
  <si>
    <t>laborator</t>
  </si>
  <si>
    <t>citologie</t>
  </si>
  <si>
    <t>radiologie</t>
  </si>
  <si>
    <t>ecografii</t>
  </si>
  <si>
    <t>DIRECTOR GENERAL,</t>
  </si>
  <si>
    <t xml:space="preserve">  DIRECTOR  EXECUTIV R.C</t>
  </si>
  <si>
    <t xml:space="preserve">5.  RADIOLOGIE </t>
  </si>
  <si>
    <t>6. RADIOLOGIE  DENTARA</t>
  </si>
  <si>
    <t>IMEX CELIA</t>
  </si>
  <si>
    <t>CT+RMN</t>
  </si>
  <si>
    <t>total activitate curenta</t>
  </si>
  <si>
    <t>spital FETESTI</t>
  </si>
  <si>
    <t>spital TANDAREI</t>
  </si>
  <si>
    <t>OLTEANU LAVINIA</t>
  </si>
  <si>
    <t xml:space="preserve">BIOMED </t>
  </si>
  <si>
    <t xml:space="preserve">PLUSS </t>
  </si>
  <si>
    <t xml:space="preserve">PROFDIAGNOSIS </t>
  </si>
  <si>
    <t>IL 01</t>
  </si>
  <si>
    <t>IL 02</t>
  </si>
  <si>
    <t>IL 03</t>
  </si>
  <si>
    <t>IL 04</t>
  </si>
  <si>
    <t>total 2022</t>
  </si>
  <si>
    <t xml:space="preserve">ianuarie   </t>
  </si>
  <si>
    <t xml:space="preserve">februarie </t>
  </si>
  <si>
    <t xml:space="preserve">VALOARE  CONTRACT  PARACLINIC </t>
  </si>
  <si>
    <t>PROFDIAGNOSIS</t>
  </si>
  <si>
    <t>BIOMED</t>
  </si>
  <si>
    <t xml:space="preserve"> MONITORIZARE  AN 2022</t>
  </si>
  <si>
    <t>TOTAL MONITORIZARE</t>
  </si>
  <si>
    <t>TOTAL  ACTIVITATE CURENTA</t>
  </si>
  <si>
    <t>activitate curenta</t>
  </si>
  <si>
    <t xml:space="preserve">monitorizare </t>
  </si>
  <si>
    <t>TOTAL  PARACLINIC  2022</t>
  </si>
  <si>
    <t>martie</t>
  </si>
  <si>
    <t>TOTAL PARACLINIC 2022</t>
  </si>
  <si>
    <t>aprilie</t>
  </si>
  <si>
    <t xml:space="preserve">          IRECTOR EX DIR ECONOMICA</t>
  </si>
  <si>
    <t xml:space="preserve">                       EC DOINA STAN</t>
  </si>
  <si>
    <t>mai</t>
  </si>
  <si>
    <t>iunie</t>
  </si>
  <si>
    <t xml:space="preserve">iulie </t>
  </si>
  <si>
    <t>oct</t>
  </si>
  <si>
    <t>nov</t>
  </si>
  <si>
    <t>dec</t>
  </si>
  <si>
    <t>sept</t>
  </si>
  <si>
    <t>aug</t>
  </si>
  <si>
    <t xml:space="preserve">mai </t>
  </si>
  <si>
    <t>trim II</t>
  </si>
  <si>
    <t>trim IV</t>
  </si>
  <si>
    <t>trim III</t>
  </si>
  <si>
    <t>trim I</t>
  </si>
  <si>
    <t xml:space="preserve">semestrul I </t>
  </si>
  <si>
    <t xml:space="preserve">total </t>
  </si>
  <si>
    <t>sem I</t>
  </si>
  <si>
    <t>CONTRACTAT</t>
  </si>
  <si>
    <t>APROBAT</t>
  </si>
  <si>
    <t>total monitorizare</t>
  </si>
  <si>
    <t>total laborator</t>
  </si>
  <si>
    <t>contractat la 9 luni</t>
  </si>
  <si>
    <t>LUNGU MIHAIL PETRU</t>
  </si>
  <si>
    <t>verificare:</t>
  </si>
  <si>
    <t>MONITORIZARE privat</t>
  </si>
  <si>
    <t>aprobat</t>
  </si>
  <si>
    <t>necontractat</t>
  </si>
  <si>
    <t>RAMAS  NECONTRACTAT</t>
  </si>
  <si>
    <t xml:space="preserve">   DIRECTOR EX DIR ECONOMICA</t>
  </si>
  <si>
    <t xml:space="preserve">          EC DOINA STAN</t>
  </si>
  <si>
    <t>furnizor</t>
  </si>
  <si>
    <t>lei</t>
  </si>
  <si>
    <t xml:space="preserve">INTOCMIT, </t>
  </si>
  <si>
    <t>MONICA MATEI</t>
  </si>
  <si>
    <t>suplimentare</t>
  </si>
  <si>
    <t>activ curenta +monitorizare</t>
  </si>
  <si>
    <t>monitorizare</t>
  </si>
  <si>
    <t>Laboratoare cu servicii de monitorizare</t>
  </si>
  <si>
    <t>obs</t>
  </si>
  <si>
    <t xml:space="preserve">SUMA MAXIMA ECO </t>
  </si>
  <si>
    <t>generala</t>
  </si>
  <si>
    <t>abdomen</t>
  </si>
  <si>
    <t>pelvis</t>
  </si>
  <si>
    <t>ganglionara</t>
  </si>
  <si>
    <t>transvaginala</t>
  </si>
  <si>
    <t>nr ore/luna</t>
  </si>
  <si>
    <t>nr max eco/luna</t>
  </si>
  <si>
    <t xml:space="preserve">nr eco </t>
  </si>
  <si>
    <t>suma max</t>
  </si>
  <si>
    <t>X</t>
  </si>
  <si>
    <t>SPITAL URZICENI</t>
  </si>
  <si>
    <t>estimare monitorizare decembrie</t>
  </si>
  <si>
    <t>Nr  12209 din 19.12.2022</t>
  </si>
  <si>
    <t xml:space="preserve">  DIRECTOR EXECUTIV R.C</t>
  </si>
  <si>
    <t xml:space="preserve">  LABORATOARE DE ANALIZE MEDICALE</t>
  </si>
  <si>
    <t>LEI</t>
  </si>
  <si>
    <t>1. LABORATOARE ANALIZE MEDICALE</t>
  </si>
  <si>
    <t>50%  criteriul resurse din care:</t>
  </si>
  <si>
    <t>evaluare resurse</t>
  </si>
  <si>
    <t>50% criteriul calitate, din care:</t>
  </si>
  <si>
    <t>TOTAL</t>
  </si>
  <si>
    <t>resurse tehnice</t>
  </si>
  <si>
    <t>logistica</t>
  </si>
  <si>
    <t>resurse umane</t>
  </si>
  <si>
    <t>50% -ISO</t>
  </si>
  <si>
    <t>50% -intercomparare</t>
  </si>
  <si>
    <t>PLUSS</t>
  </si>
  <si>
    <t>1.CRITERIUL  DE  EVALUARE  A  RESURSELOR  50%  DIN SUMA :</t>
  </si>
  <si>
    <t>2. CRITERIUL DE CALITATE  50% DIN SUMA , DIN CARE :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</si>
  <si>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</si>
  <si>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</si>
  <si>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</si>
  <si>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</si>
  <si>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</si>
  <si>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</si>
  <si>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</si>
  <si>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</si>
  <si>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</si>
  <si>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</si>
  <si>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</si>
  <si>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</si>
  <si>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</si>
  <si>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</si>
  <si>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</si>
  <si>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 xml:space="preserve">total suma </t>
  </si>
  <si>
    <t>2=val pct*nr pct  fz</t>
  </si>
  <si>
    <t>3 = val pct*nr pct  fz</t>
  </si>
  <si>
    <t>4=val pct*nr pct  fz</t>
  </si>
  <si>
    <t>5=2+3+4</t>
  </si>
  <si>
    <t xml:space="preserve">LEI </t>
  </si>
  <si>
    <t>A.Capacit Resurse Tehnice</t>
  </si>
  <si>
    <t>B.Resurse umane</t>
  </si>
  <si>
    <t>C.Logistica</t>
  </si>
  <si>
    <t>1. CRIT EVAL RESURSE</t>
  </si>
  <si>
    <t>2. Criteriul de disponibilitate</t>
  </si>
  <si>
    <t>TOTAL PUNCTAJ</t>
  </si>
  <si>
    <r>
      <t>1. CRITERIUL DE EVALUARE A RESURSELOR  90% +10% ( de la disponibilitate)</t>
    </r>
    <r>
      <rPr>
        <b/>
        <sz val="12"/>
        <rFont val="Batang"/>
      </rPr>
      <t xml:space="preserve"> </t>
    </r>
  </si>
  <si>
    <t>ev resurse+dispon</t>
  </si>
  <si>
    <t>suma resurse+dispon</t>
  </si>
  <si>
    <t xml:space="preserve">2. CRITERIUL DE DISPONIBILITATE </t>
  </si>
  <si>
    <t xml:space="preserve">NICI UN FURNIZOR NU INDEPLINESTE CRITERIUL DE DISPONIBILITATE, PRIN URMARE </t>
  </si>
  <si>
    <t>SUMA SE VA REPARTIZA LA CRITERIUL DE EVALUARE A RESURSELOR</t>
  </si>
  <si>
    <t xml:space="preserve">SERVICII LUNA NOIEMBRIE 2022 SI  MONITORIZARE LUNA NOIEMBRIE </t>
  </si>
  <si>
    <t>TIP INVESTIGATIE</t>
  </si>
  <si>
    <t>CONTRACTAT 2022</t>
  </si>
  <si>
    <t>MEDIE LUNARA 2022</t>
  </si>
  <si>
    <t>PONDERE 2022</t>
  </si>
  <si>
    <t>citologie si anatomie patologica</t>
  </si>
  <si>
    <t>CT/RMN</t>
  </si>
  <si>
    <t>TOTAL CA 2022</t>
  </si>
  <si>
    <t>CREDIT ANGAJAMENT</t>
  </si>
  <si>
    <t>PHILOS</t>
  </si>
  <si>
    <t xml:space="preserve">           RADIOLOGIE CONVENTIONALA</t>
  </si>
  <si>
    <t xml:space="preserve">CREDIT ANAGAJAMENT </t>
  </si>
  <si>
    <t xml:space="preserve">TOTAL </t>
  </si>
  <si>
    <t>1. CRITERIUL DE EVALUARE A RESURSELOR  90%  DIN SUMA</t>
  </si>
  <si>
    <t xml:space="preserve">2. CRITERIUL DE DISPONIBILITATE   10 % DIN SUMA </t>
  </si>
  <si>
    <t>REPARTIZARE  CREDIT ANGAJAMENT  LA LUNA DECEMBRIE  2022</t>
  </si>
  <si>
    <t>REPARTIZARE  CREDIT ANGAJAMENT  OCTOMBRIE -DECEMBRIE  2022</t>
  </si>
  <si>
    <t xml:space="preserve">                 ECOGRAFII </t>
  </si>
  <si>
    <t xml:space="preserve">            CITOLOGIE  SI  HISTOPATOLOGIE</t>
  </si>
  <si>
    <t xml:space="preserve">PUNCTAJ  CITOLOGIE </t>
  </si>
  <si>
    <t>TOTAL EVAL RESURSE</t>
  </si>
  <si>
    <t xml:space="preserve">1. CRITERIUL DE EVALUARE A RESURSELOR  </t>
  </si>
  <si>
    <t>ev resurse</t>
  </si>
  <si>
    <t>verificare :</t>
  </si>
  <si>
    <t xml:space="preserve">        EC MIHAI GEANTA</t>
  </si>
  <si>
    <t xml:space="preserve">                 EC DOINA STAN</t>
  </si>
  <si>
    <t xml:space="preserve">      EC ANDA BUSUIOC</t>
  </si>
  <si>
    <t xml:space="preserve">       SPITAL   SLOBOZIA - CT  si  RMN </t>
  </si>
  <si>
    <t xml:space="preserve">CREDIT  ANGAJAMENT </t>
  </si>
  <si>
    <t>REPARTIZARE CREDITE DE ANGAJAMENT IANUARIE+FEBRUARIE 2023</t>
  </si>
  <si>
    <t>REPARTIZARE  CREDIT ANGAJAMENT  IANUARIE+FEBRUARIE 2023</t>
  </si>
  <si>
    <t>REPARTIZARE  CREDIT ANGAJAMENT IANUARIE+FEBRUARIE 2023</t>
  </si>
  <si>
    <t>IANUARIE</t>
  </si>
  <si>
    <t>FEBRUARIE</t>
  </si>
  <si>
    <t>REPARTIZARE  CREDIT ANGAJAMENT  IANUARIE SI FEBRUARIE 2023</t>
  </si>
  <si>
    <t>SM ECO</t>
  </si>
  <si>
    <t>REPARTIZARE CREDIT DE ANGAJAMENT IANUARIE SI FEBRUARIE 2023</t>
  </si>
  <si>
    <t>REPARTIZARE  IANUARIE SI FEBRUARIE 2023</t>
  </si>
  <si>
    <t>MEDIE 2022</t>
  </si>
  <si>
    <t>MEDIE AN 2022</t>
  </si>
  <si>
    <t>CRESTERE</t>
  </si>
  <si>
    <t>medie an 2022</t>
  </si>
  <si>
    <t>% 2023/2022</t>
  </si>
  <si>
    <t>%2023/2022</t>
  </si>
  <si>
    <t>furnizori noi cu luna oct 2022</t>
  </si>
  <si>
    <t>cu repartizare initiala numai din rectif</t>
  </si>
  <si>
    <t>%2023/2023</t>
  </si>
  <si>
    <t>total</t>
  </si>
  <si>
    <t>medie 2022</t>
  </si>
  <si>
    <t>ianuarie si februarie 2023</t>
  </si>
  <si>
    <t xml:space="preserve">1, VALOARE  CONTRACT  PARACLINIC </t>
  </si>
  <si>
    <t>ANALIZA REPARTIZARE CREDITE DE ANGAJAMENT IANUARIE SI FEBRUARIE 2023</t>
  </si>
  <si>
    <t>BUGET FNUASS P 9925 din 22,12,2022</t>
  </si>
  <si>
    <t>1, CREDIT DE ANGAJAMENT APROBAT IANUARIE SI FEBRUARIE 2023</t>
  </si>
  <si>
    <t>2, MEDIE LUNARA IANUARIE/FEBRUARIE 2023</t>
  </si>
  <si>
    <t>3,CREDIT DE ANGAJAMENT 2022</t>
  </si>
  <si>
    <t>4, MEDIE LUNARA 2022</t>
  </si>
  <si>
    <t>5, CRESTERE MEDIE LUNARA 2023/2022</t>
  </si>
  <si>
    <t>PROPUNERE REPARTIZARE PE TIPURI DE INVESTIGATII MEDICALE PARACLINICE</t>
  </si>
  <si>
    <t>2023 LA POINDERE 2022</t>
  </si>
  <si>
    <t>PROPUNERE IAN SI FEB 2023</t>
  </si>
  <si>
    <t>MEDIE LUNARA 2023</t>
  </si>
  <si>
    <t>investigatii de laborator ( fara monitorizare)</t>
  </si>
  <si>
    <t>monitorizare cronici</t>
  </si>
  <si>
    <t>radiografie dentara</t>
  </si>
  <si>
    <t>estim monit dec 2022</t>
  </si>
  <si>
    <t>intocmit, dir ex. DRC, Anda Busuioc</t>
  </si>
  <si>
    <t>total paraclinic</t>
  </si>
  <si>
    <t>credit de angajament aprobat 2023</t>
  </si>
  <si>
    <t>contract spital slobozia</t>
  </si>
  <si>
    <t>tip investigatie</t>
  </si>
  <si>
    <t>ianuarie</t>
  </si>
  <si>
    <t>februarie</t>
  </si>
  <si>
    <t>Nr  12607 din 27,12,2022</t>
  </si>
  <si>
    <t>suplimentare sume contractate luna decembrie 2022 - solicitare BIOMED - nr. 12607 din 27,12,2022</t>
  </si>
  <si>
    <t>contractat anterior</t>
  </si>
  <si>
    <t>suplim / dimin</t>
  </si>
  <si>
    <t>recapitulatie</t>
  </si>
  <si>
    <t>CONTRACT SPITALE- fara AA eco</t>
  </si>
  <si>
    <t>intocmit,</t>
  </si>
  <si>
    <t xml:space="preserve">verificare </t>
  </si>
  <si>
    <t>SPITAL URZICENI(actualizat pt un medic in plus)</t>
  </si>
  <si>
    <t>spital SLOBOZIA(actualizat pentru un medic incetat)</t>
  </si>
  <si>
    <t>Nr 12631 din 27,12,2022</t>
  </si>
  <si>
    <t>contract spital urziceni</t>
  </si>
  <si>
    <t>( cu monitorizare)</t>
  </si>
  <si>
    <t>% 2023/2022(fara servicii de monitorizare)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</si>
</sst>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Arial Narrow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Batang"/>
      <family val="1"/>
    </font>
    <font>
      <b/>
      <sz val="12"/>
      <name val="Batang"/>
    </font>
    <font>
      <sz val="12"/>
      <name val="Batang"/>
      <family val="1"/>
    </font>
    <font>
      <b/>
      <sz val="12"/>
      <color rgb="FFFF0000"/>
      <name val="Batang"/>
    </font>
    <font>
      <sz val="12"/>
      <color rgb="FFFF0000"/>
      <name val="Batang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8"/>
      <color theme="1"/>
      <name val="Times New Roman"/>
      <family val="1"/>
    </font>
    <font>
      <b/>
      <sz val="11"/>
      <color rgb="FFFF0000"/>
      <name val="Palatino Linotype"/>
      <family val="1"/>
    </font>
    <font>
      <b/>
      <sz val="12"/>
      <color rgb="FFFF0000"/>
      <name val="Palatino Linotype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i/>
      <sz val="10"/>
      <name val="Arial Narrow"/>
      <family val="2"/>
    </font>
    <font>
      <b/>
      <i/>
      <sz val="8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9"/>
      <name val="Arial Narrow"/>
      <family val="2"/>
    </font>
    <font>
      <b/>
      <sz val="14"/>
      <name val="Arial Narrow"/>
      <family val="2"/>
    </font>
    <font>
      <b/>
      <u/>
      <sz val="12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1">
    <xf numFmtId="0" fontId="0" fillId="0" borderId="0" xfId="0"/>
    <xf numFmtId="4" fontId="1" fillId="0" borderId="0" xfId="0" applyNumberFormat="1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3" fillId="0" borderId="6" xfId="0" applyFont="1" applyFill="1" applyBorder="1"/>
    <xf numFmtId="0" fontId="3" fillId="0" borderId="13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/>
    <xf numFmtId="0" fontId="3" fillId="0" borderId="11" xfId="0" applyFont="1" applyFill="1" applyBorder="1"/>
    <xf numFmtId="0" fontId="3" fillId="0" borderId="18" xfId="0" applyFont="1" applyFill="1" applyBorder="1"/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4" fontId="3" fillId="0" borderId="0" xfId="0" applyNumberFormat="1" applyFont="1" applyFill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4" fontId="3" fillId="0" borderId="6" xfId="0" applyNumberFormat="1" applyFont="1" applyFill="1" applyBorder="1"/>
    <xf numFmtId="4" fontId="6" fillId="0" borderId="2" xfId="0" applyNumberFormat="1" applyFont="1" applyFill="1" applyBorder="1"/>
    <xf numFmtId="0" fontId="1" fillId="0" borderId="1" xfId="0" applyFont="1" applyFill="1" applyBorder="1"/>
    <xf numFmtId="0" fontId="3" fillId="0" borderId="12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Fill="1"/>
    <xf numFmtId="4" fontId="14" fillId="0" borderId="12" xfId="0" applyNumberFormat="1" applyFont="1" applyFill="1" applyBorder="1"/>
    <xf numFmtId="4" fontId="6" fillId="0" borderId="3" xfId="0" applyNumberFormat="1" applyFont="1" applyFill="1" applyBorder="1"/>
    <xf numFmtId="4" fontId="6" fillId="0" borderId="16" xfId="0" applyNumberFormat="1" applyFont="1" applyFill="1" applyBorder="1"/>
    <xf numFmtId="0" fontId="3" fillId="0" borderId="4" xfId="0" applyFont="1" applyFill="1" applyBorder="1" applyAlignment="1">
      <alignment horizontal="right"/>
    </xf>
    <xf numFmtId="4" fontId="14" fillId="0" borderId="6" xfId="0" applyNumberFormat="1" applyFont="1" applyFill="1" applyBorder="1"/>
    <xf numFmtId="4" fontId="3" fillId="0" borderId="3" xfId="0" applyNumberFormat="1" applyFont="1" applyFill="1" applyBorder="1"/>
    <xf numFmtId="0" fontId="6" fillId="0" borderId="22" xfId="0" applyFont="1" applyFill="1" applyBorder="1"/>
    <xf numFmtId="4" fontId="3" fillId="0" borderId="23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4" fontId="6" fillId="0" borderId="25" xfId="0" applyNumberFormat="1" applyFont="1" applyFill="1" applyBorder="1"/>
    <xf numFmtId="4" fontId="6" fillId="0" borderId="26" xfId="0" applyNumberFormat="1" applyFont="1" applyFill="1" applyBorder="1" applyAlignment="1">
      <alignment horizontal="right"/>
    </xf>
    <xf numFmtId="0" fontId="6" fillId="0" borderId="12" xfId="0" applyFont="1" applyFill="1" applyBorder="1"/>
    <xf numFmtId="4" fontId="6" fillId="0" borderId="12" xfId="0" applyNumberFormat="1" applyFont="1" applyFill="1" applyBorder="1"/>
    <xf numFmtId="4" fontId="3" fillId="0" borderId="11" xfId="0" applyNumberFormat="1" applyFont="1" applyFill="1" applyBorder="1"/>
    <xf numFmtId="4" fontId="3" fillId="0" borderId="28" xfId="0" applyNumberFormat="1" applyFont="1" applyFill="1" applyBorder="1"/>
    <xf numFmtId="4" fontId="14" fillId="0" borderId="23" xfId="0" applyNumberFormat="1" applyFont="1" applyFill="1" applyBorder="1"/>
    <xf numFmtId="0" fontId="15" fillId="0" borderId="20" xfId="0" applyFont="1" applyFill="1" applyBorder="1"/>
    <xf numFmtId="0" fontId="15" fillId="0" borderId="10" xfId="0" applyFont="1" applyFill="1" applyBorder="1"/>
    <xf numFmtId="4" fontId="15" fillId="0" borderId="13" xfId="0" applyNumberFormat="1" applyFont="1" applyFill="1" applyBorder="1"/>
    <xf numFmtId="0" fontId="15" fillId="0" borderId="2" xfId="0" applyFont="1" applyFill="1" applyBorder="1" applyAlignment="1">
      <alignment horizontal="right"/>
    </xf>
    <xf numFmtId="0" fontId="15" fillId="0" borderId="11" xfId="0" applyFont="1" applyFill="1" applyBorder="1"/>
    <xf numFmtId="4" fontId="16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4" fontId="15" fillId="0" borderId="2" xfId="0" applyNumberFormat="1" applyFont="1" applyFill="1" applyBorder="1"/>
    <xf numFmtId="4" fontId="15" fillId="0" borderId="3" xfId="0" applyNumberFormat="1" applyFont="1" applyFill="1" applyBorder="1"/>
    <xf numFmtId="4" fontId="14" fillId="0" borderId="4" xfId="0" applyNumberFormat="1" applyFont="1" applyFill="1" applyBorder="1"/>
    <xf numFmtId="4" fontId="14" fillId="0" borderId="29" xfId="0" applyNumberFormat="1" applyFont="1" applyFill="1" applyBorder="1"/>
    <xf numFmtId="4" fontId="14" fillId="0" borderId="7" xfId="0" applyNumberFormat="1" applyFont="1" applyFill="1" applyBorder="1"/>
    <xf numFmtId="4" fontId="14" fillId="0" borderId="9" xfId="0" applyNumberFormat="1" applyFont="1" applyFill="1" applyBorder="1"/>
    <xf numFmtId="4" fontId="14" fillId="0" borderId="30" xfId="0" applyNumberFormat="1" applyFont="1" applyFill="1" applyBorder="1"/>
    <xf numFmtId="4" fontId="14" fillId="0" borderId="20" xfId="0" applyNumberFormat="1" applyFont="1" applyFill="1" applyBorder="1"/>
    <xf numFmtId="4" fontId="14" fillId="0" borderId="32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4" fontId="3" fillId="0" borderId="30" xfId="0" applyNumberFormat="1" applyFont="1" applyFill="1" applyBorder="1"/>
    <xf numFmtId="4" fontId="6" fillId="0" borderId="24" xfId="0" applyNumberFormat="1" applyFont="1" applyFill="1" applyBorder="1" applyAlignment="1">
      <alignment horizontal="right"/>
    </xf>
    <xf numFmtId="0" fontId="6" fillId="0" borderId="0" xfId="0" applyFont="1" applyFill="1"/>
    <xf numFmtId="4" fontId="6" fillId="0" borderId="35" xfId="0" applyNumberFormat="1" applyFont="1" applyFill="1" applyBorder="1"/>
    <xf numFmtId="4" fontId="6" fillId="0" borderId="36" xfId="0" applyNumberFormat="1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4" fontId="15" fillId="0" borderId="12" xfId="0" applyNumberFormat="1" applyFont="1" applyFill="1" applyBorder="1"/>
    <xf numFmtId="4" fontId="15" fillId="0" borderId="30" xfId="0" applyNumberFormat="1" applyFont="1" applyFill="1" applyBorder="1"/>
    <xf numFmtId="4" fontId="15" fillId="0" borderId="16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4" fontId="3" fillId="0" borderId="25" xfId="0" applyNumberFormat="1" applyFont="1" applyFill="1" applyBorder="1"/>
    <xf numFmtId="0" fontId="12" fillId="0" borderId="0" xfId="0" applyFont="1" applyFill="1"/>
    <xf numFmtId="0" fontId="13" fillId="0" borderId="0" xfId="0" applyFont="1" applyFill="1"/>
    <xf numFmtId="0" fontId="17" fillId="0" borderId="1" xfId="0" applyFont="1" applyFill="1" applyBorder="1"/>
    <xf numFmtId="4" fontId="17" fillId="0" borderId="27" xfId="0" applyNumberFormat="1" applyFont="1" applyFill="1" applyBorder="1"/>
    <xf numFmtId="0" fontId="6" fillId="0" borderId="1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15" fillId="0" borderId="6" xfId="0" applyNumberFormat="1" applyFont="1" applyFill="1" applyBorder="1"/>
    <xf numFmtId="0" fontId="7" fillId="0" borderId="0" xfId="0" applyFont="1" applyFill="1"/>
    <xf numFmtId="0" fontId="6" fillId="2" borderId="0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/>
    <xf numFmtId="4" fontId="3" fillId="0" borderId="2" xfId="0" applyNumberFormat="1" applyFont="1" applyFill="1" applyBorder="1"/>
    <xf numFmtId="4" fontId="3" fillId="0" borderId="24" xfId="0" applyNumberFormat="1" applyFont="1" applyFill="1" applyBorder="1"/>
    <xf numFmtId="0" fontId="6" fillId="0" borderId="27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1" xfId="0" applyFont="1" applyFill="1" applyBorder="1"/>
    <xf numFmtId="4" fontId="10" fillId="0" borderId="2" xfId="0" applyNumberFormat="1" applyFont="1" applyFill="1" applyBorder="1"/>
    <xf numFmtId="4" fontId="10" fillId="0" borderId="3" xfId="0" applyNumberFormat="1" applyFont="1" applyFill="1" applyBorder="1"/>
    <xf numFmtId="4" fontId="10" fillId="0" borderId="16" xfId="0" applyNumberFormat="1" applyFont="1" applyFill="1" applyBorder="1"/>
    <xf numFmtId="4" fontId="10" fillId="0" borderId="26" xfId="0" applyNumberFormat="1" applyFont="1" applyFill="1" applyBorder="1"/>
    <xf numFmtId="0" fontId="10" fillId="0" borderId="2" xfId="0" applyFont="1" applyFill="1" applyBorder="1"/>
    <xf numFmtId="0" fontId="3" fillId="0" borderId="27" xfId="0" applyFont="1" applyFill="1" applyBorder="1"/>
    <xf numFmtId="0" fontId="10" fillId="0" borderId="24" xfId="0" applyFont="1" applyFill="1" applyBorder="1"/>
    <xf numFmtId="4" fontId="6" fillId="0" borderId="25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/>
    </xf>
    <xf numFmtId="4" fontId="17" fillId="0" borderId="24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" fillId="3" borderId="0" xfId="0" applyFont="1" applyFill="1"/>
    <xf numFmtId="0" fontId="4" fillId="0" borderId="0" xfId="0" applyFont="1"/>
    <xf numFmtId="0" fontId="1" fillId="0" borderId="0" xfId="0" applyFont="1"/>
    <xf numFmtId="4" fontId="1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Fill="1" applyBorder="1"/>
    <xf numFmtId="0" fontId="0" fillId="0" borderId="0" xfId="0" applyFill="1" applyBorder="1"/>
    <xf numFmtId="4" fontId="3" fillId="0" borderId="0" xfId="0" applyNumberFormat="1" applyFont="1" applyBorder="1"/>
    <xf numFmtId="0" fontId="3" fillId="0" borderId="0" xfId="0" applyFont="1"/>
    <xf numFmtId="0" fontId="20" fillId="0" borderId="0" xfId="0" applyFont="1"/>
    <xf numFmtId="0" fontId="5" fillId="0" borderId="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6" xfId="0" applyFont="1" applyFill="1" applyBorder="1"/>
    <xf numFmtId="0" fontId="12" fillId="0" borderId="0" xfId="0" applyFont="1" applyFill="1" applyAlignment="1">
      <alignment vertical="center"/>
    </xf>
    <xf numFmtId="0" fontId="20" fillId="0" borderId="0" xfId="0" applyFont="1" applyFill="1"/>
    <xf numFmtId="0" fontId="2" fillId="0" borderId="0" xfId="0" applyFont="1"/>
    <xf numFmtId="4" fontId="6" fillId="0" borderId="0" xfId="0" applyNumberFormat="1" applyFont="1" applyBorder="1"/>
    <xf numFmtId="0" fontId="3" fillId="0" borderId="0" xfId="0" applyFont="1" applyBorder="1"/>
    <xf numFmtId="0" fontId="18" fillId="0" borderId="4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3" fontId="23" fillId="0" borderId="6" xfId="0" applyNumberFormat="1" applyFont="1" applyBorder="1"/>
    <xf numFmtId="4" fontId="22" fillId="0" borderId="6" xfId="0" applyNumberFormat="1" applyFont="1" applyFill="1" applyBorder="1"/>
    <xf numFmtId="3" fontId="19" fillId="0" borderId="6" xfId="0" applyNumberFormat="1" applyFont="1" applyBorder="1"/>
    <xf numFmtId="4" fontId="19" fillId="0" borderId="30" xfId="0" applyNumberFormat="1" applyFont="1" applyBorder="1"/>
    <xf numFmtId="0" fontId="18" fillId="0" borderId="7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3" fontId="23" fillId="0" borderId="12" xfId="0" applyNumberFormat="1" applyFont="1" applyBorder="1"/>
    <xf numFmtId="3" fontId="19" fillId="0" borderId="12" xfId="0" applyNumberFormat="1" applyFont="1" applyFill="1" applyBorder="1"/>
    <xf numFmtId="4" fontId="19" fillId="0" borderId="29" xfId="0" applyNumberFormat="1" applyFont="1" applyFill="1" applyBorder="1"/>
    <xf numFmtId="0" fontId="19" fillId="0" borderId="6" xfId="0" applyFont="1" applyFill="1" applyBorder="1" applyAlignment="1">
      <alignment horizontal="center"/>
    </xf>
    <xf numFmtId="0" fontId="18" fillId="0" borderId="12" xfId="0" applyFont="1" applyFill="1" applyBorder="1"/>
    <xf numFmtId="3" fontId="19" fillId="0" borderId="12" xfId="0" applyNumberFormat="1" applyFont="1" applyBorder="1"/>
    <xf numFmtId="4" fontId="19" fillId="0" borderId="29" xfId="0" applyNumberFormat="1" applyFont="1" applyBorder="1"/>
    <xf numFmtId="4" fontId="22" fillId="0" borderId="12" xfId="0" applyNumberFormat="1" applyFont="1" applyFill="1" applyBorder="1"/>
    <xf numFmtId="0" fontId="18" fillId="0" borderId="19" xfId="1" applyFont="1" applyFill="1" applyBorder="1" applyAlignment="1">
      <alignment horizontal="center"/>
    </xf>
    <xf numFmtId="0" fontId="18" fillId="0" borderId="35" xfId="1" applyFont="1" applyFill="1" applyBorder="1" applyAlignment="1">
      <alignment horizontal="left"/>
    </xf>
    <xf numFmtId="0" fontId="2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3" fontId="23" fillId="0" borderId="35" xfId="0" applyNumberFormat="1" applyFont="1" applyBorder="1"/>
    <xf numFmtId="3" fontId="19" fillId="0" borderId="35" xfId="0" applyNumberFormat="1" applyFont="1" applyFill="1" applyBorder="1"/>
    <xf numFmtId="0" fontId="19" fillId="0" borderId="40" xfId="0" applyFont="1" applyBorder="1" applyAlignment="1">
      <alignment horizontal="center"/>
    </xf>
    <xf numFmtId="4" fontId="19" fillId="0" borderId="36" xfId="0" applyNumberFormat="1" applyFont="1" applyFill="1" applyBorder="1"/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4" fontId="3" fillId="0" borderId="0" xfId="0" applyNumberFormat="1" applyFont="1"/>
    <xf numFmtId="0" fontId="4" fillId="3" borderId="1" xfId="0" applyFont="1" applyFill="1" applyBorder="1"/>
    <xf numFmtId="0" fontId="1" fillId="3" borderId="24" xfId="0" applyFont="1" applyFill="1" applyBorder="1"/>
    <xf numFmtId="4" fontId="1" fillId="3" borderId="27" xfId="0" applyNumberFormat="1" applyFont="1" applyFill="1" applyBorder="1"/>
    <xf numFmtId="0" fontId="9" fillId="0" borderId="0" xfId="0" applyFont="1"/>
    <xf numFmtId="0" fontId="0" fillId="0" borderId="0" xfId="0" applyFont="1"/>
    <xf numFmtId="0" fontId="18" fillId="0" borderId="0" xfId="0" applyFont="1"/>
    <xf numFmtId="0" fontId="19" fillId="0" borderId="0" xfId="0" applyFont="1"/>
    <xf numFmtId="4" fontId="27" fillId="0" borderId="0" xfId="0" applyNumberFormat="1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4" fontId="31" fillId="0" borderId="0" xfId="1" applyNumberFormat="1" applyFont="1" applyFill="1" applyBorder="1"/>
    <xf numFmtId="0" fontId="31" fillId="0" borderId="0" xfId="1" applyNumberFormat="1" applyFont="1" applyFill="1" applyBorder="1"/>
    <xf numFmtId="4" fontId="32" fillId="0" borderId="0" xfId="1" applyNumberFormat="1" applyFont="1" applyFill="1" applyBorder="1"/>
    <xf numFmtId="0" fontId="26" fillId="0" borderId="0" xfId="0" applyFont="1" applyFill="1"/>
    <xf numFmtId="0" fontId="1" fillId="0" borderId="0" xfId="1" applyFont="1" applyFill="1"/>
    <xf numFmtId="0" fontId="9" fillId="0" borderId="0" xfId="1" applyFont="1" applyFill="1"/>
    <xf numFmtId="4" fontId="27" fillId="0" borderId="0" xfId="0" applyNumberFormat="1" applyFont="1" applyFill="1" applyBorder="1"/>
    <xf numFmtId="4" fontId="33" fillId="0" borderId="0" xfId="0" applyNumberFormat="1" applyFont="1" applyFill="1" applyBorder="1"/>
    <xf numFmtId="0" fontId="11" fillId="0" borderId="25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justify"/>
    </xf>
    <xf numFmtId="0" fontId="0" fillId="0" borderId="0" xfId="0" applyBorder="1"/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 vertical="justify"/>
    </xf>
    <xf numFmtId="0" fontId="11" fillId="0" borderId="41" xfId="0" applyFont="1" applyBorder="1"/>
    <xf numFmtId="0" fontId="1" fillId="0" borderId="0" xfId="1" applyFont="1" applyFill="1" applyBorder="1" applyAlignment="1">
      <alignment horizontal="center"/>
    </xf>
    <xf numFmtId="0" fontId="13" fillId="0" borderId="12" xfId="0" applyFont="1" applyFill="1" applyBorder="1"/>
    <xf numFmtId="4" fontId="1" fillId="0" borderId="0" xfId="1" applyNumberFormat="1" applyFont="1" applyFill="1" applyBorder="1"/>
    <xf numFmtId="0" fontId="13" fillId="0" borderId="13" xfId="0" applyFont="1" applyFill="1" applyBorder="1"/>
    <xf numFmtId="0" fontId="12" fillId="0" borderId="2" xfId="0" applyFont="1" applyBorder="1"/>
    <xf numFmtId="0" fontId="12" fillId="0" borderId="3" xfId="0" applyFont="1" applyFill="1" applyBorder="1"/>
    <xf numFmtId="4" fontId="12" fillId="0" borderId="3" xfId="0" applyNumberFormat="1" applyFont="1" applyFill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12" fillId="0" borderId="11" xfId="0" applyNumberFormat="1" applyFont="1" applyBorder="1"/>
    <xf numFmtId="4" fontId="11" fillId="0" borderId="25" xfId="0" applyNumberFormat="1" applyFont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Fill="1" applyBorder="1"/>
    <xf numFmtId="0" fontId="1" fillId="0" borderId="0" xfId="1" applyFont="1" applyFill="1" applyBorder="1"/>
    <xf numFmtId="4" fontId="30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4" fillId="0" borderId="0" xfId="0" applyFont="1" applyFill="1"/>
    <xf numFmtId="4" fontId="34" fillId="0" borderId="0" xfId="0" applyNumberFormat="1" applyFont="1" applyFill="1" applyBorder="1"/>
    <xf numFmtId="4" fontId="32" fillId="0" borderId="0" xfId="0" applyNumberFormat="1" applyFont="1" applyFill="1"/>
    <xf numFmtId="4" fontId="32" fillId="0" borderId="0" xfId="0" applyNumberFormat="1" applyFont="1" applyFill="1" applyBorder="1"/>
    <xf numFmtId="4" fontId="3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30" fillId="0" borderId="42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7" xfId="1" applyFont="1" applyFill="1" applyBorder="1"/>
    <xf numFmtId="4" fontId="32" fillId="0" borderId="12" xfId="0" applyNumberFormat="1" applyFont="1" applyBorder="1"/>
    <xf numFmtId="4" fontId="32" fillId="0" borderId="29" xfId="0" applyNumberFormat="1" applyFont="1" applyBorder="1"/>
    <xf numFmtId="4" fontId="35" fillId="0" borderId="0" xfId="0" applyNumberFormat="1" applyFont="1" applyBorder="1" applyAlignment="1">
      <alignment horizontal="center"/>
    </xf>
    <xf numFmtId="0" fontId="12" fillId="0" borderId="19" xfId="0" applyFont="1" applyBorder="1"/>
    <xf numFmtId="4" fontId="30" fillId="0" borderId="35" xfId="0" applyNumberFormat="1" applyFont="1" applyBorder="1"/>
    <xf numFmtId="0" fontId="30" fillId="0" borderId="36" xfId="0" applyFont="1" applyBorder="1"/>
    <xf numFmtId="4" fontId="0" fillId="0" borderId="0" xfId="0" applyNumberFormat="1"/>
    <xf numFmtId="0" fontId="12" fillId="0" borderId="0" xfId="0" applyFont="1" applyBorder="1"/>
    <xf numFmtId="4" fontId="30" fillId="0" borderId="0" xfId="0" applyNumberFormat="1" applyFont="1" applyBorder="1"/>
    <xf numFmtId="0" fontId="30" fillId="0" borderId="0" xfId="0" applyFont="1" applyBorder="1"/>
    <xf numFmtId="0" fontId="13" fillId="0" borderId="0" xfId="0" applyFont="1" applyBorder="1"/>
    <xf numFmtId="4" fontId="34" fillId="0" borderId="0" xfId="0" applyNumberFormat="1" applyFont="1" applyBorder="1"/>
    <xf numFmtId="0" fontId="1" fillId="0" borderId="2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" fontId="34" fillId="0" borderId="6" xfId="0" applyNumberFormat="1" applyFont="1" applyBorder="1"/>
    <xf numFmtId="4" fontId="34" fillId="0" borderId="5" xfId="0" applyNumberFormat="1" applyFont="1" applyBorder="1"/>
    <xf numFmtId="4" fontId="30" fillId="0" borderId="6" xfId="0" applyNumberFormat="1" applyFont="1" applyBorder="1"/>
    <xf numFmtId="0" fontId="12" fillId="0" borderId="11" xfId="0" applyFont="1" applyFill="1" applyBorder="1"/>
    <xf numFmtId="4" fontId="34" fillId="0" borderId="2" xfId="0" applyNumberFormat="1" applyFont="1" applyBorder="1"/>
    <xf numFmtId="4" fontId="30" fillId="0" borderId="16" xfId="0" applyNumberFormat="1" applyFont="1" applyBorder="1"/>
    <xf numFmtId="0" fontId="36" fillId="0" borderId="0" xfId="1" applyFont="1" applyFill="1" applyBorder="1"/>
    <xf numFmtId="4" fontId="37" fillId="0" borderId="0" xfId="0" applyNumberFormat="1" applyFont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0" fontId="1" fillId="0" borderId="2" xfId="1" applyFont="1" applyFill="1" applyBorder="1"/>
    <xf numFmtId="0" fontId="1" fillId="0" borderId="11" xfId="1" applyFont="1" applyFill="1" applyBorder="1"/>
    <xf numFmtId="4" fontId="30" fillId="0" borderId="1" xfId="0" applyNumberFormat="1" applyFont="1" applyBorder="1"/>
    <xf numFmtId="4" fontId="30" fillId="0" borderId="25" xfId="0" applyNumberFormat="1" applyFont="1" applyBorder="1"/>
    <xf numFmtId="0" fontId="8" fillId="0" borderId="0" xfId="0" applyFont="1"/>
    <xf numFmtId="0" fontId="21" fillId="0" borderId="0" xfId="0" applyFont="1"/>
    <xf numFmtId="0" fontId="2" fillId="2" borderId="0" xfId="0" applyFont="1" applyFill="1"/>
    <xf numFmtId="0" fontId="39" fillId="0" borderId="0" xfId="0" applyFont="1"/>
    <xf numFmtId="4" fontId="40" fillId="0" borderId="0" xfId="0" applyNumberFormat="1" applyFont="1" applyBorder="1"/>
    <xf numFmtId="0" fontId="34" fillId="0" borderId="0" xfId="0" applyFont="1"/>
    <xf numFmtId="0" fontId="13" fillId="0" borderId="0" xfId="0" applyFont="1"/>
    <xf numFmtId="4" fontId="41" fillId="4" borderId="0" xfId="0" applyNumberFormat="1" applyFont="1" applyFill="1" applyBorder="1"/>
    <xf numFmtId="0" fontId="30" fillId="0" borderId="0" xfId="0" applyFont="1" applyFill="1"/>
    <xf numFmtId="0" fontId="39" fillId="0" borderId="0" xfId="0" applyFont="1" applyFill="1"/>
    <xf numFmtId="0" fontId="8" fillId="0" borderId="0" xfId="0" applyFont="1" applyFill="1"/>
    <xf numFmtId="0" fontId="40" fillId="0" borderId="0" xfId="1" applyFont="1" applyFill="1" applyBorder="1" applyAlignment="1">
      <alignment horizontal="center" vertical="justify"/>
    </xf>
    <xf numFmtId="0" fontId="11" fillId="0" borderId="37" xfId="1" applyFont="1" applyFill="1" applyBorder="1" applyAlignment="1">
      <alignment horizontal="center"/>
    </xf>
    <xf numFmtId="0" fontId="11" fillId="0" borderId="39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44" xfId="1" applyFont="1" applyFill="1" applyBorder="1" applyAlignment="1">
      <alignment horizontal="center"/>
    </xf>
    <xf numFmtId="0" fontId="11" fillId="0" borderId="46" xfId="1" applyFont="1" applyFill="1" applyBorder="1" applyAlignment="1">
      <alignment horizontal="center"/>
    </xf>
    <xf numFmtId="0" fontId="11" fillId="0" borderId="45" xfId="1" applyFont="1" applyFill="1" applyBorder="1" applyAlignment="1">
      <alignment horizontal="center"/>
    </xf>
    <xf numFmtId="0" fontId="11" fillId="0" borderId="43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left"/>
    </xf>
    <xf numFmtId="4" fontId="20" fillId="0" borderId="12" xfId="1" applyNumberFormat="1" applyFont="1" applyFill="1" applyBorder="1"/>
    <xf numFmtId="4" fontId="11" fillId="0" borderId="12" xfId="1" applyNumberFormat="1" applyFont="1" applyFill="1" applyBorder="1" applyAlignment="1">
      <alignment horizontal="right"/>
    </xf>
    <xf numFmtId="4" fontId="11" fillId="0" borderId="12" xfId="1" applyNumberFormat="1" applyFont="1" applyFill="1" applyBorder="1"/>
    <xf numFmtId="49" fontId="8" fillId="0" borderId="0" xfId="0" applyNumberFormat="1" applyFont="1" applyBorder="1" applyAlignment="1">
      <alignment vertical="justify"/>
    </xf>
    <xf numFmtId="0" fontId="20" fillId="0" borderId="13" xfId="1" applyFont="1" applyFill="1" applyBorder="1" applyAlignment="1">
      <alignment horizontal="center"/>
    </xf>
    <xf numFmtId="4" fontId="20" fillId="0" borderId="13" xfId="1" applyNumberFormat="1" applyFont="1" applyFill="1" applyBorder="1"/>
    <xf numFmtId="4" fontId="11" fillId="0" borderId="13" xfId="1" applyNumberFormat="1" applyFont="1" applyFill="1" applyBorder="1" applyAlignment="1">
      <alignment horizontal="right"/>
    </xf>
    <xf numFmtId="4" fontId="11" fillId="0" borderId="13" xfId="1" applyNumberFormat="1" applyFont="1" applyFill="1" applyBorder="1"/>
    <xf numFmtId="0" fontId="11" fillId="0" borderId="1" xfId="1" applyFont="1" applyFill="1" applyBorder="1"/>
    <xf numFmtId="0" fontId="11" fillId="0" borderId="24" xfId="1" applyFont="1" applyFill="1" applyBorder="1"/>
    <xf numFmtId="4" fontId="11" fillId="0" borderId="25" xfId="1" applyNumberFormat="1" applyFont="1" applyFill="1" applyBorder="1"/>
    <xf numFmtId="0" fontId="11" fillId="0" borderId="0" xfId="1" applyFont="1" applyFill="1" applyBorder="1"/>
    <xf numFmtId="4" fontId="11" fillId="0" borderId="0" xfId="1" applyNumberFormat="1" applyFont="1" applyFill="1" applyBorder="1"/>
    <xf numFmtId="0" fontId="42" fillId="0" borderId="0" xfId="0" applyFont="1"/>
    <xf numFmtId="0" fontId="44" fillId="0" borderId="0" xfId="0" applyFont="1"/>
    <xf numFmtId="4" fontId="43" fillId="0" borderId="0" xfId="0" applyNumberFormat="1" applyFont="1"/>
    <xf numFmtId="4" fontId="27" fillId="0" borderId="0" xfId="1" applyNumberFormat="1" applyFont="1" applyBorder="1" applyAlignment="1">
      <alignment horizontal="center"/>
    </xf>
    <xf numFmtId="4" fontId="40" fillId="0" borderId="0" xfId="1" applyNumberFormat="1" applyFont="1" applyBorder="1"/>
    <xf numFmtId="0" fontId="4" fillId="0" borderId="0" xfId="1" applyFont="1" applyFill="1" applyBorder="1"/>
    <xf numFmtId="4" fontId="23" fillId="0" borderId="0" xfId="0" applyNumberFormat="1" applyFont="1" applyFill="1" applyBorder="1"/>
    <xf numFmtId="4" fontId="34" fillId="0" borderId="12" xfId="0" applyNumberFormat="1" applyFont="1" applyBorder="1"/>
    <xf numFmtId="0" fontId="45" fillId="0" borderId="0" xfId="0" applyFont="1"/>
    <xf numFmtId="0" fontId="43" fillId="0" borderId="0" xfId="0" applyFont="1"/>
    <xf numFmtId="0" fontId="27" fillId="0" borderId="1" xfId="0" applyFont="1" applyBorder="1" applyAlignment="1">
      <alignment horizontal="center"/>
    </xf>
    <xf numFmtId="0" fontId="20" fillId="0" borderId="8" xfId="1" applyFont="1" applyFill="1" applyBorder="1" applyAlignment="1">
      <alignment horizontal="left"/>
    </xf>
    <xf numFmtId="4" fontId="11" fillId="0" borderId="6" xfId="0" applyNumberFormat="1" applyFont="1" applyBorder="1"/>
    <xf numFmtId="0" fontId="44" fillId="0" borderId="0" xfId="0" applyFont="1" applyBorder="1"/>
    <xf numFmtId="0" fontId="25" fillId="0" borderId="0" xfId="0" applyFont="1" applyBorder="1"/>
    <xf numFmtId="0" fontId="13" fillId="0" borderId="10" xfId="0" applyFont="1" applyFill="1" applyBorder="1"/>
    <xf numFmtId="0" fontId="46" fillId="0" borderId="0" xfId="0" applyFont="1" applyBorder="1"/>
    <xf numFmtId="0" fontId="27" fillId="0" borderId="0" xfId="1" applyFont="1" applyBorder="1"/>
    <xf numFmtId="4" fontId="20" fillId="0" borderId="0" xfId="0" applyNumberFormat="1" applyFont="1" applyBorder="1"/>
    <xf numFmtId="4" fontId="11" fillId="0" borderId="0" xfId="0" applyNumberFormat="1" applyFont="1" applyBorder="1"/>
    <xf numFmtId="0" fontId="11" fillId="0" borderId="0" xfId="0" applyFont="1"/>
    <xf numFmtId="0" fontId="20" fillId="0" borderId="0" xfId="0" applyFont="1" applyBorder="1"/>
    <xf numFmtId="0" fontId="9" fillId="0" borderId="2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 vertical="justify"/>
    </xf>
    <xf numFmtId="0" fontId="27" fillId="0" borderId="1" xfId="1" applyFont="1" applyBorder="1"/>
    <xf numFmtId="4" fontId="12" fillId="0" borderId="2" xfId="0" applyNumberFormat="1" applyFont="1" applyBorder="1"/>
    <xf numFmtId="4" fontId="12" fillId="0" borderId="25" xfId="0" applyNumberFormat="1" applyFont="1" applyBorder="1"/>
    <xf numFmtId="4" fontId="12" fillId="0" borderId="0" xfId="0" applyNumberFormat="1" applyFont="1" applyBorder="1"/>
    <xf numFmtId="3" fontId="12" fillId="0" borderId="0" xfId="0" applyNumberFormat="1" applyFont="1" applyBorder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4" fontId="48" fillId="0" borderId="0" xfId="0" applyNumberFormat="1" applyFont="1"/>
    <xf numFmtId="0" fontId="49" fillId="0" borderId="0" xfId="0" applyFont="1" applyFill="1"/>
    <xf numFmtId="4" fontId="49" fillId="0" borderId="0" xfId="0" applyNumberFormat="1" applyFont="1" applyFill="1"/>
    <xf numFmtId="4" fontId="50" fillId="0" borderId="0" xfId="0" applyNumberFormat="1" applyFont="1" applyFill="1" applyBorder="1"/>
    <xf numFmtId="0" fontId="51" fillId="2" borderId="28" xfId="0" applyFont="1" applyFill="1" applyBorder="1" applyAlignment="1">
      <alignment horizontal="center"/>
    </xf>
    <xf numFmtId="0" fontId="51" fillId="2" borderId="35" xfId="0" applyFont="1" applyFill="1" applyBorder="1" applyAlignment="1">
      <alignment horizontal="center"/>
    </xf>
    <xf numFmtId="0" fontId="38" fillId="0" borderId="0" xfId="0" applyFont="1"/>
    <xf numFmtId="0" fontId="52" fillId="0" borderId="0" xfId="0" applyFont="1" applyFill="1"/>
    <xf numFmtId="0" fontId="53" fillId="0" borderId="0" xfId="0" applyFont="1" applyFill="1" applyAlignment="1">
      <alignment vertical="center"/>
    </xf>
    <xf numFmtId="4" fontId="22" fillId="0" borderId="35" xfId="0" applyNumberFormat="1" applyFont="1" applyFill="1" applyBorder="1"/>
    <xf numFmtId="0" fontId="13" fillId="0" borderId="6" xfId="0" applyFont="1" applyFill="1" applyBorder="1"/>
    <xf numFmtId="0" fontId="34" fillId="0" borderId="0" xfId="0" applyFont="1" applyBorder="1"/>
    <xf numFmtId="4" fontId="30" fillId="0" borderId="23" xfId="0" applyNumberFormat="1" applyFont="1" applyBorder="1"/>
    <xf numFmtId="0" fontId="9" fillId="0" borderId="0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0" xfId="0" applyFont="1" applyBorder="1"/>
    <xf numFmtId="0" fontId="34" fillId="0" borderId="0" xfId="0" applyFont="1" applyFill="1" applyBorder="1"/>
    <xf numFmtId="0" fontId="30" fillId="0" borderId="0" xfId="0" applyFont="1" applyFill="1" applyBorder="1"/>
    <xf numFmtId="0" fontId="4" fillId="0" borderId="25" xfId="1" applyFont="1" applyFill="1" applyBorder="1"/>
    <xf numFmtId="0" fontId="4" fillId="0" borderId="26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justify"/>
    </xf>
    <xf numFmtId="0" fontId="4" fillId="0" borderId="3" xfId="1" applyFont="1" applyFill="1" applyBorder="1" applyAlignment="1">
      <alignment horizontal="center" vertical="justify"/>
    </xf>
    <xf numFmtId="0" fontId="4" fillId="0" borderId="16" xfId="1" applyFont="1" applyFill="1" applyBorder="1" applyAlignment="1">
      <alignment horizontal="center" vertical="justify"/>
    </xf>
    <xf numFmtId="0" fontId="1" fillId="0" borderId="0" xfId="1" applyFont="1" applyFill="1" applyBorder="1" applyAlignment="1">
      <alignment horizontal="center" vertical="justify"/>
    </xf>
    <xf numFmtId="0" fontId="3" fillId="5" borderId="42" xfId="0" applyFont="1" applyFill="1" applyBorder="1" applyAlignment="1">
      <alignment horizontal="right"/>
    </xf>
    <xf numFmtId="4" fontId="20" fillId="5" borderId="6" xfId="0" applyNumberFormat="1" applyFont="1" applyFill="1" applyBorder="1" applyAlignment="1">
      <alignment horizontal="right"/>
    </xf>
    <xf numFmtId="4" fontId="1" fillId="5" borderId="6" xfId="0" applyNumberFormat="1" applyFont="1" applyFill="1" applyBorder="1" applyAlignment="1">
      <alignment horizontal="right"/>
    </xf>
    <xf numFmtId="4" fontId="9" fillId="5" borderId="6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3" fillId="5" borderId="12" xfId="0" applyFont="1" applyFill="1" applyBorder="1"/>
    <xf numFmtId="4" fontId="20" fillId="5" borderId="12" xfId="0" applyNumberFormat="1" applyFont="1" applyFill="1" applyBorder="1" applyAlignment="1">
      <alignment horizontal="right"/>
    </xf>
    <xf numFmtId="4" fontId="9" fillId="5" borderId="12" xfId="0" applyNumberFormat="1" applyFont="1" applyFill="1" applyBorder="1" applyAlignment="1">
      <alignment horizontal="right"/>
    </xf>
    <xf numFmtId="0" fontId="12" fillId="0" borderId="2" xfId="0" applyFont="1" applyFill="1" applyBorder="1"/>
    <xf numFmtId="49" fontId="9" fillId="0" borderId="0" xfId="0" applyNumberFormat="1" applyFont="1" applyBorder="1" applyAlignment="1">
      <alignment vertical="justify"/>
    </xf>
    <xf numFmtId="4" fontId="32" fillId="0" borderId="0" xfId="0" applyNumberFormat="1" applyFont="1"/>
    <xf numFmtId="4" fontId="1" fillId="0" borderId="0" xfId="1" applyNumberFormat="1" applyFont="1" applyBorder="1"/>
    <xf numFmtId="4" fontId="9" fillId="0" borderId="0" xfId="0" applyNumberFormat="1" applyFont="1" applyBorder="1"/>
    <xf numFmtId="4" fontId="36" fillId="0" borderId="0" xfId="0" applyNumberFormat="1" applyFont="1"/>
    <xf numFmtId="0" fontId="9" fillId="0" borderId="0" xfId="0" applyFont="1" applyBorder="1"/>
    <xf numFmtId="4" fontId="36" fillId="0" borderId="0" xfId="0" applyNumberFormat="1" applyFont="1" applyBorder="1"/>
    <xf numFmtId="0" fontId="30" fillId="0" borderId="1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0" fillId="0" borderId="17" xfId="1" applyFont="1" applyFill="1" applyBorder="1"/>
    <xf numFmtId="4" fontId="34" fillId="0" borderId="49" xfId="0" applyNumberFormat="1" applyFont="1" applyBorder="1"/>
    <xf numFmtId="0" fontId="12" fillId="0" borderId="50" xfId="0" applyFont="1" applyBorder="1"/>
    <xf numFmtId="4" fontId="12" fillId="0" borderId="51" xfId="0" applyNumberFormat="1" applyFont="1" applyBorder="1"/>
    <xf numFmtId="0" fontId="1" fillId="0" borderId="0" xfId="1" applyFont="1" applyBorder="1"/>
    <xf numFmtId="0" fontId="9" fillId="0" borderId="2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28" xfId="0" applyFont="1" applyFill="1" applyBorder="1"/>
    <xf numFmtId="4" fontId="9" fillId="0" borderId="6" xfId="0" applyNumberFormat="1" applyFont="1" applyBorder="1"/>
    <xf numFmtId="4" fontId="9" fillId="0" borderId="25" xfId="0" applyNumberFormat="1" applyFont="1" applyBorder="1"/>
    <xf numFmtId="4" fontId="32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0" xfId="1" applyFont="1"/>
    <xf numFmtId="0" fontId="9" fillId="0" borderId="1" xfId="1" applyFont="1" applyBorder="1" applyAlignment="1">
      <alignment horizontal="center"/>
    </xf>
    <xf numFmtId="0" fontId="34" fillId="0" borderId="27" xfId="0" applyFont="1" applyBorder="1"/>
    <xf numFmtId="0" fontId="34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/>
    <xf numFmtId="4" fontId="9" fillId="0" borderId="30" xfId="0" applyNumberFormat="1" applyFont="1" applyBorder="1"/>
    <xf numFmtId="4" fontId="34" fillId="0" borderId="0" xfId="0" applyNumberFormat="1" applyFont="1"/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/>
    <xf numFmtId="0" fontId="24" fillId="0" borderId="0" xfId="0" applyFont="1"/>
    <xf numFmtId="0" fontId="1" fillId="0" borderId="1" xfId="1" applyFont="1" applyBorder="1"/>
    <xf numFmtId="4" fontId="1" fillId="0" borderId="2" xfId="0" applyNumberFormat="1" applyFont="1" applyBorder="1"/>
    <xf numFmtId="4" fontId="1" fillId="0" borderId="25" xfId="0" applyNumberFormat="1" applyFont="1" applyBorder="1"/>
    <xf numFmtId="4" fontId="9" fillId="0" borderId="0" xfId="0" applyNumberFormat="1" applyFont="1"/>
    <xf numFmtId="0" fontId="24" fillId="0" borderId="0" xfId="1" applyFont="1"/>
    <xf numFmtId="0" fontId="1" fillId="0" borderId="37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 vertical="justify"/>
    </xf>
    <xf numFmtId="0" fontId="4" fillId="0" borderId="44" xfId="1" applyFont="1" applyFill="1" applyBorder="1" applyAlignment="1">
      <alignment horizontal="center" vertical="justify"/>
    </xf>
    <xf numFmtId="0" fontId="1" fillId="0" borderId="45" xfId="1" applyFont="1" applyFill="1" applyBorder="1" applyAlignment="1">
      <alignment horizontal="center" vertical="justify"/>
    </xf>
    <xf numFmtId="0" fontId="1" fillId="0" borderId="43" xfId="1" applyFont="1" applyFill="1" applyBorder="1" applyAlignment="1">
      <alignment horizontal="center" vertical="justify"/>
    </xf>
    <xf numFmtId="0" fontId="13" fillId="0" borderId="8" xfId="0" applyFont="1" applyFill="1" applyBorder="1"/>
    <xf numFmtId="4" fontId="20" fillId="0" borderId="6" xfId="0" applyNumberFormat="1" applyFont="1" applyFill="1" applyBorder="1" applyAlignment="1">
      <alignment horizontal="right" vertical="justify"/>
    </xf>
    <xf numFmtId="4" fontId="36" fillId="6" borderId="0" xfId="0" applyNumberFormat="1" applyFont="1" applyFill="1" applyBorder="1"/>
    <xf numFmtId="0" fontId="1" fillId="0" borderId="0" xfId="1" applyFont="1"/>
    <xf numFmtId="0" fontId="9" fillId="0" borderId="0" xfId="1" applyFont="1" applyBorder="1"/>
    <xf numFmtId="0" fontId="1" fillId="0" borderId="44" xfId="1" applyFont="1" applyFill="1" applyBorder="1" applyAlignment="1">
      <alignment horizontal="center"/>
    </xf>
    <xf numFmtId="0" fontId="9" fillId="0" borderId="37" xfId="1" applyFont="1" applyFill="1" applyBorder="1" applyAlignment="1">
      <alignment horizontal="center" vertical="justify"/>
    </xf>
    <xf numFmtId="0" fontId="9" fillId="0" borderId="44" xfId="1" applyFont="1" applyFill="1" applyBorder="1" applyAlignment="1">
      <alignment horizontal="center" vertical="justify"/>
    </xf>
    <xf numFmtId="0" fontId="4" fillId="0" borderId="46" xfId="1" applyFont="1" applyFill="1" applyBorder="1" applyAlignment="1">
      <alignment horizontal="center" vertical="justify"/>
    </xf>
    <xf numFmtId="0" fontId="9" fillId="0" borderId="0" xfId="1" applyFont="1" applyBorder="1" applyAlignment="1">
      <alignment horizontal="center" vertical="justify"/>
    </xf>
    <xf numFmtId="0" fontId="9" fillId="0" borderId="39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0" fillId="0" borderId="12" xfId="1" applyFont="1" applyFill="1" applyBorder="1"/>
    <xf numFmtId="4" fontId="9" fillId="0" borderId="12" xfId="1" applyNumberFormat="1" applyFont="1" applyFill="1" applyBorder="1"/>
    <xf numFmtId="4" fontId="1" fillId="0" borderId="12" xfId="1" applyNumberFormat="1" applyFont="1" applyFill="1" applyBorder="1"/>
    <xf numFmtId="4" fontId="9" fillId="0" borderId="0" xfId="1" applyNumberFormat="1" applyFont="1" applyFill="1" applyBorder="1"/>
    <xf numFmtId="0" fontId="1" fillId="0" borderId="21" xfId="1" applyFont="1" applyFill="1" applyBorder="1"/>
    <xf numFmtId="0" fontId="1" fillId="0" borderId="31" xfId="1" applyFont="1" applyFill="1" applyBorder="1"/>
    <xf numFmtId="4" fontId="1" fillId="0" borderId="52" xfId="1" applyNumberFormat="1" applyFont="1" applyFill="1" applyBorder="1"/>
    <xf numFmtId="0" fontId="54" fillId="0" borderId="0" xfId="0" applyFont="1"/>
    <xf numFmtId="0" fontId="32" fillId="0" borderId="0" xfId="0" applyFont="1"/>
    <xf numFmtId="164" fontId="32" fillId="0" borderId="0" xfId="0" applyNumberFormat="1" applyFont="1"/>
    <xf numFmtId="0" fontId="1" fillId="0" borderId="37" xfId="1" applyFont="1" applyBorder="1" applyAlignment="1">
      <alignment horizontal="center"/>
    </xf>
    <xf numFmtId="0" fontId="1" fillId="0" borderId="44" xfId="1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9" fillId="0" borderId="6" xfId="1" applyFont="1" applyFill="1" applyBorder="1"/>
    <xf numFmtId="4" fontId="1" fillId="0" borderId="49" xfId="1" applyNumberFormat="1" applyFont="1" applyFill="1" applyBorder="1" applyAlignment="1">
      <alignment horizontal="right"/>
    </xf>
    <xf numFmtId="0" fontId="9" fillId="0" borderId="12" xfId="1" applyFont="1" applyFill="1" applyBorder="1"/>
    <xf numFmtId="0" fontId="9" fillId="0" borderId="13" xfId="1" applyFont="1" applyFill="1" applyBorder="1"/>
    <xf numFmtId="0" fontId="1" fillId="0" borderId="24" xfId="1" applyFont="1" applyBorder="1"/>
    <xf numFmtId="4" fontId="1" fillId="0" borderId="25" xfId="1" applyNumberFormat="1" applyFont="1" applyFill="1" applyBorder="1" applyAlignment="1">
      <alignment horizontal="right"/>
    </xf>
    <xf numFmtId="0" fontId="54" fillId="0" borderId="0" xfId="0" applyFont="1" applyBorder="1"/>
    <xf numFmtId="0" fontId="9" fillId="0" borderId="42" xfId="1" applyFont="1" applyFill="1" applyBorder="1"/>
    <xf numFmtId="0" fontId="9" fillId="0" borderId="53" xfId="1" applyFont="1" applyFill="1" applyBorder="1"/>
    <xf numFmtId="4" fontId="9" fillId="0" borderId="12" xfId="0" applyNumberFormat="1" applyFont="1" applyFill="1" applyBorder="1" applyAlignment="1">
      <alignment horizontal="right" vertical="justify"/>
    </xf>
    <xf numFmtId="4" fontId="9" fillId="0" borderId="29" xfId="0" applyNumberFormat="1" applyFont="1" applyFill="1" applyBorder="1" applyAlignment="1">
      <alignment horizontal="right" vertical="justify"/>
    </xf>
    <xf numFmtId="4" fontId="9" fillId="0" borderId="0" xfId="0" applyNumberFormat="1" applyFont="1" applyFill="1" applyBorder="1" applyAlignment="1">
      <alignment horizontal="right" vertical="justify"/>
    </xf>
    <xf numFmtId="0" fontId="9" fillId="0" borderId="19" xfId="1" applyFont="1" applyFill="1" applyBorder="1"/>
    <xf numFmtId="0" fontId="9" fillId="0" borderId="54" xfId="1" applyFont="1" applyFill="1" applyBorder="1"/>
    <xf numFmtId="0" fontId="1" fillId="0" borderId="21" xfId="1" applyFont="1" applyBorder="1"/>
    <xf numFmtId="4" fontId="1" fillId="0" borderId="2" xfId="1" applyNumberFormat="1" applyFont="1" applyBorder="1"/>
    <xf numFmtId="4" fontId="1" fillId="0" borderId="3" xfId="1" applyNumberFormat="1" applyFont="1" applyBorder="1"/>
    <xf numFmtId="4" fontId="1" fillId="0" borderId="16" xfId="1" applyNumberFormat="1" applyFont="1" applyBorder="1"/>
    <xf numFmtId="4" fontId="1" fillId="0" borderId="0" xfId="1" applyNumberFormat="1" applyFont="1" applyBorder="1" applyAlignment="1">
      <alignment horizontal="right"/>
    </xf>
    <xf numFmtId="4" fontId="55" fillId="0" borderId="0" xfId="0" applyNumberFormat="1" applyFont="1"/>
    <xf numFmtId="0" fontId="38" fillId="0" borderId="0" xfId="0" applyFont="1" applyFill="1"/>
    <xf numFmtId="4" fontId="33" fillId="0" borderId="0" xfId="0" applyNumberFormat="1" applyFont="1" applyBorder="1"/>
    <xf numFmtId="0" fontId="56" fillId="0" borderId="0" xfId="0" applyFont="1" applyFill="1"/>
    <xf numFmtId="0" fontId="57" fillId="0" borderId="0" xfId="0" applyFont="1" applyFill="1"/>
    <xf numFmtId="0" fontId="9" fillId="0" borderId="37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8" fillId="0" borderId="39" xfId="1" applyFont="1" applyBorder="1" applyAlignment="1">
      <alignment horizontal="center" vertical="justify"/>
    </xf>
    <xf numFmtId="0" fontId="4" fillId="0" borderId="39" xfId="1" applyFont="1" applyBorder="1" applyAlignment="1">
      <alignment horizontal="center" vertical="justify"/>
    </xf>
    <xf numFmtId="0" fontId="18" fillId="0" borderId="43" xfId="1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right"/>
    </xf>
    <xf numFmtId="0" fontId="9" fillId="0" borderId="11" xfId="0" applyFont="1" applyFill="1" applyBorder="1"/>
    <xf numFmtId="4" fontId="9" fillId="0" borderId="2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8" fillId="0" borderId="0" xfId="0" applyFont="1" applyBorder="1"/>
    <xf numFmtId="0" fontId="11" fillId="0" borderId="1" xfId="1" applyFont="1" applyBorder="1" applyAlignment="1">
      <alignment horizontal="center"/>
    </xf>
    <xf numFmtId="0" fontId="13" fillId="0" borderId="2" xfId="0" applyFont="1" applyBorder="1" applyAlignment="1">
      <alignment horizontal="center" vertical="justify"/>
    </xf>
    <xf numFmtId="0" fontId="3" fillId="0" borderId="11" xfId="0" applyFont="1" applyFill="1" applyBorder="1" applyAlignment="1">
      <alignment horizontal="center"/>
    </xf>
    <xf numFmtId="0" fontId="20" fillId="0" borderId="22" xfId="1" applyFont="1" applyFill="1" applyBorder="1"/>
    <xf numFmtId="4" fontId="20" fillId="0" borderId="23" xfId="0" applyNumberFormat="1" applyFont="1" applyBorder="1" applyAlignment="1">
      <alignment horizontal="right" vertical="justify"/>
    </xf>
    <xf numFmtId="4" fontId="20" fillId="0" borderId="32" xfId="0" applyNumberFormat="1" applyFont="1" applyBorder="1" applyAlignment="1">
      <alignment horizontal="right" vertical="justify"/>
    </xf>
    <xf numFmtId="4" fontId="20" fillId="0" borderId="0" xfId="0" applyNumberFormat="1" applyFont="1" applyBorder="1" applyAlignment="1">
      <alignment horizontal="right" vertical="justify"/>
    </xf>
    <xf numFmtId="4" fontId="38" fillId="0" borderId="0" xfId="0" applyNumberFormat="1" applyFont="1" applyBorder="1"/>
    <xf numFmtId="0" fontId="11" fillId="0" borderId="1" xfId="1" applyFont="1" applyBorder="1"/>
    <xf numFmtId="4" fontId="11" fillId="0" borderId="3" xfId="1" applyNumberFormat="1" applyFont="1" applyBorder="1"/>
    <xf numFmtId="4" fontId="11" fillId="0" borderId="16" xfId="1" applyNumberFormat="1" applyFont="1" applyBorder="1"/>
    <xf numFmtId="4" fontId="11" fillId="0" borderId="0" xfId="1" applyNumberFormat="1" applyFont="1" applyBorder="1"/>
    <xf numFmtId="17" fontId="3" fillId="0" borderId="3" xfId="0" applyNumberFormat="1" applyFont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17" fontId="1" fillId="0" borderId="11" xfId="1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4" fontId="20" fillId="0" borderId="30" xfId="0" applyNumberFormat="1" applyFont="1" applyFill="1" applyBorder="1" applyAlignment="1">
      <alignment horizontal="right" vertical="justify"/>
    </xf>
    <xf numFmtId="0" fontId="20" fillId="0" borderId="9" xfId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right" vertical="justify"/>
    </xf>
    <xf numFmtId="0" fontId="15" fillId="0" borderId="45" xfId="0" applyFont="1" applyBorder="1" applyAlignment="1">
      <alignment horizontal="center"/>
    </xf>
    <xf numFmtId="0" fontId="59" fillId="0" borderId="47" xfId="0" applyFont="1" applyBorder="1"/>
    <xf numFmtId="4" fontId="58" fillId="0" borderId="22" xfId="0" applyNumberFormat="1" applyFont="1" applyFill="1" applyBorder="1" applyAlignment="1">
      <alignment horizontal="right" vertical="justify"/>
    </xf>
    <xf numFmtId="4" fontId="58" fillId="0" borderId="48" xfId="0" applyNumberFormat="1" applyFont="1" applyFill="1" applyBorder="1" applyAlignment="1">
      <alignment horizontal="right" vertical="justify"/>
    </xf>
    <xf numFmtId="4" fontId="58" fillId="0" borderId="21" xfId="0" applyNumberFormat="1" applyFont="1" applyFill="1" applyBorder="1" applyAlignment="1">
      <alignment horizontal="right" vertical="justify"/>
    </xf>
    <xf numFmtId="4" fontId="58" fillId="0" borderId="33" xfId="0" applyNumberFormat="1" applyFont="1" applyFill="1" applyBorder="1" applyAlignment="1">
      <alignment horizontal="right" vertical="justify"/>
    </xf>
    <xf numFmtId="0" fontId="13" fillId="3" borderId="12" xfId="0" applyFont="1" applyFill="1" applyBorder="1"/>
    <xf numFmtId="4" fontId="12" fillId="3" borderId="12" xfId="0" applyNumberFormat="1" applyFont="1" applyFill="1" applyBorder="1"/>
    <xf numFmtId="4" fontId="13" fillId="3" borderId="12" xfId="0" applyNumberFormat="1" applyFont="1" applyFill="1" applyBorder="1"/>
    <xf numFmtId="4" fontId="12" fillId="3" borderId="8" xfId="0" applyNumberFormat="1" applyFont="1" applyFill="1" applyBorder="1"/>
    <xf numFmtId="4" fontId="11" fillId="3" borderId="12" xfId="0" applyNumberFormat="1" applyFont="1" applyFill="1" applyBorder="1"/>
    <xf numFmtId="4" fontId="60" fillId="3" borderId="12" xfId="0" applyNumberFormat="1" applyFont="1" applyFill="1" applyBorder="1"/>
    <xf numFmtId="0" fontId="13" fillId="3" borderId="6" xfId="0" applyFont="1" applyFill="1" applyBorder="1"/>
    <xf numFmtId="4" fontId="12" fillId="3" borderId="6" xfId="0" applyNumberFormat="1" applyFont="1" applyFill="1" applyBorder="1"/>
    <xf numFmtId="4" fontId="13" fillId="3" borderId="6" xfId="0" applyNumberFormat="1" applyFont="1" applyFill="1" applyBorder="1"/>
    <xf numFmtId="4" fontId="12" fillId="3" borderId="5" xfId="0" applyNumberFormat="1" applyFont="1" applyFill="1" applyBorder="1"/>
    <xf numFmtId="4" fontId="11" fillId="3" borderId="6" xfId="0" applyNumberFormat="1" applyFont="1" applyFill="1" applyBorder="1"/>
    <xf numFmtId="0" fontId="13" fillId="3" borderId="13" xfId="0" applyFont="1" applyFill="1" applyBorder="1"/>
    <xf numFmtId="4" fontId="12" fillId="3" borderId="13" xfId="0" applyNumberFormat="1" applyFont="1" applyFill="1" applyBorder="1"/>
    <xf numFmtId="4" fontId="13" fillId="3" borderId="13" xfId="0" applyNumberFormat="1" applyFont="1" applyFill="1" applyBorder="1"/>
    <xf numFmtId="4" fontId="12" fillId="3" borderId="10" xfId="0" applyNumberFormat="1" applyFont="1" applyFill="1" applyBorder="1"/>
    <xf numFmtId="4" fontId="11" fillId="3" borderId="13" xfId="0" applyNumberFormat="1" applyFont="1" applyFill="1" applyBorder="1"/>
    <xf numFmtId="0" fontId="61" fillId="0" borderId="0" xfId="0" applyFont="1" applyFill="1"/>
    <xf numFmtId="4" fontId="61" fillId="0" borderId="0" xfId="0" applyNumberFormat="1" applyFont="1" applyFill="1"/>
    <xf numFmtId="0" fontId="62" fillId="0" borderId="0" xfId="1" applyFont="1" applyFill="1" applyBorder="1" applyAlignment="1">
      <alignment horizontal="center"/>
    </xf>
    <xf numFmtId="4" fontId="63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64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4" fontId="20" fillId="3" borderId="0" xfId="0" applyNumberFormat="1" applyFont="1" applyFill="1" applyBorder="1" applyAlignment="1">
      <alignment horizontal="right" vertical="justify"/>
    </xf>
    <xf numFmtId="4" fontId="12" fillId="3" borderId="0" xfId="0" applyNumberFormat="1" applyFont="1" applyFill="1" applyBorder="1"/>
    <xf numFmtId="0" fontId="26" fillId="3" borderId="0" xfId="0" applyFont="1" applyFill="1"/>
    <xf numFmtId="0" fontId="65" fillId="0" borderId="0" xfId="0" applyFont="1" applyFill="1"/>
    <xf numFmtId="0" fontId="68" fillId="0" borderId="0" xfId="0" applyFont="1" applyFill="1"/>
    <xf numFmtId="0" fontId="6" fillId="0" borderId="45" xfId="0" applyFont="1" applyFill="1" applyBorder="1"/>
    <xf numFmtId="0" fontId="6" fillId="0" borderId="55" xfId="0" applyFont="1" applyFill="1" applyBorder="1"/>
    <xf numFmtId="4" fontId="6" fillId="0" borderId="47" xfId="0" applyNumberFormat="1" applyFont="1" applyFill="1" applyBorder="1"/>
    <xf numFmtId="4" fontId="6" fillId="0" borderId="48" xfId="0" applyNumberFormat="1" applyFont="1" applyFill="1" applyBorder="1"/>
    <xf numFmtId="0" fontId="12" fillId="0" borderId="0" xfId="0" applyFont="1" applyFill="1" applyBorder="1"/>
    <xf numFmtId="0" fontId="6" fillId="0" borderId="21" xfId="0" applyFont="1" applyFill="1" applyBorder="1"/>
    <xf numFmtId="0" fontId="12" fillId="0" borderId="31" xfId="0" applyFont="1" applyFill="1" applyBorder="1"/>
    <xf numFmtId="0" fontId="6" fillId="0" borderId="31" xfId="0" applyFont="1" applyFill="1" applyBorder="1"/>
    <xf numFmtId="4" fontId="6" fillId="0" borderId="33" xfId="0" applyNumberFormat="1" applyFont="1" applyFill="1" applyBorder="1"/>
    <xf numFmtId="0" fontId="69" fillId="0" borderId="0" xfId="0" applyFont="1" applyFill="1"/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0" fillId="0" borderId="12" xfId="0" applyNumberFormat="1" applyFill="1" applyBorder="1"/>
    <xf numFmtId="0" fontId="16" fillId="0" borderId="42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" fontId="3" fillId="0" borderId="29" xfId="0" applyNumberFormat="1" applyFont="1" applyFill="1" applyBorder="1"/>
    <xf numFmtId="0" fontId="0" fillId="0" borderId="7" xfId="0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4" fontId="15" fillId="0" borderId="48" xfId="0" applyNumberFormat="1" applyFont="1" applyFill="1" applyBorder="1"/>
    <xf numFmtId="0" fontId="6" fillId="0" borderId="19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4" fontId="7" fillId="0" borderId="33" xfId="0" applyNumberFormat="1" applyFont="1" applyFill="1" applyBorder="1"/>
    <xf numFmtId="0" fontId="67" fillId="0" borderId="8" xfId="0" applyFont="1" applyFill="1" applyBorder="1"/>
    <xf numFmtId="4" fontId="3" fillId="0" borderId="16" xfId="0" applyNumberFormat="1" applyFont="1" applyFill="1" applyBorder="1"/>
    <xf numFmtId="0" fontId="66" fillId="0" borderId="42" xfId="0" applyFont="1" applyBorder="1"/>
    <xf numFmtId="0" fontId="66" fillId="0" borderId="28" xfId="0" applyFont="1" applyBorder="1"/>
    <xf numFmtId="0" fontId="66" fillId="0" borderId="7" xfId="0" applyFont="1" applyBorder="1"/>
    <xf numFmtId="4" fontId="66" fillId="0" borderId="12" xfId="0" applyNumberFormat="1" applyFont="1" applyBorder="1"/>
    <xf numFmtId="0" fontId="66" fillId="0" borderId="19" xfId="0" applyFont="1" applyBorder="1"/>
    <xf numFmtId="4" fontId="66" fillId="0" borderId="35" xfId="0" applyNumberFormat="1" applyFont="1" applyBorder="1"/>
    <xf numFmtId="0" fontId="70" fillId="0" borderId="34" xfId="0" applyFont="1" applyBorder="1"/>
    <xf numFmtId="4" fontId="70" fillId="0" borderId="29" xfId="0" applyNumberFormat="1" applyFont="1" applyBorder="1"/>
    <xf numFmtId="4" fontId="70" fillId="0" borderId="36" xfId="0" applyNumberFormat="1" applyFont="1" applyBorder="1"/>
    <xf numFmtId="0" fontId="71" fillId="0" borderId="0" xfId="0" applyFont="1"/>
    <xf numFmtId="0" fontId="18" fillId="0" borderId="0" xfId="0" applyFont="1" applyFill="1"/>
    <xf numFmtId="0" fontId="72" fillId="0" borderId="0" xfId="0" applyFont="1" applyFill="1"/>
    <xf numFmtId="0" fontId="23" fillId="0" borderId="0" xfId="0" applyFont="1" applyFill="1" applyAlignment="1">
      <alignment vertical="center"/>
    </xf>
    <xf numFmtId="4" fontId="4" fillId="0" borderId="0" xfId="0" applyNumberFormat="1" applyFont="1" applyFill="1" applyBorder="1"/>
    <xf numFmtId="0" fontId="4" fillId="2" borderId="0" xfId="0" applyFont="1" applyFill="1"/>
    <xf numFmtId="0" fontId="73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2" fillId="0" borderId="45" xfId="0" applyFont="1" applyFill="1" applyBorder="1" applyAlignment="1">
      <alignment wrapText="1"/>
    </xf>
    <xf numFmtId="0" fontId="72" fillId="0" borderId="47" xfId="0" applyFont="1" applyFill="1" applyBorder="1" applyAlignment="1">
      <alignment wrapText="1"/>
    </xf>
    <xf numFmtId="0" fontId="18" fillId="0" borderId="4" xfId="0" applyFont="1" applyFill="1" applyBorder="1"/>
    <xf numFmtId="0" fontId="18" fillId="0" borderId="5" xfId="0" applyFont="1" applyFill="1" applyBorder="1"/>
    <xf numFmtId="4" fontId="18" fillId="0" borderId="6" xfId="0" applyNumberFormat="1" applyFont="1" applyFill="1" applyBorder="1"/>
    <xf numFmtId="4" fontId="18" fillId="0" borderId="5" xfId="0" applyNumberFormat="1" applyFont="1" applyFill="1" applyBorder="1"/>
    <xf numFmtId="4" fontId="72" fillId="0" borderId="22" xfId="0" applyNumberFormat="1" applyFont="1" applyFill="1" applyBorder="1"/>
    <xf numFmtId="4" fontId="72" fillId="0" borderId="48" xfId="0" applyNumberFormat="1" applyFont="1" applyFill="1" applyBorder="1"/>
    <xf numFmtId="0" fontId="72" fillId="0" borderId="7" xfId="0" applyFont="1" applyFill="1" applyBorder="1"/>
    <xf numFmtId="0" fontId="72" fillId="0" borderId="8" xfId="0" applyFont="1" applyFill="1" applyBorder="1"/>
    <xf numFmtId="4" fontId="72" fillId="0" borderId="12" xfId="0" applyNumberFormat="1" applyFont="1" applyFill="1" applyBorder="1"/>
    <xf numFmtId="4" fontId="72" fillId="0" borderId="6" xfId="0" applyNumberFormat="1" applyFont="1" applyFill="1" applyBorder="1"/>
    <xf numFmtId="4" fontId="72" fillId="0" borderId="5" xfId="0" applyNumberFormat="1" applyFont="1" applyFill="1" applyBorder="1"/>
    <xf numFmtId="0" fontId="18" fillId="3" borderId="4" xfId="0" applyFont="1" applyFill="1" applyBorder="1"/>
    <xf numFmtId="0" fontId="18" fillId="3" borderId="8" xfId="0" applyFont="1" applyFill="1" applyBorder="1"/>
    <xf numFmtId="4" fontId="18" fillId="3" borderId="12" xfId="0" applyNumberFormat="1" applyFont="1" applyFill="1" applyBorder="1"/>
    <xf numFmtId="4" fontId="18" fillId="3" borderId="6" xfId="0" applyNumberFormat="1" applyFont="1" applyFill="1" applyBorder="1"/>
    <xf numFmtId="4" fontId="18" fillId="3" borderId="5" xfId="0" applyNumberFormat="1" applyFont="1" applyFill="1" applyBorder="1"/>
    <xf numFmtId="4" fontId="72" fillId="3" borderId="22" xfId="0" applyNumberFormat="1" applyFont="1" applyFill="1" applyBorder="1"/>
    <xf numFmtId="4" fontId="72" fillId="3" borderId="48" xfId="0" applyNumberFormat="1" applyFont="1" applyFill="1" applyBorder="1"/>
    <xf numFmtId="4" fontId="18" fillId="0" borderId="0" xfId="0" applyNumberFormat="1" applyFont="1" applyFill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4" fontId="18" fillId="3" borderId="12" xfId="0" applyNumberFormat="1" applyFont="1" applyFill="1" applyBorder="1" applyAlignment="1"/>
    <xf numFmtId="4" fontId="18" fillId="3" borderId="6" xfId="0" applyNumberFormat="1" applyFont="1" applyFill="1" applyBorder="1" applyAlignment="1"/>
    <xf numFmtId="4" fontId="18" fillId="3" borderId="5" xfId="0" applyNumberFormat="1" applyFont="1" applyFill="1" applyBorder="1" applyAlignment="1"/>
    <xf numFmtId="4" fontId="72" fillId="3" borderId="22" xfId="0" applyNumberFormat="1" applyFont="1" applyFill="1" applyBorder="1" applyAlignment="1"/>
    <xf numFmtId="4" fontId="72" fillId="3" borderId="48" xfId="0" applyNumberFormat="1" applyFont="1" applyFill="1" applyBorder="1" applyAlignment="1"/>
    <xf numFmtId="0" fontId="18" fillId="0" borderId="8" xfId="0" applyFont="1" applyFill="1" applyBorder="1"/>
    <xf numFmtId="4" fontId="18" fillId="0" borderId="12" xfId="0" applyNumberFormat="1" applyFont="1" applyFill="1" applyBorder="1"/>
    <xf numFmtId="0" fontId="18" fillId="3" borderId="7" xfId="0" applyFont="1" applyFill="1" applyBorder="1"/>
    <xf numFmtId="0" fontId="18" fillId="3" borderId="10" xfId="0" applyFont="1" applyFill="1" applyBorder="1"/>
    <xf numFmtId="4" fontId="18" fillId="3" borderId="13" xfId="0" applyNumberFormat="1" applyFont="1" applyFill="1" applyBorder="1"/>
    <xf numFmtId="4" fontId="18" fillId="3" borderId="23" xfId="0" applyNumberFormat="1" applyFont="1" applyFill="1" applyBorder="1"/>
    <xf numFmtId="0" fontId="4" fillId="0" borderId="1" xfId="0" applyFont="1" applyFill="1" applyBorder="1"/>
    <xf numFmtId="4" fontId="4" fillId="0" borderId="2" xfId="0" applyNumberFormat="1" applyFont="1" applyFill="1" applyBorder="1"/>
    <xf numFmtId="4" fontId="4" fillId="0" borderId="3" xfId="0" applyNumberFormat="1" applyFont="1" applyFill="1" applyBorder="1"/>
    <xf numFmtId="4" fontId="4" fillId="0" borderId="11" xfId="0" applyNumberFormat="1" applyFont="1" applyFill="1" applyBorder="1"/>
    <xf numFmtId="0" fontId="4" fillId="0" borderId="0" xfId="0" applyFont="1" applyFill="1" applyBorder="1"/>
    <xf numFmtId="0" fontId="72" fillId="0" borderId="22" xfId="0" applyFont="1" applyFill="1" applyBorder="1"/>
    <xf numFmtId="0" fontId="73" fillId="0" borderId="0" xfId="0" applyFont="1" applyFill="1"/>
    <xf numFmtId="0" fontId="72" fillId="0" borderId="48" xfId="0" applyFont="1" applyFill="1" applyBorder="1"/>
    <xf numFmtId="0" fontId="18" fillId="0" borderId="6" xfId="0" applyFont="1" applyFill="1" applyBorder="1"/>
    <xf numFmtId="0" fontId="18" fillId="0" borderId="13" xfId="0" applyFont="1" applyFill="1" applyBorder="1"/>
    <xf numFmtId="4" fontId="18" fillId="0" borderId="13" xfId="0" applyNumberFormat="1" applyFont="1" applyFill="1" applyBorder="1"/>
    <xf numFmtId="4" fontId="4" fillId="0" borderId="25" xfId="0" applyNumberFormat="1" applyFont="1" applyFill="1" applyBorder="1"/>
    <xf numFmtId="4" fontId="4" fillId="0" borderId="1" xfId="0" applyNumberFormat="1" applyFont="1" applyFill="1" applyBorder="1"/>
    <xf numFmtId="4" fontId="4" fillId="0" borderId="0" xfId="0" applyNumberFormat="1" applyFont="1" applyFill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1" xfId="0" applyFont="1" applyFill="1" applyBorder="1"/>
    <xf numFmtId="4" fontId="18" fillId="0" borderId="28" xfId="0" applyNumberFormat="1" applyFont="1" applyFill="1" applyBorder="1"/>
    <xf numFmtId="0" fontId="72" fillId="0" borderId="20" xfId="0" applyFont="1" applyFill="1" applyBorder="1"/>
    <xf numFmtId="0" fontId="72" fillId="0" borderId="10" xfId="0" applyFont="1" applyFill="1" applyBorder="1"/>
    <xf numFmtId="4" fontId="72" fillId="0" borderId="13" xfId="0" applyNumberFormat="1" applyFont="1" applyFill="1" applyBorder="1"/>
    <xf numFmtId="0" fontId="18" fillId="0" borderId="0" xfId="0" applyFont="1" applyFill="1" applyBorder="1"/>
    <xf numFmtId="0" fontId="18" fillId="2" borderId="0" xfId="0" applyFont="1" applyFill="1"/>
    <xf numFmtId="0" fontId="18" fillId="3" borderId="2" xfId="0" applyFont="1" applyFill="1" applyBorder="1"/>
    <xf numFmtId="0" fontId="18" fillId="3" borderId="11" xfId="0" applyFont="1" applyFill="1" applyBorder="1"/>
    <xf numFmtId="4" fontId="18" fillId="3" borderId="2" xfId="0" applyNumberFormat="1" applyFont="1" applyFill="1" applyBorder="1"/>
    <xf numFmtId="4" fontId="18" fillId="3" borderId="3" xfId="0" applyNumberFormat="1" applyFont="1" applyFill="1" applyBorder="1"/>
    <xf numFmtId="4" fontId="18" fillId="3" borderId="24" xfId="0" applyNumberFormat="1" applyFont="1" applyFill="1" applyBorder="1"/>
    <xf numFmtId="4" fontId="18" fillId="3" borderId="11" xfId="0" applyNumberFormat="1" applyFont="1" applyFill="1" applyBorder="1"/>
    <xf numFmtId="4" fontId="18" fillId="3" borderId="1" xfId="0" applyNumberFormat="1" applyFont="1" applyFill="1" applyBorder="1"/>
    <xf numFmtId="0" fontId="72" fillId="3" borderId="22" xfId="0" applyFont="1" applyFill="1" applyBorder="1"/>
    <xf numFmtId="4" fontId="18" fillId="0" borderId="0" xfId="0" applyNumberFormat="1" applyFont="1" applyFill="1" applyBorder="1"/>
    <xf numFmtId="0" fontId="23" fillId="0" borderId="0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12" xfId="0" applyNumberFormat="1" applyFont="1" applyFill="1" applyBorder="1"/>
    <xf numFmtId="4" fontId="19" fillId="0" borderId="30" xfId="0" applyNumberFormat="1" applyFont="1" applyFill="1" applyBorder="1"/>
    <xf numFmtId="4" fontId="19" fillId="0" borderId="6" xfId="0" applyNumberFormat="1" applyFont="1" applyFill="1" applyBorder="1"/>
    <xf numFmtId="0" fontId="18" fillId="3" borderId="7" xfId="0" applyFont="1" applyFill="1" applyBorder="1" applyAlignment="1">
      <alignment horizontal="right"/>
    </xf>
    <xf numFmtId="4" fontId="19" fillId="3" borderId="7" xfId="0" applyNumberFormat="1" applyFont="1" applyFill="1" applyBorder="1"/>
    <xf numFmtId="4" fontId="19" fillId="3" borderId="12" xfId="0" applyNumberFormat="1" applyFont="1" applyFill="1" applyBorder="1"/>
    <xf numFmtId="4" fontId="19" fillId="3" borderId="29" xfId="0" applyNumberFormat="1" applyFont="1" applyFill="1" applyBorder="1"/>
    <xf numFmtId="4" fontId="19" fillId="3" borderId="4" xfId="0" applyNumberFormat="1" applyFont="1" applyFill="1" applyBorder="1"/>
    <xf numFmtId="4" fontId="19" fillId="3" borderId="30" xfId="0" applyNumberFormat="1" applyFont="1" applyFill="1" applyBorder="1"/>
    <xf numFmtId="4" fontId="19" fillId="3" borderId="6" xfId="0" applyNumberFormat="1" applyFont="1" applyFill="1" applyBorder="1"/>
    <xf numFmtId="0" fontId="18" fillId="3" borderId="19" xfId="0" applyFont="1" applyFill="1" applyBorder="1" applyAlignment="1">
      <alignment horizontal="right"/>
    </xf>
    <xf numFmtId="4" fontId="19" fillId="3" borderId="9" xfId="0" applyNumberFormat="1" applyFont="1" applyFill="1" applyBorder="1"/>
    <xf numFmtId="4" fontId="19" fillId="3" borderId="20" xfId="0" applyNumberFormat="1" applyFont="1" applyFill="1" applyBorder="1"/>
    <xf numFmtId="4" fontId="19" fillId="3" borderId="32" xfId="0" applyNumberFormat="1" applyFont="1" applyFill="1" applyBorder="1"/>
    <xf numFmtId="4" fontId="19" fillId="3" borderId="23" xfId="0" applyNumberFormat="1" applyFont="1" applyFill="1" applyBorder="1"/>
    <xf numFmtId="0" fontId="23" fillId="0" borderId="21" xfId="0" applyFont="1" applyFill="1" applyBorder="1"/>
    <xf numFmtId="0" fontId="23" fillId="0" borderId="1" xfId="0" applyFont="1" applyFill="1" applyBorder="1"/>
    <xf numFmtId="4" fontId="23" fillId="0" borderId="2" xfId="0" applyNumberFormat="1" applyFont="1" applyFill="1" applyBorder="1"/>
    <xf numFmtId="4" fontId="23" fillId="0" borderId="3" xfId="0" applyNumberFormat="1" applyFont="1" applyFill="1" applyBorder="1"/>
    <xf numFmtId="4" fontId="23" fillId="0" borderId="16" xfId="0" applyNumberFormat="1" applyFont="1" applyFill="1" applyBorder="1"/>
    <xf numFmtId="4" fontId="23" fillId="0" borderId="24" xfId="0" applyNumberFormat="1" applyFont="1" applyFill="1" applyBorder="1"/>
    <xf numFmtId="0" fontId="72" fillId="0" borderId="2" xfId="0" applyFont="1" applyFill="1" applyBorder="1" applyAlignment="1">
      <alignment horizontal="right"/>
    </xf>
    <xf numFmtId="0" fontId="72" fillId="0" borderId="11" xfId="0" applyFont="1" applyFill="1" applyBorder="1"/>
    <xf numFmtId="4" fontId="72" fillId="0" borderId="2" xfId="0" applyNumberFormat="1" applyFont="1" applyFill="1" applyBorder="1"/>
    <xf numFmtId="4" fontId="72" fillId="0" borderId="3" xfId="0" applyNumberFormat="1" applyFont="1" applyFill="1" applyBorder="1"/>
    <xf numFmtId="4" fontId="72" fillId="0" borderId="11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18" xfId="0" applyFont="1" applyFill="1" applyBorder="1"/>
    <xf numFmtId="0" fontId="23" fillId="0" borderId="2" xfId="0" applyFont="1" applyFill="1" applyBorder="1"/>
    <xf numFmtId="0" fontId="2" fillId="0" borderId="27" xfId="0" applyFont="1" applyFill="1" applyBorder="1"/>
    <xf numFmtId="4" fontId="4" fillId="0" borderId="26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7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23" fillId="0" borderId="24" xfId="0" applyFont="1" applyFill="1" applyBorder="1"/>
    <xf numFmtId="4" fontId="4" fillId="0" borderId="25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left"/>
    </xf>
    <xf numFmtId="4" fontId="4" fillId="0" borderId="3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/>
    </xf>
    <xf numFmtId="0" fontId="72" fillId="0" borderId="21" xfId="0" applyFont="1" applyFill="1" applyBorder="1"/>
    <xf numFmtId="0" fontId="72" fillId="0" borderId="33" xfId="0" applyFont="1" applyFill="1" applyBorder="1"/>
    <xf numFmtId="0" fontId="19" fillId="0" borderId="0" xfId="0" applyFont="1" applyFill="1"/>
    <xf numFmtId="4" fontId="4" fillId="0" borderId="0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/>
    <xf numFmtId="0" fontId="4" fillId="3" borderId="24" xfId="0" applyFont="1" applyFill="1" applyBorder="1"/>
    <xf numFmtId="4" fontId="4" fillId="3" borderId="27" xfId="0" applyNumberFormat="1" applyFont="1" applyFill="1" applyBorder="1"/>
    <xf numFmtId="4" fontId="4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2" fillId="0" borderId="12" xfId="0" applyFont="1" applyFill="1" applyBorder="1" applyAlignment="1">
      <alignment wrapText="1"/>
    </xf>
    <xf numFmtId="0" fontId="4" fillId="0" borderId="12" xfId="0" applyFont="1" applyFill="1" applyBorder="1"/>
    <xf numFmtId="4" fontId="4" fillId="0" borderId="12" xfId="0" applyNumberFormat="1" applyFont="1" applyFill="1" applyBorder="1"/>
    <xf numFmtId="4" fontId="4" fillId="0" borderId="8" xfId="0" applyNumberFormat="1" applyFont="1" applyFill="1" applyBorder="1"/>
    <xf numFmtId="0" fontId="19" fillId="0" borderId="12" xfId="0" applyFont="1" applyFill="1" applyBorder="1"/>
    <xf numFmtId="0" fontId="23" fillId="0" borderId="0" xfId="0" applyFont="1" applyFill="1"/>
    <xf numFmtId="4" fontId="20" fillId="3" borderId="12" xfId="1" applyNumberFormat="1" applyFont="1" applyFill="1" applyBorder="1"/>
    <xf numFmtId="4" fontId="11" fillId="3" borderId="12" xfId="1" applyNumberFormat="1" applyFont="1" applyFill="1" applyBorder="1" applyAlignment="1">
      <alignment horizontal="right"/>
    </xf>
    <xf numFmtId="4" fontId="11" fillId="3" borderId="12" xfId="1" applyNumberFormat="1" applyFont="1" applyFill="1" applyBorder="1"/>
    <xf numFmtId="0" fontId="20" fillId="3" borderId="12" xfId="1" applyFont="1" applyFill="1" applyBorder="1" applyAlignment="1">
      <alignment horizontal="left" wrapText="1"/>
    </xf>
    <xf numFmtId="0" fontId="3" fillId="5" borderId="28" xfId="0" applyFont="1" applyFill="1" applyBorder="1" applyAlignment="1">
      <alignment wrapText="1"/>
    </xf>
    <xf numFmtId="4" fontId="65" fillId="0" borderId="0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8" fillId="0" borderId="2" xfId="0" applyFont="1" applyFill="1" applyBorder="1" applyAlignment="1">
      <alignment horizontal="center" wrapText="1"/>
    </xf>
    <xf numFmtId="0" fontId="70" fillId="0" borderId="3" xfId="0" applyFont="1" applyBorder="1" applyAlignment="1">
      <alignment horizontal="center" wrapText="1"/>
    </xf>
    <xf numFmtId="4" fontId="65" fillId="0" borderId="0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 vertical="justify"/>
    </xf>
    <xf numFmtId="0" fontId="12" fillId="0" borderId="40" xfId="0" applyFont="1" applyBorder="1" applyAlignment="1">
      <alignment horizontal="center" vertical="justify"/>
    </xf>
    <xf numFmtId="0" fontId="13" fillId="0" borderId="2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justify"/>
    </xf>
    <xf numFmtId="0" fontId="23" fillId="2" borderId="41" xfId="0" applyFont="1" applyFill="1" applyBorder="1" applyAlignment="1">
      <alignment horizontal="center" vertical="justify"/>
    </xf>
    <xf numFmtId="0" fontId="4" fillId="2" borderId="42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justify"/>
    </xf>
    <xf numFmtId="0" fontId="23" fillId="2" borderId="35" xfId="0" applyFont="1" applyFill="1" applyBorder="1" applyAlignment="1">
      <alignment horizontal="center" vertical="justify"/>
    </xf>
    <xf numFmtId="17" fontId="23" fillId="2" borderId="39" xfId="0" applyNumberFormat="1" applyFont="1" applyFill="1" applyBorder="1" applyAlignment="1">
      <alignment horizontal="center" vertical="justify"/>
    </xf>
    <xf numFmtId="17" fontId="23" fillId="2" borderId="40" xfId="0" applyNumberFormat="1" applyFont="1" applyFill="1" applyBorder="1" applyAlignment="1">
      <alignment horizontal="center" vertical="justify"/>
    </xf>
    <xf numFmtId="0" fontId="23" fillId="2" borderId="39" xfId="0" applyFont="1" applyFill="1" applyBorder="1" applyAlignment="1">
      <alignment horizontal="center" vertical="justify"/>
    </xf>
    <xf numFmtId="0" fontId="23" fillId="2" borderId="40" xfId="0" applyFont="1" applyFill="1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CONTRACTARE%202022/1.PARACLINIC%20AN%202022/1.%20VALORI%20CONTRACT%202022/49.%20Contract%20=%20suplim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 = suplim dec "/>
      <sheetName val="CA 2022"/>
      <sheetName val=" suplim labor"/>
      <sheetName val="suplim radiologie"/>
    </sheetNames>
    <sheetDataSet>
      <sheetData sheetId="0">
        <row r="12">
          <cell r="O12">
            <v>810856.88</v>
          </cell>
        </row>
        <row r="13">
          <cell r="O13">
            <v>231094.21000000002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A2" sqref="A2"/>
    </sheetView>
  </sheetViews>
  <sheetFormatPr defaultRowHeight="16.5"/>
  <cols>
    <col min="1" max="1" width="7" style="2" customWidth="1"/>
    <col min="2" max="2" width="18.85546875" style="2" customWidth="1"/>
    <col min="3" max="3" width="13.140625" style="2" customWidth="1"/>
    <col min="4" max="4" width="12" style="2" customWidth="1"/>
    <col min="5" max="5" width="11.28515625" style="2" bestFit="1" customWidth="1"/>
    <col min="6" max="16384" width="9.140625" style="2"/>
  </cols>
  <sheetData>
    <row r="1" spans="1:5">
      <c r="A1" s="82" t="s">
        <v>0</v>
      </c>
      <c r="B1" s="18"/>
      <c r="C1" s="18"/>
    </row>
    <row r="2" spans="1:5" ht="18">
      <c r="A2" s="351" t="s">
        <v>255</v>
      </c>
      <c r="B2" s="127"/>
      <c r="C2" s="18"/>
    </row>
    <row r="3" spans="1:5">
      <c r="A3" s="88" t="s">
        <v>37</v>
      </c>
      <c r="B3" s="88"/>
      <c r="C3" s="88"/>
      <c r="D3" s="88" t="s">
        <v>69</v>
      </c>
    </row>
    <row r="4" spans="1:5">
      <c r="A4" s="88" t="s">
        <v>1</v>
      </c>
      <c r="B4" s="88"/>
      <c r="C4" s="88"/>
      <c r="D4" s="88" t="s">
        <v>70</v>
      </c>
    </row>
    <row r="5" spans="1:5">
      <c r="A5" s="88"/>
      <c r="B5" s="88"/>
    </row>
    <row r="6" spans="1:5">
      <c r="A6" s="95"/>
      <c r="B6" s="95"/>
      <c r="C6" s="95"/>
    </row>
    <row r="7" spans="1:5" ht="18.75">
      <c r="A7" s="95"/>
      <c r="C7" s="543" t="s">
        <v>222</v>
      </c>
    </row>
    <row r="8" spans="1:5" ht="18.75">
      <c r="A8" s="1"/>
      <c r="B8" s="730" t="s">
        <v>221</v>
      </c>
      <c r="C8" s="731"/>
      <c r="D8" s="731"/>
    </row>
    <row r="9" spans="1:5">
      <c r="A9" s="1"/>
    </row>
    <row r="10" spans="1:5" ht="17.25" thickBot="1">
      <c r="A10" s="44" t="s">
        <v>3</v>
      </c>
      <c r="B10" s="45"/>
      <c r="C10" s="45"/>
    </row>
    <row r="11" spans="1:5" ht="17.25" thickBot="1">
      <c r="A11" s="96" t="s">
        <v>4</v>
      </c>
      <c r="B11" s="96" t="s">
        <v>5</v>
      </c>
      <c r="C11" s="97" t="s">
        <v>55</v>
      </c>
      <c r="D11" s="97" t="s">
        <v>56</v>
      </c>
      <c r="E11" s="98" t="s">
        <v>54</v>
      </c>
    </row>
    <row r="12" spans="1:5">
      <c r="A12" s="3">
        <v>1</v>
      </c>
      <c r="B12" s="4" t="s">
        <v>6</v>
      </c>
      <c r="C12" s="28">
        <f>SUM('repartiz lab'!C66)</f>
        <v>74239</v>
      </c>
      <c r="D12" s="28">
        <f>SUM('repartiz lab'!D66)</f>
        <v>74239</v>
      </c>
      <c r="E12" s="72">
        <f t="shared" ref="E12:E20" si="0">SUM(C12:D12)</f>
        <v>148478</v>
      </c>
    </row>
    <row r="13" spans="1:5">
      <c r="A13" s="3">
        <v>2</v>
      </c>
      <c r="B13" s="6" t="s">
        <v>8</v>
      </c>
      <c r="C13" s="28">
        <f>SUM('repartiz lab'!C67)</f>
        <v>58323</v>
      </c>
      <c r="D13" s="28">
        <f>SUM('repartiz lab'!D67)</f>
        <v>58323</v>
      </c>
      <c r="E13" s="72">
        <f t="shared" si="0"/>
        <v>116646</v>
      </c>
    </row>
    <row r="14" spans="1:5">
      <c r="A14" s="5">
        <v>3</v>
      </c>
      <c r="B14" s="6" t="s">
        <v>47</v>
      </c>
      <c r="C14" s="28">
        <f>SUM('repartiz lab'!C68)</f>
        <v>77173.5</v>
      </c>
      <c r="D14" s="28">
        <f>SUM('repartiz lab'!D68)</f>
        <v>77173.5</v>
      </c>
      <c r="E14" s="72">
        <f t="shared" si="0"/>
        <v>154347</v>
      </c>
    </row>
    <row r="15" spans="1:5">
      <c r="A15" s="3">
        <v>4</v>
      </c>
      <c r="B15" s="6" t="s">
        <v>48</v>
      </c>
      <c r="C15" s="28">
        <f>SUM('repartiz lab'!C69)</f>
        <v>82501.5</v>
      </c>
      <c r="D15" s="28">
        <f>SUM('repartiz lab'!D69)</f>
        <v>82501.5</v>
      </c>
      <c r="E15" s="72">
        <f t="shared" si="0"/>
        <v>165003</v>
      </c>
    </row>
    <row r="16" spans="1:5">
      <c r="A16" s="5">
        <v>5</v>
      </c>
      <c r="B16" s="6" t="s">
        <v>49</v>
      </c>
      <c r="C16" s="28">
        <f>SUM('repartiz lab'!C70)</f>
        <v>59241</v>
      </c>
      <c r="D16" s="28">
        <f>SUM('repartiz lab'!D70)</f>
        <v>59241</v>
      </c>
      <c r="E16" s="72">
        <f t="shared" si="0"/>
        <v>118482</v>
      </c>
    </row>
    <row r="17" spans="1:5">
      <c r="A17" s="3">
        <v>6</v>
      </c>
      <c r="B17" s="6" t="s">
        <v>41</v>
      </c>
      <c r="C17" s="28">
        <f>SUM('repartiz lab'!C71)</f>
        <v>56322.5</v>
      </c>
      <c r="D17" s="28">
        <f>SUM('repartiz lab'!D71)</f>
        <v>56322.5</v>
      </c>
      <c r="E17" s="72">
        <f t="shared" si="0"/>
        <v>112645</v>
      </c>
    </row>
    <row r="18" spans="1:5">
      <c r="A18" s="5">
        <v>7</v>
      </c>
      <c r="B18" s="6" t="s">
        <v>9</v>
      </c>
      <c r="C18" s="28">
        <f>SUM('repartiz lab'!C72)</f>
        <v>62732</v>
      </c>
      <c r="D18" s="28">
        <f>SUM('repartiz lab'!D72)</f>
        <v>62732</v>
      </c>
      <c r="E18" s="72">
        <f t="shared" si="0"/>
        <v>125464</v>
      </c>
    </row>
    <row r="19" spans="1:5">
      <c r="A19" s="3">
        <v>8</v>
      </c>
      <c r="B19" s="6" t="s">
        <v>10</v>
      </c>
      <c r="C19" s="28">
        <f>SUM('repartiz lab'!C73)</f>
        <v>26062</v>
      </c>
      <c r="D19" s="28">
        <f>SUM('repartiz lab'!D73)</f>
        <v>26062</v>
      </c>
      <c r="E19" s="72">
        <f t="shared" si="0"/>
        <v>52124</v>
      </c>
    </row>
    <row r="20" spans="1:5" ht="17.25" thickBot="1">
      <c r="A20" s="5">
        <v>9</v>
      </c>
      <c r="B20" s="7" t="s">
        <v>11</v>
      </c>
      <c r="C20" s="28">
        <f>SUM('repartiz lab'!C74)</f>
        <v>34906</v>
      </c>
      <c r="D20" s="28">
        <v>34905</v>
      </c>
      <c r="E20" s="72">
        <f t="shared" si="0"/>
        <v>69811</v>
      </c>
    </row>
    <row r="21" spans="1:5" ht="17.25" thickBot="1">
      <c r="A21" s="24"/>
      <c r="B21" s="24" t="s">
        <v>12</v>
      </c>
      <c r="C21" s="29">
        <f>SUM(C12:C20)</f>
        <v>531500.5</v>
      </c>
      <c r="D21" s="37">
        <f>SUM(D12:D20)</f>
        <v>531499.5</v>
      </c>
      <c r="E21" s="37">
        <f>SUM(E12:E20)</f>
        <v>1063000</v>
      </c>
    </row>
    <row r="22" spans="1:5">
      <c r="A22" s="9"/>
      <c r="B22" s="9"/>
      <c r="C22" s="10"/>
      <c r="D22" s="10"/>
      <c r="E22" s="10"/>
    </row>
    <row r="23" spans="1:5" ht="17.25" thickBot="1">
      <c r="A23" s="44" t="s">
        <v>60</v>
      </c>
      <c r="B23" s="45"/>
      <c r="C23" s="100"/>
    </row>
    <row r="24" spans="1:5" ht="17.25" thickBot="1">
      <c r="A24" s="96" t="s">
        <v>4</v>
      </c>
      <c r="B24" s="96" t="s">
        <v>5</v>
      </c>
      <c r="C24" s="97" t="s">
        <v>55</v>
      </c>
      <c r="D24" s="97" t="s">
        <v>56</v>
      </c>
      <c r="E24" s="98" t="s">
        <v>54</v>
      </c>
    </row>
    <row r="25" spans="1:5">
      <c r="A25" s="11">
        <v>1</v>
      </c>
      <c r="B25" s="11" t="s">
        <v>8</v>
      </c>
      <c r="C25" s="28"/>
      <c r="D25" s="28"/>
      <c r="E25" s="28">
        <f>SUM(C25:D25)</f>
        <v>0</v>
      </c>
    </row>
    <row r="26" spans="1:5">
      <c r="A26" s="31">
        <v>2</v>
      </c>
      <c r="B26" s="31" t="s">
        <v>59</v>
      </c>
      <c r="C26" s="26"/>
      <c r="D26" s="26"/>
      <c r="E26" s="28">
        <f>SUM(C26:D26)</f>
        <v>0</v>
      </c>
    </row>
    <row r="27" spans="1:5">
      <c r="A27" s="31">
        <v>3</v>
      </c>
      <c r="B27" s="31" t="s">
        <v>58</v>
      </c>
      <c r="C27" s="26"/>
      <c r="D27" s="26"/>
      <c r="E27" s="28">
        <f>SUM(C27:D27)</f>
        <v>0</v>
      </c>
    </row>
    <row r="28" spans="1:5">
      <c r="A28" s="31">
        <v>4</v>
      </c>
      <c r="B28" s="31" t="s">
        <v>41</v>
      </c>
      <c r="C28" s="26"/>
      <c r="D28" s="26"/>
      <c r="E28" s="28">
        <f>SUM(C28:D28)</f>
        <v>0</v>
      </c>
    </row>
    <row r="29" spans="1:5" ht="17.25" thickBot="1">
      <c r="A29" s="12">
        <v>9</v>
      </c>
      <c r="B29" s="12" t="s">
        <v>10</v>
      </c>
      <c r="C29" s="27"/>
      <c r="D29" s="27"/>
      <c r="E29" s="28">
        <f>SUM(C29:D29)</f>
        <v>0</v>
      </c>
    </row>
    <row r="30" spans="1:5" ht="17.25" thickBot="1">
      <c r="A30" s="24"/>
      <c r="B30" s="24" t="s">
        <v>12</v>
      </c>
      <c r="C30" s="47">
        <f>SUM(C25:C29)</f>
        <v>0</v>
      </c>
      <c r="D30" s="47">
        <f t="shared" ref="D30:E30" si="1">SUM(D25:D29)</f>
        <v>0</v>
      </c>
      <c r="E30" s="47">
        <f t="shared" si="1"/>
        <v>0</v>
      </c>
    </row>
    <row r="31" spans="1:5">
      <c r="A31" s="9"/>
      <c r="B31" s="9"/>
      <c r="C31" s="10"/>
    </row>
    <row r="32" spans="1:5" ht="17.25" thickBot="1">
      <c r="A32" s="101" t="s">
        <v>13</v>
      </c>
      <c r="B32" s="101"/>
      <c r="C32" s="101"/>
    </row>
    <row r="33" spans="1:5" ht="17.25" thickBot="1">
      <c r="A33" s="102" t="s">
        <v>4</v>
      </c>
      <c r="B33" s="94" t="s">
        <v>5</v>
      </c>
      <c r="C33" s="97" t="s">
        <v>55</v>
      </c>
      <c r="D33" s="97" t="s">
        <v>56</v>
      </c>
      <c r="E33" s="98" t="s">
        <v>54</v>
      </c>
    </row>
    <row r="34" spans="1:5">
      <c r="A34" s="11">
        <v>1</v>
      </c>
      <c r="B34" s="4" t="s">
        <v>14</v>
      </c>
      <c r="C34" s="28">
        <f>SUM('rep cito'!C35)</f>
        <v>1920.5</v>
      </c>
      <c r="D34" s="28">
        <f>SUM('rep cito'!D35)</f>
        <v>1920.5</v>
      </c>
      <c r="E34" s="28">
        <f>SUM(C34:D34)</f>
        <v>3841</v>
      </c>
    </row>
    <row r="35" spans="1:5" ht="17.25" thickBot="1">
      <c r="A35" s="12">
        <v>2</v>
      </c>
      <c r="B35" s="6" t="s">
        <v>15</v>
      </c>
      <c r="C35" s="28">
        <f>SUM('rep cito'!C36)</f>
        <v>579.5</v>
      </c>
      <c r="D35" s="28">
        <f>SUM('rep cito'!D36)</f>
        <v>579.5</v>
      </c>
      <c r="E35" s="28">
        <f>SUM(C35:D35)</f>
        <v>1159</v>
      </c>
    </row>
    <row r="36" spans="1:5" ht="17.25" thickBot="1">
      <c r="A36" s="60"/>
      <c r="B36" s="8" t="s">
        <v>16</v>
      </c>
      <c r="C36" s="29">
        <f>SUM(C34:C35)</f>
        <v>2500</v>
      </c>
      <c r="D36" s="29">
        <f t="shared" ref="D36:E36" si="2">SUM(D34:D35)</f>
        <v>2500</v>
      </c>
      <c r="E36" s="29">
        <f t="shared" si="2"/>
        <v>5000</v>
      </c>
    </row>
    <row r="37" spans="1:5">
      <c r="A37" s="9"/>
      <c r="B37" s="9"/>
      <c r="C37" s="9"/>
    </row>
    <row r="38" spans="1:5" ht="17.25" thickBot="1">
      <c r="A38" s="101" t="s">
        <v>17</v>
      </c>
      <c r="B38" s="101"/>
      <c r="C38" s="9"/>
    </row>
    <row r="39" spans="1:5" ht="17.25" thickBot="1">
      <c r="A39" s="102" t="s">
        <v>4</v>
      </c>
      <c r="B39" s="94" t="s">
        <v>18</v>
      </c>
      <c r="C39" s="97" t="s">
        <v>55</v>
      </c>
      <c r="D39" s="97" t="s">
        <v>56</v>
      </c>
      <c r="E39" s="98" t="s">
        <v>54</v>
      </c>
    </row>
    <row r="40" spans="1:5" ht="17.25" thickBot="1">
      <c r="A40" s="3">
        <v>1</v>
      </c>
      <c r="B40" s="4" t="s">
        <v>19</v>
      </c>
      <c r="C40" s="28">
        <f>SUM('rep eco'!C54)</f>
        <v>5232.5</v>
      </c>
      <c r="D40" s="52">
        <f>SUM('rep eco'!D54)</f>
        <v>5232.5</v>
      </c>
      <c r="E40" s="28">
        <f t="shared" ref="E40:E47" si="3">SUM(C40:D40)</f>
        <v>10465</v>
      </c>
    </row>
    <row r="41" spans="1:5" ht="17.25" thickBot="1">
      <c r="A41" s="31">
        <v>2</v>
      </c>
      <c r="B41" s="6" t="s">
        <v>7</v>
      </c>
      <c r="C41" s="28">
        <f>SUM('rep eco'!C55)</f>
        <v>4490.5</v>
      </c>
      <c r="D41" s="52">
        <f>SUM('rep eco'!D55)</f>
        <v>4490.5</v>
      </c>
      <c r="E41" s="28">
        <f t="shared" si="3"/>
        <v>8981</v>
      </c>
    </row>
    <row r="42" spans="1:5" ht="17.25" thickBot="1">
      <c r="A42" s="3">
        <v>3</v>
      </c>
      <c r="B42" s="6" t="s">
        <v>20</v>
      </c>
      <c r="C42" s="28">
        <f>SUM('rep eco'!C56)</f>
        <v>4521.5</v>
      </c>
      <c r="D42" s="52">
        <f>SUM('rep eco'!D56)</f>
        <v>4521.5</v>
      </c>
      <c r="E42" s="28">
        <f t="shared" si="3"/>
        <v>9043</v>
      </c>
    </row>
    <row r="43" spans="1:5" ht="17.25" thickBot="1">
      <c r="A43" s="31">
        <v>4</v>
      </c>
      <c r="B43" s="6" t="s">
        <v>21</v>
      </c>
      <c r="C43" s="28">
        <f>SUM('rep eco'!C57)</f>
        <v>3006</v>
      </c>
      <c r="D43" s="52">
        <f>SUM('rep eco'!D57)</f>
        <v>3006</v>
      </c>
      <c r="E43" s="28">
        <f t="shared" si="3"/>
        <v>6012</v>
      </c>
    </row>
    <row r="44" spans="1:5" ht="17.25" thickBot="1">
      <c r="A44" s="3">
        <v>5</v>
      </c>
      <c r="B44" s="6" t="s">
        <v>15</v>
      </c>
      <c r="C44" s="28">
        <f>SUM('rep eco'!C58)</f>
        <v>4554</v>
      </c>
      <c r="D44" s="52">
        <f>SUM('rep eco'!D58)</f>
        <v>4554</v>
      </c>
      <c r="E44" s="28">
        <f t="shared" si="3"/>
        <v>9108</v>
      </c>
    </row>
    <row r="45" spans="1:5" ht="17.25" thickBot="1">
      <c r="A45" s="31">
        <v>6</v>
      </c>
      <c r="B45" s="6" t="s">
        <v>45</v>
      </c>
      <c r="C45" s="28">
        <f>SUM('rep eco'!C59)</f>
        <v>2807</v>
      </c>
      <c r="D45" s="52">
        <f>SUM('rep eco'!D59)</f>
        <v>2807</v>
      </c>
      <c r="E45" s="28">
        <f t="shared" si="3"/>
        <v>5614</v>
      </c>
    </row>
    <row r="46" spans="1:5" ht="17.25" thickBot="1">
      <c r="A46" s="3">
        <v>7</v>
      </c>
      <c r="B46" s="6" t="s">
        <v>10</v>
      </c>
      <c r="C46" s="28">
        <f>SUM('rep eco'!C60)</f>
        <v>3696.5</v>
      </c>
      <c r="D46" s="52">
        <v>3696</v>
      </c>
      <c r="E46" s="28">
        <f t="shared" si="3"/>
        <v>7392.5</v>
      </c>
    </row>
    <row r="47" spans="1:5" ht="17.25" thickBot="1">
      <c r="A47" s="31">
        <v>8</v>
      </c>
      <c r="B47" s="570" t="s">
        <v>92</v>
      </c>
      <c r="C47" s="28">
        <f>SUM('rep eco'!C61)</f>
        <v>2192.5</v>
      </c>
      <c r="D47" s="52">
        <v>2192</v>
      </c>
      <c r="E47" s="28">
        <f t="shared" si="3"/>
        <v>4384.5</v>
      </c>
    </row>
    <row r="48" spans="1:5" ht="17.25" thickBot="1">
      <c r="A48" s="60"/>
      <c r="B48" s="8" t="s">
        <v>22</v>
      </c>
      <c r="C48" s="29">
        <f>SUM(C40:C47)</f>
        <v>30500.5</v>
      </c>
      <c r="D48" s="29">
        <f>SUM(D40:D47)</f>
        <v>30499.5</v>
      </c>
      <c r="E48" s="29">
        <f>SUM(E40:E47)</f>
        <v>61000</v>
      </c>
    </row>
    <row r="49" spans="1:5">
      <c r="A49" s="14"/>
      <c r="B49" s="9"/>
      <c r="C49" s="9"/>
    </row>
    <row r="50" spans="1:5" ht="17.25" thickBot="1">
      <c r="A50" s="101" t="s">
        <v>23</v>
      </c>
      <c r="B50" s="101"/>
      <c r="C50" s="101"/>
      <c r="D50" s="46"/>
    </row>
    <row r="51" spans="1:5" ht="17.25" thickBot="1">
      <c r="A51" s="102" t="s">
        <v>4</v>
      </c>
      <c r="B51" s="94" t="s">
        <v>18</v>
      </c>
      <c r="C51" s="97" t="s">
        <v>55</v>
      </c>
      <c r="D51" s="97" t="s">
        <v>56</v>
      </c>
      <c r="E51" s="98" t="s">
        <v>54</v>
      </c>
    </row>
    <row r="52" spans="1:5" ht="17.25" thickBot="1">
      <c r="A52" s="103">
        <v>1</v>
      </c>
      <c r="B52" s="19" t="s">
        <v>14</v>
      </c>
      <c r="C52" s="104">
        <f>SUM('CT RMN'!C34)</f>
        <v>81000</v>
      </c>
      <c r="D52" s="41">
        <f>SUM('CT RMN'!D34)</f>
        <v>81000</v>
      </c>
      <c r="E52" s="89">
        <f>SUM(C52:D52)</f>
        <v>162000</v>
      </c>
    </row>
    <row r="53" spans="1:5">
      <c r="A53" s="14"/>
      <c r="B53" s="14"/>
      <c r="C53" s="13"/>
      <c r="D53" s="13"/>
      <c r="E53" s="13"/>
    </row>
    <row r="54" spans="1:5" ht="17.25" thickBot="1">
      <c r="A54" s="44" t="s">
        <v>39</v>
      </c>
      <c r="B54" s="46"/>
    </row>
    <row r="55" spans="1:5" ht="17.25" thickBot="1">
      <c r="A55" s="102" t="s">
        <v>4</v>
      </c>
      <c r="B55" s="94" t="s">
        <v>18</v>
      </c>
      <c r="C55" s="102" t="s">
        <v>55</v>
      </c>
      <c r="D55" s="97" t="s">
        <v>56</v>
      </c>
      <c r="E55" s="106" t="s">
        <v>54</v>
      </c>
    </row>
    <row r="56" spans="1:5">
      <c r="A56" s="39">
        <v>1</v>
      </c>
      <c r="B56" s="4" t="s">
        <v>14</v>
      </c>
      <c r="C56" s="63">
        <f>SUM('rep radiolog'!C39)</f>
        <v>16193.5</v>
      </c>
      <c r="D56" s="36">
        <f>SUM('rep radiolog'!D39)</f>
        <v>16193.5</v>
      </c>
      <c r="E56" s="28">
        <f>SUM(C56:D56)</f>
        <v>32387</v>
      </c>
    </row>
    <row r="57" spans="1:5" ht="17.25" thickBot="1">
      <c r="A57" s="32">
        <v>2</v>
      </c>
      <c r="B57" s="6" t="s">
        <v>15</v>
      </c>
      <c r="C57" s="63">
        <f>SUM('rep radiolog'!C40)</f>
        <v>7806.5</v>
      </c>
      <c r="D57" s="36">
        <f>SUM('rep radiolog'!D40)</f>
        <v>7806.5</v>
      </c>
      <c r="E57" s="28">
        <f>SUM(C57:D57)</f>
        <v>15613</v>
      </c>
    </row>
    <row r="58" spans="1:5" ht="17.25" thickBot="1">
      <c r="A58" s="107"/>
      <c r="B58" s="108" t="s">
        <v>24</v>
      </c>
      <c r="C58" s="109">
        <f>SUM(C56:C57)</f>
        <v>24000</v>
      </c>
      <c r="D58" s="110">
        <f>SUM(D56:D57)</f>
        <v>24000</v>
      </c>
      <c r="E58" s="112">
        <f>SUM(E56:E57)</f>
        <v>48000</v>
      </c>
    </row>
    <row r="59" spans="1:5" ht="17.25" thickBot="1">
      <c r="A59" s="34"/>
      <c r="B59" s="34"/>
      <c r="C59" s="34"/>
    </row>
    <row r="60" spans="1:5" ht="19.5" thickBot="1">
      <c r="A60" s="732" t="s">
        <v>239</v>
      </c>
      <c r="B60" s="733"/>
      <c r="C60" s="41">
        <f>SUM(C21+C36+C48+C52+C58)</f>
        <v>669501</v>
      </c>
      <c r="D60" s="41">
        <f>SUM(D21+D36+D48+D52+D58)</f>
        <v>669499</v>
      </c>
      <c r="E60" s="571">
        <f>SUM(C60:D60)</f>
        <v>1339000</v>
      </c>
    </row>
    <row r="61" spans="1:5">
      <c r="B61" s="17" t="s">
        <v>240</v>
      </c>
      <c r="C61" s="1"/>
      <c r="D61" s="1"/>
      <c r="E61" s="2">
        <v>1339000</v>
      </c>
    </row>
    <row r="62" spans="1:5">
      <c r="B62" s="17"/>
      <c r="C62" s="1"/>
      <c r="D62" s="1"/>
      <c r="E62" s="25">
        <f>SUM(E61-E60)</f>
        <v>0</v>
      </c>
    </row>
    <row r="63" spans="1:5">
      <c r="B63" s="17"/>
      <c r="C63" s="88" t="s">
        <v>38</v>
      </c>
    </row>
    <row r="64" spans="1:5">
      <c r="B64" s="91"/>
      <c r="C64" s="88" t="s">
        <v>2</v>
      </c>
    </row>
    <row r="65" spans="2:5">
      <c r="B65" s="91"/>
      <c r="C65" s="1"/>
      <c r="D65" s="1"/>
    </row>
    <row r="66" spans="2:5">
      <c r="B66" s="17"/>
      <c r="C66" s="1"/>
      <c r="D66" s="1"/>
    </row>
    <row r="67" spans="2:5">
      <c r="B67" s="17"/>
      <c r="C67" s="1"/>
      <c r="D67" s="1"/>
    </row>
    <row r="68" spans="2:5">
      <c r="B68" s="17"/>
      <c r="C68" s="1"/>
      <c r="D68" s="1"/>
    </row>
    <row r="69" spans="2:5">
      <c r="B69" s="17"/>
      <c r="C69" s="1"/>
      <c r="D69" s="1"/>
      <c r="E69" s="1"/>
    </row>
  </sheetData>
  <mergeCells count="2">
    <mergeCell ref="B8:D8"/>
    <mergeCell ref="A60:B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opLeftCell="A79" workbookViewId="0">
      <selection activeCell="J108" sqref="J108"/>
    </sheetView>
  </sheetViews>
  <sheetFormatPr defaultRowHeight="16.5"/>
  <cols>
    <col min="1" max="1" width="7" style="2" customWidth="1"/>
    <col min="2" max="2" width="18.85546875" style="2" customWidth="1"/>
    <col min="3" max="3" width="13.140625" style="2" customWidth="1"/>
    <col min="4" max="14" width="12" style="2" customWidth="1"/>
    <col min="15" max="15" width="11.28515625" style="2" bestFit="1" customWidth="1"/>
    <col min="16" max="16" width="11.28515625" style="344" bestFit="1" customWidth="1"/>
    <col min="17" max="16384" width="9.140625" style="2"/>
  </cols>
  <sheetData>
    <row r="1" spans="1:16">
      <c r="A1" s="82" t="s">
        <v>0</v>
      </c>
      <c r="B1" s="18"/>
      <c r="C1" s="18"/>
    </row>
    <row r="2" spans="1:16">
      <c r="A2" s="142" t="s">
        <v>122</v>
      </c>
      <c r="B2" s="127"/>
      <c r="C2" s="18"/>
    </row>
    <row r="3" spans="1:16">
      <c r="A3" s="88" t="s">
        <v>37</v>
      </c>
      <c r="B3" s="88"/>
      <c r="E3" s="88" t="s">
        <v>69</v>
      </c>
      <c r="K3" s="88" t="s">
        <v>38</v>
      </c>
    </row>
    <row r="4" spans="1:16">
      <c r="A4" s="88" t="s">
        <v>1</v>
      </c>
      <c r="B4" s="88"/>
      <c r="E4" s="88" t="s">
        <v>70</v>
      </c>
      <c r="K4" s="88" t="s">
        <v>2</v>
      </c>
    </row>
    <row r="5" spans="1:16">
      <c r="A5" s="88"/>
      <c r="B5" s="88"/>
      <c r="E5" s="88"/>
      <c r="K5" s="88"/>
    </row>
    <row r="6" spans="1:16">
      <c r="A6" s="95"/>
      <c r="B6" s="95"/>
      <c r="C6" s="95"/>
    </row>
    <row r="7" spans="1:16">
      <c r="A7" s="95"/>
      <c r="C7" s="35" t="s">
        <v>57</v>
      </c>
    </row>
    <row r="8" spans="1:16">
      <c r="A8" s="1"/>
      <c r="B8" s="1" t="s">
        <v>172</v>
      </c>
    </row>
    <row r="9" spans="1:16">
      <c r="A9" s="1"/>
    </row>
    <row r="10" spans="1:16" ht="17.25" thickBot="1">
      <c r="A10" s="44" t="s">
        <v>3</v>
      </c>
      <c r="B10" s="45"/>
      <c r="C10" s="45"/>
    </row>
    <row r="11" spans="1:16" ht="17.25" thickBot="1">
      <c r="A11" s="96" t="s">
        <v>4</v>
      </c>
      <c r="B11" s="96" t="s">
        <v>5</v>
      </c>
      <c r="C11" s="97" t="s">
        <v>55</v>
      </c>
      <c r="D11" s="97" t="s">
        <v>56</v>
      </c>
      <c r="E11" s="94" t="s">
        <v>66</v>
      </c>
      <c r="F11" s="94" t="s">
        <v>68</v>
      </c>
      <c r="G11" s="94" t="s">
        <v>71</v>
      </c>
      <c r="H11" s="94" t="s">
        <v>72</v>
      </c>
      <c r="I11" s="94" t="s">
        <v>73</v>
      </c>
      <c r="J11" s="94" t="s">
        <v>78</v>
      </c>
      <c r="K11" s="94" t="s">
        <v>77</v>
      </c>
      <c r="L11" s="94" t="s">
        <v>74</v>
      </c>
      <c r="M11" s="94" t="s">
        <v>75</v>
      </c>
      <c r="N11" s="94" t="s">
        <v>76</v>
      </c>
      <c r="O11" s="98" t="s">
        <v>54</v>
      </c>
      <c r="P11" s="532" t="s">
        <v>210</v>
      </c>
    </row>
    <row r="12" spans="1:16">
      <c r="A12" s="3">
        <v>1</v>
      </c>
      <c r="B12" s="4" t="s">
        <v>6</v>
      </c>
      <c r="C12" s="28">
        <v>71174.98</v>
      </c>
      <c r="D12" s="28">
        <v>63164.43</v>
      </c>
      <c r="E12" s="28">
        <v>65599.13</v>
      </c>
      <c r="F12" s="28">
        <v>64603.92</v>
      </c>
      <c r="G12" s="28">
        <v>66015.87</v>
      </c>
      <c r="H12" s="28">
        <v>64780.89</v>
      </c>
      <c r="I12" s="28">
        <v>64235.53</v>
      </c>
      <c r="J12" s="28">
        <v>64288.52</v>
      </c>
      <c r="K12" s="28">
        <v>71694.490000000005</v>
      </c>
      <c r="L12" s="28">
        <v>72604.12</v>
      </c>
      <c r="M12" s="28">
        <v>76265.279999999999</v>
      </c>
      <c r="N12" s="28">
        <v>65499</v>
      </c>
      <c r="O12" s="72">
        <f>SUM(C12:N12)</f>
        <v>809926.16</v>
      </c>
      <c r="P12" s="533">
        <f>SUM(O12/12)</f>
        <v>67493.846666666665</v>
      </c>
    </row>
    <row r="13" spans="1:16">
      <c r="A13" s="77"/>
      <c r="B13" s="78" t="s">
        <v>7</v>
      </c>
      <c r="C13" s="79">
        <v>39856.230000000003</v>
      </c>
      <c r="D13" s="79">
        <v>37411.1</v>
      </c>
      <c r="E13" s="79">
        <v>32574.74</v>
      </c>
      <c r="F13" s="79">
        <v>30118.080000000002</v>
      </c>
      <c r="G13" s="79">
        <v>34115.22</v>
      </c>
      <c r="H13" s="79">
        <v>27057.37</v>
      </c>
      <c r="I13" s="79">
        <v>29961.47</v>
      </c>
      <c r="J13" s="79"/>
      <c r="K13" s="99"/>
      <c r="L13" s="99"/>
      <c r="N13" s="99"/>
      <c r="O13" s="80">
        <f t="shared" ref="O13:O21" si="0">SUM(C13:N13)</f>
        <v>231094.21000000002</v>
      </c>
      <c r="P13" s="533">
        <f t="shared" ref="P13:P22" si="1">SUM(O13/12)</f>
        <v>19257.850833333334</v>
      </c>
    </row>
    <row r="14" spans="1:16">
      <c r="A14" s="3">
        <v>2</v>
      </c>
      <c r="B14" s="6" t="s">
        <v>8</v>
      </c>
      <c r="C14" s="26">
        <v>59504.2</v>
      </c>
      <c r="D14" s="26">
        <v>50798.07</v>
      </c>
      <c r="E14" s="26">
        <v>54515.69</v>
      </c>
      <c r="F14" s="26">
        <v>51138.46</v>
      </c>
      <c r="G14" s="26">
        <v>57750.39</v>
      </c>
      <c r="H14" s="26">
        <v>45940.22</v>
      </c>
      <c r="I14" s="26">
        <v>57449.24</v>
      </c>
      <c r="J14" s="26">
        <v>53669.72</v>
      </c>
      <c r="K14" s="26">
        <v>52441.65</v>
      </c>
      <c r="L14" s="28">
        <v>63708.91</v>
      </c>
      <c r="M14" s="28">
        <v>62836.91</v>
      </c>
      <c r="N14" s="28">
        <v>55702.51</v>
      </c>
      <c r="O14" s="72">
        <f t="shared" si="0"/>
        <v>665455.97000000009</v>
      </c>
      <c r="P14" s="533">
        <f t="shared" si="1"/>
        <v>55454.664166666676</v>
      </c>
    </row>
    <row r="15" spans="1:16">
      <c r="A15" s="5">
        <v>3</v>
      </c>
      <c r="B15" s="6" t="s">
        <v>47</v>
      </c>
      <c r="C15" s="26">
        <v>64420.76</v>
      </c>
      <c r="D15" s="26">
        <v>66679.759999999995</v>
      </c>
      <c r="E15" s="26">
        <v>64928.73</v>
      </c>
      <c r="F15" s="26">
        <v>67605.570000000007</v>
      </c>
      <c r="G15" s="26">
        <v>69265.58</v>
      </c>
      <c r="H15" s="26">
        <v>67718.7</v>
      </c>
      <c r="I15" s="26">
        <v>75910.98</v>
      </c>
      <c r="J15" s="26">
        <v>70815.039999999994</v>
      </c>
      <c r="K15" s="26">
        <v>69415.39</v>
      </c>
      <c r="L15" s="28">
        <v>84298.68</v>
      </c>
      <c r="M15" s="28">
        <v>82629.78</v>
      </c>
      <c r="N15" s="28">
        <v>73760.81</v>
      </c>
      <c r="O15" s="72">
        <f t="shared" si="0"/>
        <v>857449.78</v>
      </c>
      <c r="P15" s="533">
        <f t="shared" si="1"/>
        <v>71454.148333333331</v>
      </c>
    </row>
    <row r="16" spans="1:16">
      <c r="A16" s="3">
        <v>4</v>
      </c>
      <c r="B16" s="6" t="s">
        <v>48</v>
      </c>
      <c r="C16" s="26">
        <v>67870.53</v>
      </c>
      <c r="D16" s="26">
        <v>70265</v>
      </c>
      <c r="E16" s="26">
        <v>68385.45</v>
      </c>
      <c r="F16" s="26">
        <v>68958.55</v>
      </c>
      <c r="G16" s="26">
        <v>70642.17</v>
      </c>
      <c r="H16" s="26">
        <v>68553.73</v>
      </c>
      <c r="I16" s="26">
        <v>70428.990000000005</v>
      </c>
      <c r="J16" s="26">
        <v>72708.59</v>
      </c>
      <c r="K16" s="26">
        <v>77519.350000000006</v>
      </c>
      <c r="L16" s="28">
        <v>82306.55</v>
      </c>
      <c r="M16" s="28">
        <v>85439.39</v>
      </c>
      <c r="N16" s="28">
        <v>77773.06</v>
      </c>
      <c r="O16" s="72">
        <f t="shared" si="0"/>
        <v>880851.35999999987</v>
      </c>
      <c r="P16" s="533">
        <f t="shared" si="1"/>
        <v>73404.279999999984</v>
      </c>
    </row>
    <row r="17" spans="1:16">
      <c r="A17" s="5">
        <v>5</v>
      </c>
      <c r="B17" s="6" t="s">
        <v>49</v>
      </c>
      <c r="C17" s="26">
        <v>52920.33</v>
      </c>
      <c r="D17" s="26">
        <v>54612.98</v>
      </c>
      <c r="E17" s="26">
        <v>53342.17</v>
      </c>
      <c r="F17" s="26">
        <v>51927.23</v>
      </c>
      <c r="G17" s="26">
        <v>58418.89</v>
      </c>
      <c r="H17" s="26">
        <v>46826.12</v>
      </c>
      <c r="I17" s="26">
        <v>56011.54</v>
      </c>
      <c r="J17" s="26">
        <v>51776.58</v>
      </c>
      <c r="K17" s="26">
        <v>58205.84</v>
      </c>
      <c r="L17" s="28">
        <v>64707.55</v>
      </c>
      <c r="M17" s="28">
        <v>63701.46</v>
      </c>
      <c r="N17" s="28">
        <v>56626.86</v>
      </c>
      <c r="O17" s="72">
        <f t="shared" si="0"/>
        <v>669077.54999999993</v>
      </c>
      <c r="P17" s="533">
        <f t="shared" si="1"/>
        <v>55756.462499999994</v>
      </c>
    </row>
    <row r="18" spans="1:16">
      <c r="A18" s="3">
        <v>6</v>
      </c>
      <c r="B18" s="6" t="s">
        <v>41</v>
      </c>
      <c r="C18" s="26">
        <v>50702.38</v>
      </c>
      <c r="D18" s="26">
        <v>47502.84</v>
      </c>
      <c r="E18" s="26">
        <v>42166.98</v>
      </c>
      <c r="F18" s="26">
        <v>50893.08</v>
      </c>
      <c r="G18" s="26">
        <v>48746.63</v>
      </c>
      <c r="H18" s="26">
        <v>48706.58</v>
      </c>
      <c r="I18" s="26">
        <v>48406.44</v>
      </c>
      <c r="J18" s="26">
        <v>48998.1</v>
      </c>
      <c r="K18" s="26">
        <v>55159.86</v>
      </c>
      <c r="L18" s="28">
        <v>55877.24</v>
      </c>
      <c r="M18" s="28">
        <v>65822.86</v>
      </c>
      <c r="N18" s="28">
        <v>48988</v>
      </c>
      <c r="O18" s="72">
        <f t="shared" si="0"/>
        <v>611970.99</v>
      </c>
      <c r="P18" s="533">
        <f t="shared" si="1"/>
        <v>50997.582499999997</v>
      </c>
    </row>
    <row r="19" spans="1:16">
      <c r="A19" s="5">
        <v>7</v>
      </c>
      <c r="B19" s="6" t="s">
        <v>9</v>
      </c>
      <c r="C19" s="26">
        <v>49795.15</v>
      </c>
      <c r="D19" s="26">
        <v>49866.5</v>
      </c>
      <c r="E19" s="26">
        <v>50115.98</v>
      </c>
      <c r="F19" s="26">
        <v>52041.2</v>
      </c>
      <c r="G19" s="26">
        <v>53741.71</v>
      </c>
      <c r="H19" s="26">
        <v>53725.83</v>
      </c>
      <c r="I19" s="26">
        <v>53245.41</v>
      </c>
      <c r="J19" s="26">
        <v>52780.04</v>
      </c>
      <c r="K19" s="26">
        <v>57894.09</v>
      </c>
      <c r="L19" s="28">
        <v>56134.59</v>
      </c>
      <c r="M19" s="28">
        <v>50097.35</v>
      </c>
      <c r="N19" s="28">
        <v>60714</v>
      </c>
      <c r="O19" s="72">
        <f t="shared" si="0"/>
        <v>640151.85</v>
      </c>
      <c r="P19" s="533">
        <f t="shared" si="1"/>
        <v>53345.987499999996</v>
      </c>
    </row>
    <row r="20" spans="1:16">
      <c r="A20" s="3">
        <v>8</v>
      </c>
      <c r="B20" s="6" t="s">
        <v>10</v>
      </c>
      <c r="C20" s="26">
        <v>20275.099999999999</v>
      </c>
      <c r="D20" s="26">
        <v>22027.84</v>
      </c>
      <c r="E20" s="26">
        <v>19845.650000000001</v>
      </c>
      <c r="F20" s="26">
        <v>22269.45</v>
      </c>
      <c r="G20" s="26">
        <v>24954.07</v>
      </c>
      <c r="H20" s="26">
        <v>19976.52</v>
      </c>
      <c r="I20" s="26">
        <v>21544.74</v>
      </c>
      <c r="J20" s="26">
        <v>22225.58</v>
      </c>
      <c r="K20" s="26">
        <v>22845.11</v>
      </c>
      <c r="L20" s="28">
        <v>24705.599999999999</v>
      </c>
      <c r="M20" s="28">
        <v>24353.69</v>
      </c>
      <c r="N20" s="28">
        <v>31163</v>
      </c>
      <c r="O20" s="72">
        <f t="shared" si="0"/>
        <v>276186.34999999998</v>
      </c>
      <c r="P20" s="533">
        <f t="shared" si="1"/>
        <v>23015.529166666664</v>
      </c>
    </row>
    <row r="21" spans="1:16" ht="17.25" thickBot="1">
      <c r="A21" s="5">
        <v>9</v>
      </c>
      <c r="B21" s="7" t="s">
        <v>11</v>
      </c>
      <c r="C21" s="27">
        <v>16553.03</v>
      </c>
      <c r="D21" s="27">
        <v>28478.13</v>
      </c>
      <c r="E21" s="27">
        <v>28740.98</v>
      </c>
      <c r="F21" s="27">
        <v>25101.45</v>
      </c>
      <c r="G21" s="27">
        <v>30320.13</v>
      </c>
      <c r="H21" s="27">
        <v>22842.32</v>
      </c>
      <c r="I21" s="27">
        <v>21554.33</v>
      </c>
      <c r="J21" s="27">
        <v>28856.89</v>
      </c>
      <c r="K21" s="27">
        <v>24470.93</v>
      </c>
      <c r="L21" s="43">
        <v>21010.91</v>
      </c>
      <c r="M21" s="28">
        <v>26943.83</v>
      </c>
      <c r="N21" s="43">
        <v>34142.47</v>
      </c>
      <c r="O21" s="72">
        <f t="shared" si="0"/>
        <v>309015.40000000002</v>
      </c>
      <c r="P21" s="533">
        <f t="shared" si="1"/>
        <v>25751.283333333336</v>
      </c>
    </row>
    <row r="22" spans="1:16" ht="17.25" thickBot="1">
      <c r="A22" s="24"/>
      <c r="B22" s="24" t="s">
        <v>12</v>
      </c>
      <c r="C22" s="29">
        <f>SUM(C12:C21)</f>
        <v>493072.68999999994</v>
      </c>
      <c r="D22" s="37">
        <f t="shared" ref="D22:O22" si="2">SUM(D12:D21)</f>
        <v>490806.64999999997</v>
      </c>
      <c r="E22" s="37">
        <f t="shared" si="2"/>
        <v>480215.49999999994</v>
      </c>
      <c r="F22" s="37">
        <f t="shared" si="2"/>
        <v>484656.99000000005</v>
      </c>
      <c r="G22" s="37">
        <f t="shared" si="2"/>
        <v>513970.66000000003</v>
      </c>
      <c r="H22" s="37">
        <f t="shared" si="2"/>
        <v>466128.28</v>
      </c>
      <c r="I22" s="37">
        <f t="shared" si="2"/>
        <v>498748.67</v>
      </c>
      <c r="J22" s="37">
        <f t="shared" si="2"/>
        <v>466119.05999999994</v>
      </c>
      <c r="K22" s="37">
        <f t="shared" si="2"/>
        <v>489646.7099999999</v>
      </c>
      <c r="L22" s="37">
        <f t="shared" si="2"/>
        <v>525354.15</v>
      </c>
      <c r="M22" s="37">
        <f t="shared" si="2"/>
        <v>538090.54999999993</v>
      </c>
      <c r="N22" s="37">
        <f t="shared" si="2"/>
        <v>504369.70999999996</v>
      </c>
      <c r="O22" s="37">
        <f t="shared" si="2"/>
        <v>5951179.6199999992</v>
      </c>
      <c r="P22" s="533">
        <f t="shared" si="1"/>
        <v>495931.63499999995</v>
      </c>
    </row>
    <row r="23" spans="1:16">
      <c r="A23" s="9"/>
      <c r="B23" s="9"/>
      <c r="C23" s="10"/>
      <c r="D23" s="10"/>
      <c r="E23" s="10"/>
      <c r="F23" s="10"/>
      <c r="G23" s="10" t="s">
        <v>86</v>
      </c>
      <c r="H23" s="10">
        <f>SUM(C22:H22)</f>
        <v>2928850.7699999996</v>
      </c>
      <c r="J23" s="10" t="s">
        <v>82</v>
      </c>
      <c r="K23" s="10">
        <f>SUM(I22:K22)</f>
        <v>1454514.44</v>
      </c>
      <c r="L23" s="10"/>
      <c r="M23" s="10" t="s">
        <v>81</v>
      </c>
      <c r="N23" s="10">
        <f>SUM(L22:N22)</f>
        <v>1567814.41</v>
      </c>
      <c r="O23" s="10"/>
      <c r="P23" s="532"/>
    </row>
    <row r="24" spans="1:16" ht="17.25" thickBot="1">
      <c r="A24" s="44" t="s">
        <v>60</v>
      </c>
      <c r="B24" s="45"/>
      <c r="C24" s="100"/>
      <c r="P24" s="532"/>
    </row>
    <row r="25" spans="1:16" ht="17.25" thickBot="1">
      <c r="A25" s="96" t="s">
        <v>4</v>
      </c>
      <c r="B25" s="96" t="s">
        <v>5</v>
      </c>
      <c r="C25" s="97" t="s">
        <v>55</v>
      </c>
      <c r="D25" s="97" t="s">
        <v>56</v>
      </c>
      <c r="E25" s="94" t="s">
        <v>66</v>
      </c>
      <c r="F25" s="94" t="s">
        <v>68</v>
      </c>
      <c r="G25" s="94" t="s">
        <v>71</v>
      </c>
      <c r="H25" s="94" t="s">
        <v>72</v>
      </c>
      <c r="I25" s="94" t="s">
        <v>73</v>
      </c>
      <c r="J25" s="94" t="s">
        <v>78</v>
      </c>
      <c r="K25" s="94" t="s">
        <v>77</v>
      </c>
      <c r="L25" s="94" t="s">
        <v>74</v>
      </c>
      <c r="M25" s="94" t="s">
        <v>75</v>
      </c>
      <c r="N25" s="94" t="s">
        <v>76</v>
      </c>
      <c r="O25" s="98" t="s">
        <v>54</v>
      </c>
      <c r="P25" s="532"/>
    </row>
    <row r="26" spans="1:16">
      <c r="A26" s="11">
        <v>1</v>
      </c>
      <c r="B26" s="11" t="s">
        <v>8</v>
      </c>
      <c r="C26" s="28">
        <v>957.94</v>
      </c>
      <c r="D26" s="28">
        <v>3351.51</v>
      </c>
      <c r="E26" s="28">
        <v>1038.83</v>
      </c>
      <c r="F26" s="28">
        <v>1312.73</v>
      </c>
      <c r="G26" s="28">
        <v>2205.21</v>
      </c>
      <c r="H26" s="28">
        <v>4335.8900000000003</v>
      </c>
      <c r="I26" s="28">
        <v>10929.65</v>
      </c>
      <c r="J26" s="28">
        <v>19073.099999999999</v>
      </c>
      <c r="K26" s="28">
        <v>18673.849999999999</v>
      </c>
      <c r="L26" s="28">
        <v>19000.009999999998</v>
      </c>
      <c r="M26" s="28">
        <v>23787.45</v>
      </c>
      <c r="N26" s="28"/>
      <c r="O26" s="28">
        <f>SUM(C26:N26)</f>
        <v>104666.17</v>
      </c>
      <c r="P26" s="532">
        <v>80878.720000000001</v>
      </c>
    </row>
    <row r="27" spans="1:16">
      <c r="A27" s="31">
        <v>2</v>
      </c>
      <c r="B27" s="31" t="s">
        <v>59</v>
      </c>
      <c r="C27" s="26">
        <v>164.06</v>
      </c>
      <c r="D27" s="26">
        <v>763.62</v>
      </c>
      <c r="E27" s="26">
        <v>788.74</v>
      </c>
      <c r="F27" s="26"/>
      <c r="G27" s="28"/>
      <c r="H27" s="28">
        <v>940.28</v>
      </c>
      <c r="I27" s="28">
        <v>749.41</v>
      </c>
      <c r="J27" s="28">
        <v>791.33</v>
      </c>
      <c r="K27" s="28">
        <v>1072.42</v>
      </c>
      <c r="L27" s="28">
        <v>622.70000000000005</v>
      </c>
      <c r="M27" s="28">
        <v>636.62</v>
      </c>
      <c r="N27" s="28"/>
      <c r="O27" s="28">
        <f t="shared" ref="O27:O30" si="3">SUM(C27:N27)</f>
        <v>6529.1799999999994</v>
      </c>
      <c r="P27" s="532">
        <v>5892.56</v>
      </c>
    </row>
    <row r="28" spans="1:16">
      <c r="A28" s="31">
        <v>3</v>
      </c>
      <c r="B28" s="31" t="s">
        <v>58</v>
      </c>
      <c r="C28" s="26">
        <v>8866.74</v>
      </c>
      <c r="D28" s="26">
        <v>9481.02</v>
      </c>
      <c r="E28" s="26">
        <v>7632.56</v>
      </c>
      <c r="F28" s="26">
        <v>3399.04</v>
      </c>
      <c r="G28" s="26">
        <v>8076.23</v>
      </c>
      <c r="H28" s="26">
        <v>5729.15</v>
      </c>
      <c r="I28" s="26">
        <v>7573.18</v>
      </c>
      <c r="J28" s="26">
        <v>9348.66</v>
      </c>
      <c r="K28" s="26">
        <v>11887.89</v>
      </c>
      <c r="L28" s="26">
        <v>8880.0400000000009</v>
      </c>
      <c r="M28" s="26">
        <v>8873.24</v>
      </c>
      <c r="N28" s="26"/>
      <c r="O28" s="28">
        <f t="shared" si="3"/>
        <v>89747.750000000015</v>
      </c>
      <c r="P28" s="532">
        <v>80874.509999999995</v>
      </c>
    </row>
    <row r="29" spans="1:16">
      <c r="A29" s="31">
        <v>4</v>
      </c>
      <c r="B29" s="31" t="s">
        <v>41</v>
      </c>
      <c r="C29" s="26">
        <v>0</v>
      </c>
      <c r="D29" s="26">
        <v>661.17</v>
      </c>
      <c r="E29" s="26">
        <v>1107.1500000000001</v>
      </c>
      <c r="F29" s="26"/>
      <c r="G29" s="26"/>
      <c r="H29" s="26"/>
      <c r="I29" s="26"/>
      <c r="J29" s="26">
        <v>411.11</v>
      </c>
      <c r="K29" s="26">
        <v>0</v>
      </c>
      <c r="L29" s="26">
        <v>448.62</v>
      </c>
      <c r="M29" s="26"/>
      <c r="N29" s="26"/>
      <c r="O29" s="28">
        <f t="shared" si="3"/>
        <v>2628.05</v>
      </c>
      <c r="P29" s="532">
        <v>2628.05</v>
      </c>
    </row>
    <row r="30" spans="1:16" ht="17.25" thickBot="1">
      <c r="A30" s="12">
        <v>9</v>
      </c>
      <c r="B30" s="12" t="s">
        <v>10</v>
      </c>
      <c r="C30" s="27"/>
      <c r="D30" s="27"/>
      <c r="E30" s="27"/>
      <c r="F30" s="27"/>
      <c r="G30" s="27">
        <v>48.09</v>
      </c>
      <c r="H30" s="27"/>
      <c r="I30" s="27"/>
      <c r="J30" s="27"/>
      <c r="K30" s="27">
        <v>0</v>
      </c>
      <c r="L30" s="27"/>
      <c r="M30" s="27"/>
      <c r="N30" s="27"/>
      <c r="O30" s="28">
        <f t="shared" si="3"/>
        <v>48.09</v>
      </c>
      <c r="P30" s="532">
        <v>48.09</v>
      </c>
    </row>
    <row r="31" spans="1:16" ht="17.25" thickBot="1">
      <c r="A31" s="24"/>
      <c r="B31" s="24" t="s">
        <v>12</v>
      </c>
      <c r="C31" s="47">
        <f>SUM(C26:C30)</f>
        <v>9988.74</v>
      </c>
      <c r="D31" s="47">
        <f t="shared" ref="D31:O31" si="4">SUM(D26:D30)</f>
        <v>14257.320000000002</v>
      </c>
      <c r="E31" s="47">
        <f t="shared" si="4"/>
        <v>10567.28</v>
      </c>
      <c r="F31" s="47">
        <f t="shared" si="4"/>
        <v>4711.7700000000004</v>
      </c>
      <c r="G31" s="47">
        <f t="shared" si="4"/>
        <v>10329.529999999999</v>
      </c>
      <c r="H31" s="47">
        <f t="shared" si="4"/>
        <v>11005.32</v>
      </c>
      <c r="I31" s="47">
        <f t="shared" si="4"/>
        <v>19252.239999999998</v>
      </c>
      <c r="J31" s="47">
        <f t="shared" si="4"/>
        <v>29624.2</v>
      </c>
      <c r="K31" s="47">
        <f t="shared" si="4"/>
        <v>31634.159999999996</v>
      </c>
      <c r="L31" s="47">
        <f t="shared" si="4"/>
        <v>28951.37</v>
      </c>
      <c r="M31" s="47">
        <f t="shared" si="4"/>
        <v>33297.31</v>
      </c>
      <c r="N31" s="47">
        <f t="shared" si="4"/>
        <v>0</v>
      </c>
      <c r="O31" s="47">
        <f t="shared" si="4"/>
        <v>203619.24</v>
      </c>
      <c r="P31" s="532">
        <f>SUM(P26:P30)</f>
        <v>170321.92999999996</v>
      </c>
    </row>
    <row r="32" spans="1:16">
      <c r="A32" s="9"/>
      <c r="B32" s="9"/>
      <c r="C32" s="10"/>
      <c r="F32" s="25"/>
      <c r="G32" s="10" t="s">
        <v>86</v>
      </c>
      <c r="H32" s="10">
        <f>SUM(C31:H31)</f>
        <v>60859.96</v>
      </c>
      <c r="J32" s="10" t="s">
        <v>82</v>
      </c>
      <c r="K32" s="71">
        <f>SUM(I31:K31)</f>
        <v>80510.600000000006</v>
      </c>
      <c r="L32" s="25">
        <f>H32+K32</f>
        <v>141370.56</v>
      </c>
      <c r="M32" s="10" t="s">
        <v>81</v>
      </c>
      <c r="N32" s="10">
        <f>SUM(L31:N31)</f>
        <v>62248.679999999993</v>
      </c>
      <c r="P32" s="532"/>
    </row>
    <row r="33" spans="1:16" ht="17.25" thickBot="1">
      <c r="A33" s="101" t="s">
        <v>13</v>
      </c>
      <c r="B33" s="101"/>
      <c r="C33" s="101"/>
      <c r="G33" s="25"/>
      <c r="P33" s="532"/>
    </row>
    <row r="34" spans="1:16" ht="17.25" thickBot="1">
      <c r="A34" s="102" t="s">
        <v>4</v>
      </c>
      <c r="B34" s="94" t="s">
        <v>5</v>
      </c>
      <c r="C34" s="97" t="s">
        <v>55</v>
      </c>
      <c r="D34" s="97" t="s">
        <v>56</v>
      </c>
      <c r="E34" s="94" t="s">
        <v>66</v>
      </c>
      <c r="F34" s="94" t="s">
        <v>68</v>
      </c>
      <c r="G34" s="94" t="s">
        <v>71</v>
      </c>
      <c r="H34" s="94" t="s">
        <v>72</v>
      </c>
      <c r="I34" s="94" t="s">
        <v>73</v>
      </c>
      <c r="J34" s="94" t="s">
        <v>78</v>
      </c>
      <c r="K34" s="94" t="s">
        <v>77</v>
      </c>
      <c r="L34" s="94" t="s">
        <v>74</v>
      </c>
      <c r="M34" s="94" t="s">
        <v>75</v>
      </c>
      <c r="N34" s="94" t="s">
        <v>76</v>
      </c>
      <c r="O34" s="98" t="s">
        <v>54</v>
      </c>
      <c r="P34" s="532" t="s">
        <v>210</v>
      </c>
    </row>
    <row r="35" spans="1:16">
      <c r="A35" s="11">
        <v>1</v>
      </c>
      <c r="B35" s="4" t="s">
        <v>14</v>
      </c>
      <c r="C35" s="28">
        <v>1400</v>
      </c>
      <c r="D35" s="28">
        <v>1160</v>
      </c>
      <c r="E35" s="28">
        <v>1800</v>
      </c>
      <c r="F35" s="28">
        <v>920</v>
      </c>
      <c r="G35" s="28">
        <v>1600</v>
      </c>
      <c r="H35" s="28">
        <v>1800</v>
      </c>
      <c r="I35" s="28">
        <v>1840</v>
      </c>
      <c r="J35" s="28">
        <v>1240</v>
      </c>
      <c r="K35" s="28">
        <v>1840</v>
      </c>
      <c r="L35" s="28">
        <v>2080</v>
      </c>
      <c r="M35" s="28">
        <v>1400</v>
      </c>
      <c r="N35" s="28">
        <v>2299</v>
      </c>
      <c r="O35" s="28">
        <f t="shared" ref="O35:O36" si="5">SUM(C35:N35)</f>
        <v>19379</v>
      </c>
      <c r="P35" s="533">
        <f>SUM(O35/12)</f>
        <v>1614.9166666666667</v>
      </c>
    </row>
    <row r="36" spans="1:16" ht="17.25" thickBot="1">
      <c r="A36" s="12">
        <v>2</v>
      </c>
      <c r="B36" s="6" t="s">
        <v>15</v>
      </c>
      <c r="C36" s="27">
        <v>440</v>
      </c>
      <c r="D36" s="27">
        <v>480</v>
      </c>
      <c r="E36" s="27">
        <v>480</v>
      </c>
      <c r="F36" s="28">
        <v>440</v>
      </c>
      <c r="G36" s="28">
        <v>680</v>
      </c>
      <c r="H36" s="27">
        <v>360</v>
      </c>
      <c r="I36" s="27">
        <v>400</v>
      </c>
      <c r="J36" s="27">
        <v>520</v>
      </c>
      <c r="K36" s="28">
        <v>520</v>
      </c>
      <c r="L36" s="28">
        <v>680</v>
      </c>
      <c r="M36" s="28">
        <v>920</v>
      </c>
      <c r="N36" s="28">
        <v>1661</v>
      </c>
      <c r="O36" s="28">
        <f t="shared" si="5"/>
        <v>7581</v>
      </c>
      <c r="P36" s="533">
        <f t="shared" ref="P36:P37" si="6">SUM(O36/12)</f>
        <v>631.75</v>
      </c>
    </row>
    <row r="37" spans="1:16" ht="17.25" thickBot="1">
      <c r="A37" s="60"/>
      <c r="B37" s="8" t="s">
        <v>16</v>
      </c>
      <c r="C37" s="29">
        <f>SUM(C35:C36)</f>
        <v>1840</v>
      </c>
      <c r="D37" s="29">
        <f t="shared" ref="D37:O37" si="7">SUM(D35:D36)</f>
        <v>1640</v>
      </c>
      <c r="E37" s="29">
        <f t="shared" si="7"/>
        <v>2280</v>
      </c>
      <c r="F37" s="29">
        <f t="shared" si="7"/>
        <v>1360</v>
      </c>
      <c r="G37" s="29">
        <f t="shared" si="7"/>
        <v>2280</v>
      </c>
      <c r="H37" s="29">
        <f t="shared" si="7"/>
        <v>2160</v>
      </c>
      <c r="I37" s="29">
        <f t="shared" si="7"/>
        <v>2240</v>
      </c>
      <c r="J37" s="29">
        <f t="shared" si="7"/>
        <v>1760</v>
      </c>
      <c r="K37" s="29">
        <f t="shared" si="7"/>
        <v>2360</v>
      </c>
      <c r="L37" s="29">
        <f t="shared" si="7"/>
        <v>2760</v>
      </c>
      <c r="M37" s="29">
        <f t="shared" si="7"/>
        <v>2320</v>
      </c>
      <c r="N37" s="29">
        <f t="shared" si="7"/>
        <v>3960</v>
      </c>
      <c r="O37" s="29">
        <f t="shared" si="7"/>
        <v>26960</v>
      </c>
      <c r="P37" s="533">
        <f t="shared" si="6"/>
        <v>2246.6666666666665</v>
      </c>
    </row>
    <row r="38" spans="1:16">
      <c r="A38" s="9"/>
      <c r="B38" s="9"/>
      <c r="C38" s="9"/>
      <c r="G38" s="10" t="s">
        <v>86</v>
      </c>
      <c r="H38" s="10">
        <f>SUM(C37:H37)</f>
        <v>11560</v>
      </c>
      <c r="J38" s="10" t="s">
        <v>82</v>
      </c>
      <c r="K38" s="10">
        <f>SUM(I37:K37)</f>
        <v>6360</v>
      </c>
      <c r="M38" s="10" t="s">
        <v>81</v>
      </c>
      <c r="N38" s="10">
        <f>SUM(L37:N37)</f>
        <v>9040</v>
      </c>
      <c r="P38" s="532"/>
    </row>
    <row r="39" spans="1:16" ht="17.25" thickBot="1">
      <c r="A39" s="101" t="s">
        <v>17</v>
      </c>
      <c r="B39" s="101"/>
      <c r="C39" s="9"/>
      <c r="P39" s="532"/>
    </row>
    <row r="40" spans="1:16" ht="17.25" thickBot="1">
      <c r="A40" s="102" t="s">
        <v>4</v>
      </c>
      <c r="B40" s="94" t="s">
        <v>18</v>
      </c>
      <c r="C40" s="97" t="s">
        <v>55</v>
      </c>
      <c r="D40" s="97" t="s">
        <v>56</v>
      </c>
      <c r="E40" s="94" t="s">
        <v>66</v>
      </c>
      <c r="F40" s="94" t="s">
        <v>68</v>
      </c>
      <c r="G40" s="94" t="s">
        <v>71</v>
      </c>
      <c r="H40" s="94" t="s">
        <v>72</v>
      </c>
      <c r="I40" s="94" t="s">
        <v>73</v>
      </c>
      <c r="J40" s="94" t="s">
        <v>78</v>
      </c>
      <c r="K40" s="94" t="s">
        <v>77</v>
      </c>
      <c r="L40" s="94" t="s">
        <v>74</v>
      </c>
      <c r="M40" s="94" t="s">
        <v>75</v>
      </c>
      <c r="N40" s="94" t="s">
        <v>76</v>
      </c>
      <c r="O40" s="98" t="s">
        <v>54</v>
      </c>
      <c r="P40" s="532" t="s">
        <v>210</v>
      </c>
    </row>
    <row r="41" spans="1:16">
      <c r="A41" s="3">
        <v>1</v>
      </c>
      <c r="B41" s="4" t="s">
        <v>19</v>
      </c>
      <c r="C41" s="28">
        <v>5280</v>
      </c>
      <c r="D41" s="52">
        <v>5860</v>
      </c>
      <c r="E41" s="52">
        <v>6660</v>
      </c>
      <c r="F41" s="52">
        <v>4040</v>
      </c>
      <c r="G41" s="28">
        <v>5480</v>
      </c>
      <c r="H41" s="52">
        <v>4740</v>
      </c>
      <c r="I41" s="52">
        <v>5460</v>
      </c>
      <c r="J41" s="52">
        <v>5460</v>
      </c>
      <c r="K41" s="28">
        <v>6000</v>
      </c>
      <c r="L41" s="28">
        <v>5520</v>
      </c>
      <c r="M41" s="28">
        <v>4960</v>
      </c>
      <c r="N41" s="28">
        <v>4825</v>
      </c>
      <c r="O41" s="28">
        <f t="shared" ref="O41:O49" si="8">SUM(C41:N41)</f>
        <v>64285</v>
      </c>
      <c r="P41" s="533">
        <f>SUM(O41/12)</f>
        <v>5357.083333333333</v>
      </c>
    </row>
    <row r="42" spans="1:16">
      <c r="A42" s="31">
        <v>2</v>
      </c>
      <c r="B42" s="6" t="s">
        <v>7</v>
      </c>
      <c r="C42" s="26">
        <v>4420</v>
      </c>
      <c r="D42" s="26">
        <v>4500</v>
      </c>
      <c r="E42" s="26">
        <v>4420</v>
      </c>
      <c r="F42" s="26">
        <v>4500</v>
      </c>
      <c r="G42" s="28">
        <v>4500</v>
      </c>
      <c r="H42" s="26">
        <v>4500</v>
      </c>
      <c r="I42" s="26">
        <v>4500</v>
      </c>
      <c r="J42" s="26">
        <v>4500</v>
      </c>
      <c r="K42" s="28">
        <v>4500</v>
      </c>
      <c r="L42" s="28">
        <v>4500</v>
      </c>
      <c r="M42" s="28">
        <v>4500</v>
      </c>
      <c r="N42" s="28">
        <v>4500</v>
      </c>
      <c r="O42" s="28">
        <f t="shared" si="8"/>
        <v>53840</v>
      </c>
      <c r="P42" s="533">
        <f t="shared" ref="P42:P50" si="9">SUM(O42/12)</f>
        <v>4486.666666666667</v>
      </c>
    </row>
    <row r="43" spans="1:16">
      <c r="A43" s="3">
        <v>3</v>
      </c>
      <c r="B43" s="6" t="s">
        <v>20</v>
      </c>
      <c r="C43" s="26">
        <v>4280</v>
      </c>
      <c r="D43" s="26">
        <v>4760</v>
      </c>
      <c r="E43" s="26">
        <v>3880</v>
      </c>
      <c r="F43" s="26">
        <v>4380</v>
      </c>
      <c r="G43" s="28">
        <v>6280</v>
      </c>
      <c r="H43" s="26">
        <v>5360</v>
      </c>
      <c r="I43" s="26">
        <v>6100</v>
      </c>
      <c r="J43" s="26">
        <v>4740</v>
      </c>
      <c r="K43" s="28">
        <v>5700</v>
      </c>
      <c r="L43" s="28">
        <v>5600</v>
      </c>
      <c r="M43" s="28">
        <v>5020</v>
      </c>
      <c r="N43" s="28">
        <v>6300</v>
      </c>
      <c r="O43" s="28">
        <f t="shared" si="8"/>
        <v>62400</v>
      </c>
      <c r="P43" s="533">
        <f t="shared" si="9"/>
        <v>5200</v>
      </c>
    </row>
    <row r="44" spans="1:16">
      <c r="A44" s="31">
        <v>4</v>
      </c>
      <c r="B44" s="6" t="s">
        <v>21</v>
      </c>
      <c r="C44" s="26">
        <v>2940</v>
      </c>
      <c r="D44" s="26">
        <v>3300</v>
      </c>
      <c r="E44" s="26">
        <v>4200</v>
      </c>
      <c r="F44" s="26">
        <v>3420</v>
      </c>
      <c r="G44" s="28">
        <v>3120</v>
      </c>
      <c r="H44" s="26">
        <v>3600</v>
      </c>
      <c r="I44" s="26">
        <v>4560</v>
      </c>
      <c r="J44" s="26">
        <v>5640</v>
      </c>
      <c r="K44" s="28">
        <v>3840</v>
      </c>
      <c r="L44" s="28">
        <v>3780</v>
      </c>
      <c r="M44" s="28">
        <v>6420</v>
      </c>
      <c r="N44" s="28">
        <v>2774</v>
      </c>
      <c r="O44" s="28">
        <f t="shared" si="8"/>
        <v>47594</v>
      </c>
      <c r="P44" s="533">
        <f t="shared" si="9"/>
        <v>3966.1666666666665</v>
      </c>
    </row>
    <row r="45" spans="1:16">
      <c r="A45" s="3">
        <v>5</v>
      </c>
      <c r="B45" s="6" t="s">
        <v>15</v>
      </c>
      <c r="C45" s="26">
        <v>2980</v>
      </c>
      <c r="D45" s="26">
        <v>2490</v>
      </c>
      <c r="E45" s="26">
        <v>3070</v>
      </c>
      <c r="F45" s="26">
        <v>3420</v>
      </c>
      <c r="G45" s="28">
        <v>3160</v>
      </c>
      <c r="H45" s="26">
        <v>3680</v>
      </c>
      <c r="I45" s="26">
        <v>3410</v>
      </c>
      <c r="J45" s="26">
        <v>3690</v>
      </c>
      <c r="K45" s="28">
        <v>4490</v>
      </c>
      <c r="L45" s="28">
        <v>4490</v>
      </c>
      <c r="M45" s="28">
        <v>2700</v>
      </c>
      <c r="N45" s="28">
        <v>3290</v>
      </c>
      <c r="O45" s="28">
        <f t="shared" si="8"/>
        <v>40870</v>
      </c>
      <c r="P45" s="533">
        <f t="shared" si="9"/>
        <v>3405.8333333333335</v>
      </c>
    </row>
    <row r="46" spans="1:16">
      <c r="A46" s="31">
        <v>6</v>
      </c>
      <c r="B46" s="6" t="s">
        <v>45</v>
      </c>
      <c r="C46" s="26">
        <v>1380</v>
      </c>
      <c r="D46" s="26">
        <v>1020</v>
      </c>
      <c r="E46" s="26">
        <v>1320</v>
      </c>
      <c r="F46" s="26">
        <v>1080</v>
      </c>
      <c r="G46" s="28">
        <v>1740</v>
      </c>
      <c r="H46" s="26">
        <v>1200</v>
      </c>
      <c r="I46" s="26">
        <v>1020</v>
      </c>
      <c r="J46" s="26">
        <v>2040</v>
      </c>
      <c r="K46" s="28">
        <v>2040</v>
      </c>
      <c r="L46" s="28">
        <v>1440</v>
      </c>
      <c r="M46" s="28">
        <v>2640</v>
      </c>
      <c r="N46" s="28">
        <v>2583</v>
      </c>
      <c r="O46" s="28">
        <f t="shared" si="8"/>
        <v>19503</v>
      </c>
      <c r="P46" s="533">
        <f t="shared" si="9"/>
        <v>1625.25</v>
      </c>
    </row>
    <row r="47" spans="1:16">
      <c r="A47" s="54"/>
      <c r="B47" s="55" t="s">
        <v>46</v>
      </c>
      <c r="C47" s="56">
        <v>3180</v>
      </c>
      <c r="D47" s="56">
        <v>2160</v>
      </c>
      <c r="E47" s="56">
        <v>2520</v>
      </c>
      <c r="F47" s="27"/>
      <c r="G47" s="99"/>
      <c r="H47" s="27"/>
      <c r="I47" s="99"/>
      <c r="J47" s="27"/>
      <c r="K47" s="99"/>
      <c r="L47" s="99"/>
      <c r="M47" s="99"/>
      <c r="N47" s="99"/>
      <c r="O47" s="28">
        <f>SUM(C47:N47)</f>
        <v>7860</v>
      </c>
      <c r="P47" s="533">
        <f t="shared" si="9"/>
        <v>655</v>
      </c>
    </row>
    <row r="48" spans="1:16">
      <c r="A48" s="3">
        <v>7</v>
      </c>
      <c r="B48" s="6" t="s">
        <v>10</v>
      </c>
      <c r="C48" s="27"/>
      <c r="D48" s="27"/>
      <c r="E48" s="27"/>
      <c r="F48" s="27"/>
      <c r="G48" s="28"/>
      <c r="H48" s="27"/>
      <c r="I48" s="28"/>
      <c r="J48" s="27"/>
      <c r="K48" s="28"/>
      <c r="L48" s="28">
        <v>60</v>
      </c>
      <c r="M48" s="28">
        <v>360</v>
      </c>
      <c r="N48" s="28">
        <v>2816</v>
      </c>
      <c r="O48" s="28">
        <f t="shared" si="8"/>
        <v>3236</v>
      </c>
      <c r="P48" s="533">
        <f>SUM(O48/3)</f>
        <v>1078.6666666666667</v>
      </c>
    </row>
    <row r="49" spans="1:16" ht="17.25" thickBot="1">
      <c r="A49" s="31">
        <v>8</v>
      </c>
      <c r="B49" s="6" t="s">
        <v>92</v>
      </c>
      <c r="C49" s="27"/>
      <c r="D49" s="27"/>
      <c r="E49" s="27"/>
      <c r="F49" s="27"/>
      <c r="G49" s="28"/>
      <c r="H49" s="27"/>
      <c r="I49" s="28"/>
      <c r="J49" s="27"/>
      <c r="K49" s="28"/>
      <c r="L49" s="28">
        <v>480</v>
      </c>
      <c r="M49" s="28">
        <v>1740</v>
      </c>
      <c r="N49" s="28">
        <v>3051</v>
      </c>
      <c r="O49" s="28">
        <f t="shared" si="8"/>
        <v>5271</v>
      </c>
      <c r="P49" s="533">
        <f>SUM(O49/3)</f>
        <v>1757</v>
      </c>
    </row>
    <row r="50" spans="1:16" ht="17.25" thickBot="1">
      <c r="A50" s="60"/>
      <c r="B50" s="8" t="s">
        <v>22</v>
      </c>
      <c r="C50" s="29">
        <f t="shared" ref="C50:K50" si="10">SUM(C41:C49)</f>
        <v>24460</v>
      </c>
      <c r="D50" s="29">
        <f t="shared" si="10"/>
        <v>24090</v>
      </c>
      <c r="E50" s="29">
        <f t="shared" si="10"/>
        <v>26070</v>
      </c>
      <c r="F50" s="29">
        <f t="shared" si="10"/>
        <v>20840</v>
      </c>
      <c r="G50" s="29">
        <f t="shared" si="10"/>
        <v>24280</v>
      </c>
      <c r="H50" s="29">
        <f t="shared" si="10"/>
        <v>23080</v>
      </c>
      <c r="I50" s="29">
        <f t="shared" si="10"/>
        <v>25050</v>
      </c>
      <c r="J50" s="29">
        <f t="shared" si="10"/>
        <v>26070</v>
      </c>
      <c r="K50" s="29">
        <f t="shared" si="10"/>
        <v>26570</v>
      </c>
      <c r="L50" s="29">
        <f>SUM(L41:L49)</f>
        <v>25870</v>
      </c>
      <c r="M50" s="29">
        <f t="shared" ref="M50:O50" si="11">SUM(M41:M49)</f>
        <v>28340</v>
      </c>
      <c r="N50" s="29">
        <f t="shared" si="11"/>
        <v>30139</v>
      </c>
      <c r="O50" s="29">
        <f t="shared" si="11"/>
        <v>304859</v>
      </c>
      <c r="P50" s="533">
        <f t="shared" si="9"/>
        <v>25404.916666666668</v>
      </c>
    </row>
    <row r="51" spans="1:16">
      <c r="A51" s="14"/>
      <c r="B51" s="9"/>
      <c r="C51" s="9"/>
      <c r="G51" s="10" t="s">
        <v>86</v>
      </c>
      <c r="H51" s="10">
        <f>SUM(C50:H50)</f>
        <v>142820</v>
      </c>
      <c r="J51" s="10" t="s">
        <v>82</v>
      </c>
      <c r="K51" s="10">
        <f>SUM(I50:K50)</f>
        <v>77690</v>
      </c>
      <c r="M51" s="10" t="s">
        <v>81</v>
      </c>
      <c r="N51" s="10">
        <f>SUM(L50:N50)</f>
        <v>84349</v>
      </c>
      <c r="P51" s="532"/>
    </row>
    <row r="52" spans="1:16" ht="17.25" thickBot="1">
      <c r="A52" s="101" t="s">
        <v>23</v>
      </c>
      <c r="B52" s="101"/>
      <c r="C52" s="101"/>
      <c r="D52" s="46"/>
      <c r="P52" s="532"/>
    </row>
    <row r="53" spans="1:16" ht="17.25" thickBot="1">
      <c r="A53" s="102" t="s">
        <v>4</v>
      </c>
      <c r="B53" s="94" t="s">
        <v>18</v>
      </c>
      <c r="C53" s="97" t="s">
        <v>55</v>
      </c>
      <c r="D53" s="97" t="s">
        <v>56</v>
      </c>
      <c r="E53" s="94" t="s">
        <v>66</v>
      </c>
      <c r="F53" s="94" t="s">
        <v>68</v>
      </c>
      <c r="G53" s="94" t="s">
        <v>71</v>
      </c>
      <c r="H53" s="94" t="s">
        <v>72</v>
      </c>
      <c r="I53" s="94" t="s">
        <v>73</v>
      </c>
      <c r="J53" s="94" t="s">
        <v>78</v>
      </c>
      <c r="K53" s="94" t="s">
        <v>77</v>
      </c>
      <c r="L53" s="94" t="s">
        <v>74</v>
      </c>
      <c r="M53" s="94" t="s">
        <v>75</v>
      </c>
      <c r="N53" s="94" t="s">
        <v>76</v>
      </c>
      <c r="O53" s="98" t="s">
        <v>54</v>
      </c>
      <c r="P53" s="532" t="s">
        <v>210</v>
      </c>
    </row>
    <row r="54" spans="1:16" ht="17.25" thickBot="1">
      <c r="A54" s="103">
        <v>1</v>
      </c>
      <c r="B54" s="19" t="s">
        <v>14</v>
      </c>
      <c r="C54" s="104">
        <v>71780</v>
      </c>
      <c r="D54" s="41">
        <v>74550</v>
      </c>
      <c r="E54" s="41">
        <v>73945</v>
      </c>
      <c r="F54" s="41">
        <v>74125</v>
      </c>
      <c r="G54" s="105">
        <v>77095</v>
      </c>
      <c r="H54" s="105">
        <v>74820</v>
      </c>
      <c r="I54" s="105">
        <v>74850</v>
      </c>
      <c r="J54" s="105">
        <v>74285</v>
      </c>
      <c r="K54" s="51">
        <v>77620</v>
      </c>
      <c r="L54" s="51">
        <v>79640</v>
      </c>
      <c r="M54" s="51">
        <v>80860</v>
      </c>
      <c r="N54" s="51">
        <v>77896</v>
      </c>
      <c r="O54" s="89">
        <f t="shared" ref="O54" si="12">SUM(C54:N54)</f>
        <v>911466</v>
      </c>
      <c r="P54" s="533">
        <f>SUM(O54/12)</f>
        <v>75955.5</v>
      </c>
    </row>
    <row r="55" spans="1:16">
      <c r="A55" s="14"/>
      <c r="B55" s="14"/>
      <c r="C55" s="13"/>
      <c r="D55" s="13"/>
      <c r="E55" s="13"/>
      <c r="F55" s="13"/>
      <c r="G55" s="10" t="s">
        <v>86</v>
      </c>
      <c r="H55" s="10">
        <f>SUM(C54:H54)</f>
        <v>446315</v>
      </c>
      <c r="I55" s="13"/>
      <c r="J55" s="10" t="s">
        <v>82</v>
      </c>
      <c r="K55" s="10">
        <f>SUM(I54:K54)</f>
        <v>226755</v>
      </c>
      <c r="L55" s="13"/>
      <c r="M55" s="10" t="s">
        <v>81</v>
      </c>
      <c r="N55" s="10">
        <f>SUM(L54:N54)</f>
        <v>238396</v>
      </c>
      <c r="O55" s="13"/>
    </row>
    <row r="56" spans="1:16">
      <c r="A56" s="14"/>
      <c r="B56" s="14"/>
      <c r="C56" s="13"/>
      <c r="D56" s="13"/>
      <c r="E56" s="13"/>
      <c r="F56" s="13"/>
      <c r="G56" s="10"/>
      <c r="H56" s="10"/>
      <c r="I56" s="13"/>
      <c r="J56" s="10"/>
      <c r="K56" s="10"/>
      <c r="L56" s="13"/>
      <c r="M56" s="10"/>
      <c r="N56" s="10"/>
      <c r="O56" s="13"/>
    </row>
    <row r="57" spans="1:16">
      <c r="A57" s="14"/>
      <c r="B57" s="14"/>
      <c r="C57" s="13"/>
      <c r="D57" s="13"/>
      <c r="E57" s="13"/>
      <c r="F57" s="13"/>
      <c r="G57" s="10"/>
      <c r="H57" s="10"/>
      <c r="I57" s="13"/>
      <c r="J57" s="10"/>
      <c r="K57" s="10"/>
      <c r="L57" s="13"/>
      <c r="M57" s="10"/>
      <c r="N57" s="10"/>
      <c r="O57" s="13"/>
    </row>
    <row r="58" spans="1:16">
      <c r="A58" s="34"/>
      <c r="B58" s="34"/>
      <c r="C58" s="34"/>
    </row>
    <row r="59" spans="1:16" ht="17.25" thickBot="1">
      <c r="A59" s="44" t="s">
        <v>39</v>
      </c>
      <c r="B59" s="46"/>
    </row>
    <row r="60" spans="1:16" ht="17.25" thickBot="1">
      <c r="A60" s="102" t="s">
        <v>4</v>
      </c>
      <c r="B60" s="94" t="s">
        <v>18</v>
      </c>
      <c r="C60" s="102" t="s">
        <v>55</v>
      </c>
      <c r="D60" s="97" t="s">
        <v>56</v>
      </c>
      <c r="E60" s="98" t="s">
        <v>66</v>
      </c>
      <c r="F60" s="96" t="s">
        <v>68</v>
      </c>
      <c r="G60" s="94" t="s">
        <v>79</v>
      </c>
      <c r="H60" s="98" t="s">
        <v>72</v>
      </c>
      <c r="I60" s="96" t="s">
        <v>73</v>
      </c>
      <c r="J60" s="94" t="s">
        <v>78</v>
      </c>
      <c r="K60" s="98" t="s">
        <v>77</v>
      </c>
      <c r="L60" s="96" t="s">
        <v>74</v>
      </c>
      <c r="M60" s="94" t="s">
        <v>75</v>
      </c>
      <c r="N60" s="98" t="s">
        <v>76</v>
      </c>
      <c r="O60" s="106" t="s">
        <v>54</v>
      </c>
      <c r="P60" s="344" t="s">
        <v>210</v>
      </c>
    </row>
    <row r="61" spans="1:16">
      <c r="A61" s="39">
        <v>1</v>
      </c>
      <c r="B61" s="4" t="s">
        <v>14</v>
      </c>
      <c r="C61" s="63">
        <v>12537</v>
      </c>
      <c r="D61" s="36">
        <v>8383</v>
      </c>
      <c r="E61" s="64">
        <v>7088</v>
      </c>
      <c r="F61" s="63">
        <v>7663</v>
      </c>
      <c r="G61" s="36">
        <v>13237</v>
      </c>
      <c r="H61" s="36">
        <v>8245</v>
      </c>
      <c r="I61" s="36">
        <v>8845</v>
      </c>
      <c r="J61" s="36">
        <v>10626</v>
      </c>
      <c r="K61" s="67">
        <v>9395</v>
      </c>
      <c r="L61" s="63">
        <v>10899</v>
      </c>
      <c r="M61" s="40">
        <v>8574</v>
      </c>
      <c r="N61" s="67">
        <v>11786.8</v>
      </c>
      <c r="O61" s="28">
        <f t="shared" ref="O61:O63" si="13">SUM(C61:N61)</f>
        <v>117278.8</v>
      </c>
      <c r="P61" s="345">
        <f>SUM(O61/12)</f>
        <v>9773.2333333333336</v>
      </c>
    </row>
    <row r="62" spans="1:16">
      <c r="A62" s="32">
        <v>2</v>
      </c>
      <c r="B62" s="6" t="s">
        <v>15</v>
      </c>
      <c r="C62" s="65">
        <v>4848</v>
      </c>
      <c r="D62" s="36">
        <v>4924</v>
      </c>
      <c r="E62" s="64">
        <v>4961</v>
      </c>
      <c r="F62" s="63">
        <v>4389</v>
      </c>
      <c r="G62" s="36">
        <v>4437</v>
      </c>
      <c r="H62" s="36">
        <v>4324</v>
      </c>
      <c r="I62" s="36">
        <v>3994</v>
      </c>
      <c r="J62" s="36">
        <v>4208</v>
      </c>
      <c r="K62" s="67">
        <v>5027</v>
      </c>
      <c r="L62" s="63">
        <v>5439</v>
      </c>
      <c r="M62" s="40">
        <v>4319</v>
      </c>
      <c r="N62" s="67">
        <v>5868</v>
      </c>
      <c r="O62" s="28">
        <f t="shared" si="13"/>
        <v>56738</v>
      </c>
      <c r="P62" s="345">
        <f t="shared" ref="P62:P64" si="14">SUM(O62/12)</f>
        <v>4728.166666666667</v>
      </c>
    </row>
    <row r="63" spans="1:16" ht="17.25" thickBot="1">
      <c r="A63" s="33">
        <v>3</v>
      </c>
      <c r="B63" s="7" t="s">
        <v>44</v>
      </c>
      <c r="C63" s="66">
        <v>5542</v>
      </c>
      <c r="D63" s="36">
        <v>5506</v>
      </c>
      <c r="E63" s="64">
        <v>5537</v>
      </c>
      <c r="F63" s="68">
        <v>8288</v>
      </c>
      <c r="G63" s="36">
        <v>7996</v>
      </c>
      <c r="H63" s="36">
        <v>7961</v>
      </c>
      <c r="I63" s="36">
        <v>7693</v>
      </c>
      <c r="J63" s="36">
        <v>6677</v>
      </c>
      <c r="K63" s="69">
        <v>7994</v>
      </c>
      <c r="L63" s="68">
        <v>7805</v>
      </c>
      <c r="M63" s="53">
        <v>11894</v>
      </c>
      <c r="N63" s="69">
        <v>10879</v>
      </c>
      <c r="O63" s="28">
        <f t="shared" si="13"/>
        <v>93772</v>
      </c>
      <c r="P63" s="345">
        <f t="shared" si="14"/>
        <v>7814.333333333333</v>
      </c>
    </row>
    <row r="64" spans="1:16" ht="17.25" thickBot="1">
      <c r="A64" s="107"/>
      <c r="B64" s="108" t="s">
        <v>24</v>
      </c>
      <c r="C64" s="109">
        <f>SUM(C61:C63)</f>
        <v>22927</v>
      </c>
      <c r="D64" s="110">
        <f t="shared" ref="D64:O64" si="15">SUM(D61:D63)</f>
        <v>18813</v>
      </c>
      <c r="E64" s="111">
        <f t="shared" si="15"/>
        <v>17586</v>
      </c>
      <c r="F64" s="109">
        <f t="shared" si="15"/>
        <v>20340</v>
      </c>
      <c r="G64" s="110">
        <f t="shared" si="15"/>
        <v>25670</v>
      </c>
      <c r="H64" s="111">
        <f t="shared" si="15"/>
        <v>20530</v>
      </c>
      <c r="I64" s="109">
        <f t="shared" si="15"/>
        <v>20532</v>
      </c>
      <c r="J64" s="110">
        <f t="shared" si="15"/>
        <v>21511</v>
      </c>
      <c r="K64" s="111">
        <f t="shared" si="15"/>
        <v>22416</v>
      </c>
      <c r="L64" s="109">
        <f t="shared" si="15"/>
        <v>24143</v>
      </c>
      <c r="M64" s="110">
        <f t="shared" si="15"/>
        <v>24787</v>
      </c>
      <c r="N64" s="111">
        <f t="shared" si="15"/>
        <v>28533.8</v>
      </c>
      <c r="O64" s="112">
        <f t="shared" si="15"/>
        <v>267788.79999999999</v>
      </c>
      <c r="P64" s="345">
        <f t="shared" si="14"/>
        <v>22315.733333333334</v>
      </c>
    </row>
    <row r="65" spans="1:16">
      <c r="A65" s="34"/>
      <c r="B65" s="34"/>
      <c r="C65" s="34"/>
      <c r="E65" s="25"/>
      <c r="G65" s="10" t="s">
        <v>86</v>
      </c>
      <c r="H65" s="10">
        <f>SUM(C64:H64)</f>
        <v>125866</v>
      </c>
      <c r="J65" s="10" t="s">
        <v>82</v>
      </c>
      <c r="K65" s="10">
        <f>SUM(I64:K64)</f>
        <v>64459</v>
      </c>
      <c r="M65" s="10" t="s">
        <v>81</v>
      </c>
      <c r="N65" s="10">
        <f>SUM(L64:N64)</f>
        <v>77463.8</v>
      </c>
    </row>
    <row r="66" spans="1:16" ht="17.25" thickBot="1">
      <c r="A66" s="74" t="s">
        <v>40</v>
      </c>
    </row>
    <row r="67" spans="1:16" ht="17.25" thickBot="1">
      <c r="A67" s="102" t="s">
        <v>4</v>
      </c>
      <c r="B67" s="94" t="s">
        <v>18</v>
      </c>
      <c r="C67" s="97" t="s">
        <v>55</v>
      </c>
      <c r="D67" s="97" t="s">
        <v>56</v>
      </c>
      <c r="E67" s="94" t="s">
        <v>66</v>
      </c>
      <c r="F67" s="94" t="s">
        <v>68</v>
      </c>
      <c r="G67" s="94" t="s">
        <v>71</v>
      </c>
      <c r="H67" s="94" t="s">
        <v>72</v>
      </c>
      <c r="I67" s="94" t="s">
        <v>73</v>
      </c>
      <c r="J67" s="94" t="s">
        <v>78</v>
      </c>
      <c r="K67" s="94" t="s">
        <v>77</v>
      </c>
      <c r="L67" s="94" t="s">
        <v>74</v>
      </c>
      <c r="M67" s="94" t="s">
        <v>75</v>
      </c>
      <c r="N67" s="94" t="s">
        <v>76</v>
      </c>
      <c r="O67" s="98" t="s">
        <v>54</v>
      </c>
    </row>
    <row r="68" spans="1:16" ht="17.25" thickBot="1">
      <c r="A68" s="57"/>
      <c r="B68" s="58" t="s">
        <v>25</v>
      </c>
      <c r="C68" s="61">
        <v>855</v>
      </c>
      <c r="D68" s="62">
        <v>825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81">
        <f t="shared" ref="O68" si="16">SUM(C68:N68)</f>
        <v>1680</v>
      </c>
      <c r="P68" s="344">
        <v>1680</v>
      </c>
    </row>
    <row r="69" spans="1:16" ht="17.25" thickBot="1">
      <c r="A69" s="16"/>
      <c r="B69" s="20"/>
      <c r="C69" s="14"/>
      <c r="G69" s="10" t="s">
        <v>86</v>
      </c>
      <c r="H69" s="10">
        <f>SUM(C68:H68)</f>
        <v>1680</v>
      </c>
      <c r="J69" s="10" t="s">
        <v>82</v>
      </c>
      <c r="K69" s="10">
        <f>SUM(I68:K68)</f>
        <v>0</v>
      </c>
      <c r="M69" s="10" t="s">
        <v>81</v>
      </c>
      <c r="N69" s="10">
        <f>SUM(L68:N68)</f>
        <v>0</v>
      </c>
    </row>
    <row r="70" spans="1:16" ht="17.25" thickBot="1">
      <c r="A70" s="102" t="s">
        <v>4</v>
      </c>
      <c r="B70" s="97" t="s">
        <v>18</v>
      </c>
      <c r="C70" s="97" t="s">
        <v>55</v>
      </c>
      <c r="D70" s="97" t="s">
        <v>56</v>
      </c>
      <c r="E70" s="94" t="s">
        <v>66</v>
      </c>
      <c r="F70" s="94" t="s">
        <v>68</v>
      </c>
      <c r="G70" s="94" t="s">
        <v>71</v>
      </c>
      <c r="H70" s="94" t="s">
        <v>72</v>
      </c>
      <c r="I70" s="94" t="s">
        <v>73</v>
      </c>
      <c r="J70" s="94" t="s">
        <v>78</v>
      </c>
      <c r="K70" s="94" t="s">
        <v>77</v>
      </c>
      <c r="L70" s="94" t="s">
        <v>74</v>
      </c>
      <c r="M70" s="94" t="s">
        <v>75</v>
      </c>
      <c r="N70" s="94" t="s">
        <v>76</v>
      </c>
      <c r="O70" s="98" t="s">
        <v>54</v>
      </c>
    </row>
    <row r="71" spans="1:16" ht="17.25" thickBot="1">
      <c r="A71" s="113" t="s">
        <v>62</v>
      </c>
      <c r="B71" s="114"/>
      <c r="C71" s="48">
        <f t="shared" ref="C71:N71" si="17">C22+C37+C50+C54+C64+C68</f>
        <v>614934.68999999994</v>
      </c>
      <c r="D71" s="48">
        <f t="shared" si="17"/>
        <v>610724.64999999991</v>
      </c>
      <c r="E71" s="48">
        <f t="shared" si="17"/>
        <v>600096.5</v>
      </c>
      <c r="F71" s="48">
        <f t="shared" si="17"/>
        <v>601321.99</v>
      </c>
      <c r="G71" s="48">
        <f t="shared" si="17"/>
        <v>643295.66</v>
      </c>
      <c r="H71" s="48">
        <f t="shared" si="17"/>
        <v>586718.28</v>
      </c>
      <c r="I71" s="48">
        <f t="shared" si="17"/>
        <v>621420.66999999993</v>
      </c>
      <c r="J71" s="48">
        <f t="shared" si="17"/>
        <v>589745.05999999994</v>
      </c>
      <c r="K71" s="48">
        <f t="shared" si="17"/>
        <v>618612.71</v>
      </c>
      <c r="L71" s="48">
        <f t="shared" si="17"/>
        <v>657767.15</v>
      </c>
      <c r="M71" s="48">
        <f t="shared" si="17"/>
        <v>674397.54999999993</v>
      </c>
      <c r="N71" s="73">
        <f t="shared" si="17"/>
        <v>644898.51</v>
      </c>
      <c r="O71" s="47">
        <f t="shared" ref="O71" si="18">SUM(C71:N71)</f>
        <v>7463933.4199999999</v>
      </c>
    </row>
    <row r="72" spans="1:16" ht="17.25" thickBot="1">
      <c r="A72" s="34"/>
      <c r="B72" s="34" t="s">
        <v>61</v>
      </c>
      <c r="C72" s="15">
        <f t="shared" ref="C72:O72" si="19">C31</f>
        <v>9988.74</v>
      </c>
      <c r="D72" s="15">
        <f t="shared" si="19"/>
        <v>14257.320000000002</v>
      </c>
      <c r="E72" s="15">
        <f t="shared" si="19"/>
        <v>10567.28</v>
      </c>
      <c r="F72" s="15">
        <f t="shared" si="19"/>
        <v>4711.7700000000004</v>
      </c>
      <c r="G72" s="15">
        <f t="shared" si="19"/>
        <v>10329.529999999999</v>
      </c>
      <c r="H72" s="15">
        <f t="shared" si="19"/>
        <v>11005.32</v>
      </c>
      <c r="I72" s="15">
        <f t="shared" si="19"/>
        <v>19252.239999999998</v>
      </c>
      <c r="J72" s="15">
        <f t="shared" si="19"/>
        <v>29624.2</v>
      </c>
      <c r="K72" s="15">
        <f t="shared" si="19"/>
        <v>31634.159999999996</v>
      </c>
      <c r="L72" s="15">
        <f t="shared" si="19"/>
        <v>28951.37</v>
      </c>
      <c r="M72" s="15">
        <f t="shared" si="19"/>
        <v>33297.31</v>
      </c>
      <c r="N72" s="15">
        <f t="shared" si="19"/>
        <v>0</v>
      </c>
      <c r="O72" s="15">
        <f t="shared" si="19"/>
        <v>203619.24</v>
      </c>
    </row>
    <row r="73" spans="1:16" ht="17.25" thickBot="1">
      <c r="A73" s="108" t="s">
        <v>65</v>
      </c>
      <c r="B73" s="115"/>
      <c r="C73" s="116">
        <f>C71+C72</f>
        <v>624923.42999999993</v>
      </c>
      <c r="D73" s="116">
        <f t="shared" ref="D73:O73" si="20">D71+D72</f>
        <v>624981.96999999986</v>
      </c>
      <c r="E73" s="116">
        <f t="shared" si="20"/>
        <v>610663.78</v>
      </c>
      <c r="F73" s="116">
        <f t="shared" si="20"/>
        <v>606033.76</v>
      </c>
      <c r="G73" s="116">
        <f t="shared" si="20"/>
        <v>653625.19000000006</v>
      </c>
      <c r="H73" s="116">
        <f t="shared" si="20"/>
        <v>597723.6</v>
      </c>
      <c r="I73" s="116">
        <f t="shared" si="20"/>
        <v>640672.90999999992</v>
      </c>
      <c r="J73" s="116">
        <f t="shared" si="20"/>
        <v>619369.25999999989</v>
      </c>
      <c r="K73" s="116">
        <f t="shared" si="20"/>
        <v>650246.87</v>
      </c>
      <c r="L73" s="116">
        <f t="shared" si="20"/>
        <v>686718.52</v>
      </c>
      <c r="M73" s="116">
        <f t="shared" si="20"/>
        <v>707694.85999999987</v>
      </c>
      <c r="N73" s="116">
        <f t="shared" si="20"/>
        <v>644898.51</v>
      </c>
      <c r="O73" s="116">
        <f t="shared" si="20"/>
        <v>7667552.6600000001</v>
      </c>
    </row>
    <row r="74" spans="1:16" ht="17.25" thickBot="1">
      <c r="A74" s="34"/>
      <c r="B74" s="34"/>
      <c r="C74" s="117"/>
      <c r="D74" s="118" t="s">
        <v>83</v>
      </c>
      <c r="E74" s="119">
        <f>SUM(C73:E73)</f>
        <v>1860569.18</v>
      </c>
      <c r="F74" s="117"/>
      <c r="G74" s="120" t="s">
        <v>80</v>
      </c>
      <c r="H74" s="119">
        <f>SUM(F73:H73)</f>
        <v>1857382.5500000003</v>
      </c>
      <c r="I74" s="117"/>
      <c r="J74" s="120" t="s">
        <v>82</v>
      </c>
      <c r="K74" s="119">
        <f>SUM(I73:K73)</f>
        <v>1910289.04</v>
      </c>
      <c r="L74" s="117"/>
      <c r="M74" s="120" t="s">
        <v>81</v>
      </c>
      <c r="N74" s="119">
        <f>SUM(L73:N73)</f>
        <v>2039311.89</v>
      </c>
      <c r="O74" s="116">
        <f>E74+H74+K74+N74</f>
        <v>7667552.6600000001</v>
      </c>
    </row>
    <row r="75" spans="1:16">
      <c r="A75" s="34"/>
      <c r="B75" s="91"/>
      <c r="C75" s="15"/>
      <c r="D75" s="70"/>
      <c r="E75" s="15"/>
      <c r="F75" s="15"/>
      <c r="G75" s="10"/>
      <c r="H75" s="10"/>
      <c r="I75" s="15"/>
      <c r="J75" s="15" t="s">
        <v>91</v>
      </c>
      <c r="K75" s="15">
        <f>E74+H74+K74</f>
        <v>5628240.7700000005</v>
      </c>
      <c r="L75" s="15"/>
      <c r="M75" s="15"/>
      <c r="N75" s="15"/>
      <c r="O75" s="59"/>
    </row>
    <row r="76" spans="1:16">
      <c r="A76" s="34"/>
      <c r="B76" s="91"/>
      <c r="D76" s="70" t="s">
        <v>84</v>
      </c>
      <c r="E76" s="15">
        <f>E74+H74</f>
        <v>3717951.7300000004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6">
      <c r="A77" s="34"/>
      <c r="B77" s="34"/>
      <c r="C77" s="15"/>
      <c r="D77" s="70" t="s">
        <v>82</v>
      </c>
      <c r="E77" s="15">
        <f>K74</f>
        <v>1910289.04</v>
      </c>
      <c r="F77" s="15"/>
      <c r="G77" s="15"/>
      <c r="H77" s="15"/>
      <c r="I77" s="15"/>
      <c r="J77" s="15"/>
      <c r="K77" s="15"/>
      <c r="L77" s="25"/>
      <c r="M77" s="25"/>
      <c r="N77" s="25"/>
      <c r="O77" s="15"/>
    </row>
    <row r="78" spans="1:16" ht="17.25" thickBot="1">
      <c r="A78" s="34"/>
      <c r="B78" s="35"/>
      <c r="C78" s="10"/>
      <c r="D78" s="70" t="s">
        <v>81</v>
      </c>
      <c r="E78" s="15">
        <f>N74</f>
        <v>2039311.89</v>
      </c>
      <c r="F78" s="71"/>
      <c r="H78" s="25"/>
      <c r="I78" s="14"/>
      <c r="J78" s="14"/>
      <c r="K78" s="14"/>
      <c r="L78" s="9"/>
      <c r="M78" s="74"/>
      <c r="N78" s="71"/>
      <c r="O78" s="74"/>
    </row>
    <row r="79" spans="1:16" ht="17.25" thickBot="1">
      <c r="A79" s="34"/>
      <c r="B79" s="35"/>
      <c r="C79" s="121" t="s">
        <v>87</v>
      </c>
      <c r="D79" s="122"/>
      <c r="E79" s="123">
        <f>SUM(E76:E78)</f>
        <v>7667552.6600000001</v>
      </c>
      <c r="F79" s="92" t="s">
        <v>88</v>
      </c>
      <c r="G79" s="93">
        <v>7675340</v>
      </c>
      <c r="I79" s="180" t="s">
        <v>97</v>
      </c>
      <c r="J79" s="181"/>
      <c r="K79" s="182">
        <f>G79-E79</f>
        <v>7787.339999999851</v>
      </c>
      <c r="L79" s="85" t="s">
        <v>121</v>
      </c>
      <c r="M79" s="85"/>
      <c r="N79" s="84"/>
      <c r="O79" s="82"/>
    </row>
    <row r="80" spans="1:16">
      <c r="A80" s="34"/>
      <c r="B80" s="35"/>
      <c r="C80" s="10"/>
      <c r="D80" s="70"/>
      <c r="E80" s="15"/>
      <c r="F80" s="71"/>
      <c r="G80" s="25"/>
      <c r="H80" s="25"/>
      <c r="I80" s="14"/>
      <c r="J80" s="14"/>
      <c r="K80" s="14"/>
      <c r="L80" s="85"/>
      <c r="M80" s="85"/>
      <c r="N80" s="86"/>
      <c r="O80" s="83"/>
    </row>
    <row r="81" spans="1:16">
      <c r="A81" s="34"/>
      <c r="B81" s="35"/>
      <c r="C81" s="10"/>
      <c r="D81" s="70"/>
      <c r="E81" s="15"/>
      <c r="F81" s="71"/>
      <c r="G81" s="25"/>
      <c r="H81" s="25"/>
      <c r="L81" s="25"/>
      <c r="N81" s="86"/>
      <c r="O81" s="71"/>
    </row>
    <row r="82" spans="1:16">
      <c r="A82" s="34"/>
      <c r="B82" s="35"/>
      <c r="C82" s="10"/>
      <c r="D82" s="70"/>
      <c r="E82" s="15"/>
      <c r="F82" s="71"/>
      <c r="G82" s="25"/>
      <c r="H82" s="25"/>
      <c r="L82" s="74"/>
      <c r="M82" s="71"/>
      <c r="N82" s="71"/>
      <c r="O82" s="71"/>
    </row>
    <row r="83" spans="1:16" ht="17.25" thickBot="1">
      <c r="A83" s="34"/>
      <c r="B83" s="35"/>
      <c r="C83" s="10"/>
      <c r="D83" s="70"/>
      <c r="E83" s="15"/>
      <c r="F83" s="71"/>
      <c r="G83" s="25"/>
      <c r="H83" s="25"/>
      <c r="L83" s="74"/>
      <c r="M83" s="74"/>
      <c r="N83" s="74"/>
      <c r="O83" s="71"/>
    </row>
    <row r="84" spans="1:16" ht="17.25" thickBot="1">
      <c r="B84" s="24" t="s">
        <v>26</v>
      </c>
      <c r="C84" s="97" t="s">
        <v>55</v>
      </c>
      <c r="D84" s="97" t="s">
        <v>56</v>
      </c>
      <c r="E84" s="94" t="s">
        <v>66</v>
      </c>
      <c r="F84" s="94" t="s">
        <v>68</v>
      </c>
      <c r="G84" s="94" t="s">
        <v>71</v>
      </c>
      <c r="H84" s="94" t="s">
        <v>72</v>
      </c>
      <c r="I84" s="94" t="s">
        <v>73</v>
      </c>
      <c r="J84" s="94" t="s">
        <v>78</v>
      </c>
      <c r="K84" s="94" t="s">
        <v>77</v>
      </c>
      <c r="L84" s="94" t="s">
        <v>74</v>
      </c>
      <c r="M84" s="94" t="s">
        <v>75</v>
      </c>
      <c r="N84" s="94" t="s">
        <v>76</v>
      </c>
      <c r="O84" s="98" t="s">
        <v>54</v>
      </c>
    </row>
    <row r="85" spans="1:16">
      <c r="B85" s="21" t="s">
        <v>27</v>
      </c>
      <c r="C85" s="28">
        <f t="shared" ref="C85:N85" si="21">C19+C35+C54+C61</f>
        <v>135512.15</v>
      </c>
      <c r="D85" s="28">
        <f t="shared" si="21"/>
        <v>133959.5</v>
      </c>
      <c r="E85" s="28">
        <f t="shared" si="21"/>
        <v>132948.98000000001</v>
      </c>
      <c r="F85" s="28">
        <f t="shared" si="21"/>
        <v>134749.20000000001</v>
      </c>
      <c r="G85" s="28">
        <f t="shared" si="21"/>
        <v>145673.71</v>
      </c>
      <c r="H85" s="28">
        <f t="shared" si="21"/>
        <v>138590.83000000002</v>
      </c>
      <c r="I85" s="28">
        <f t="shared" si="21"/>
        <v>138780.41</v>
      </c>
      <c r="J85" s="28">
        <f t="shared" si="21"/>
        <v>138931.04</v>
      </c>
      <c r="K85" s="28">
        <f t="shared" si="21"/>
        <v>146749.09</v>
      </c>
      <c r="L85" s="28">
        <f t="shared" si="21"/>
        <v>148753.59</v>
      </c>
      <c r="M85" s="28">
        <f t="shared" si="21"/>
        <v>140931.35</v>
      </c>
      <c r="N85" s="28">
        <f t="shared" si="21"/>
        <v>152695.79999999999</v>
      </c>
      <c r="O85" s="28">
        <f>SUM(C85:N85)</f>
        <v>1688275.6500000004</v>
      </c>
      <c r="P85" s="345">
        <v>1696867.3</v>
      </c>
    </row>
    <row r="86" spans="1:16">
      <c r="B86" s="22" t="s">
        <v>28</v>
      </c>
      <c r="C86" s="26">
        <f t="shared" ref="C86:N86" si="22">C36+C45+C62</f>
        <v>8268</v>
      </c>
      <c r="D86" s="26">
        <f t="shared" si="22"/>
        <v>7894</v>
      </c>
      <c r="E86" s="26">
        <f t="shared" si="22"/>
        <v>8511</v>
      </c>
      <c r="F86" s="26">
        <f t="shared" si="22"/>
        <v>8249</v>
      </c>
      <c r="G86" s="26">
        <f t="shared" si="22"/>
        <v>8277</v>
      </c>
      <c r="H86" s="26">
        <f t="shared" si="22"/>
        <v>8364</v>
      </c>
      <c r="I86" s="26">
        <f t="shared" si="22"/>
        <v>7804</v>
      </c>
      <c r="J86" s="26">
        <f t="shared" si="22"/>
        <v>8418</v>
      </c>
      <c r="K86" s="26">
        <f t="shared" si="22"/>
        <v>10037</v>
      </c>
      <c r="L86" s="26">
        <f t="shared" si="22"/>
        <v>10609</v>
      </c>
      <c r="M86" s="26">
        <f t="shared" si="22"/>
        <v>7939</v>
      </c>
      <c r="N86" s="26">
        <f t="shared" si="22"/>
        <v>10819</v>
      </c>
      <c r="O86" s="28">
        <f t="shared" ref="O86:O90" si="23">SUM(C86:N86)</f>
        <v>105189</v>
      </c>
      <c r="P86" s="345">
        <v>106425</v>
      </c>
    </row>
    <row r="87" spans="1:16" ht="20.25" customHeight="1">
      <c r="B87" s="22" t="s">
        <v>29</v>
      </c>
      <c r="C87" s="26">
        <f>C20+C63+C30+C48</f>
        <v>25817.1</v>
      </c>
      <c r="D87" s="26">
        <f t="shared" ref="D87:N87" si="24">D20+D63+D30+D48</f>
        <v>27533.84</v>
      </c>
      <c r="E87" s="26">
        <f t="shared" si="24"/>
        <v>25382.65</v>
      </c>
      <c r="F87" s="26">
        <f t="shared" si="24"/>
        <v>30557.45</v>
      </c>
      <c r="G87" s="26">
        <f t="shared" si="24"/>
        <v>32998.159999999996</v>
      </c>
      <c r="H87" s="26">
        <f t="shared" si="24"/>
        <v>27937.52</v>
      </c>
      <c r="I87" s="26">
        <f t="shared" si="24"/>
        <v>29237.74</v>
      </c>
      <c r="J87" s="26">
        <f t="shared" si="24"/>
        <v>28902.58</v>
      </c>
      <c r="K87" s="26">
        <f t="shared" si="24"/>
        <v>30839.11</v>
      </c>
      <c r="L87" s="26">
        <f t="shared" si="24"/>
        <v>32570.6</v>
      </c>
      <c r="M87" s="26">
        <f t="shared" si="24"/>
        <v>36607.69</v>
      </c>
      <c r="N87" s="26">
        <f t="shared" si="24"/>
        <v>44858</v>
      </c>
      <c r="O87" s="28">
        <f t="shared" si="23"/>
        <v>373242.43999999994</v>
      </c>
      <c r="P87" s="345">
        <v>378699.75</v>
      </c>
    </row>
    <row r="88" spans="1:16" ht="20.25" customHeight="1" thickBot="1">
      <c r="B88" s="23" t="s">
        <v>30</v>
      </c>
      <c r="C88" s="27">
        <f t="shared" ref="C88:N88" si="25">C21+C46</f>
        <v>17933.03</v>
      </c>
      <c r="D88" s="27">
        <f t="shared" si="25"/>
        <v>29498.13</v>
      </c>
      <c r="E88" s="27">
        <f t="shared" si="25"/>
        <v>30060.98</v>
      </c>
      <c r="F88" s="27">
        <f t="shared" si="25"/>
        <v>26181.45</v>
      </c>
      <c r="G88" s="27">
        <f t="shared" si="25"/>
        <v>32060.13</v>
      </c>
      <c r="H88" s="27">
        <f t="shared" si="25"/>
        <v>24042.32</v>
      </c>
      <c r="I88" s="27">
        <f t="shared" si="25"/>
        <v>22574.33</v>
      </c>
      <c r="J88" s="27">
        <f t="shared" si="25"/>
        <v>30896.89</v>
      </c>
      <c r="K88" s="27">
        <f t="shared" si="25"/>
        <v>26510.93</v>
      </c>
      <c r="L88" s="27">
        <f t="shared" si="25"/>
        <v>22450.91</v>
      </c>
      <c r="M88" s="27">
        <f t="shared" si="25"/>
        <v>29583.83</v>
      </c>
      <c r="N88" s="27">
        <f t="shared" si="25"/>
        <v>36725.47</v>
      </c>
      <c r="O88" s="43">
        <f t="shared" si="23"/>
        <v>328518.40000000002</v>
      </c>
      <c r="P88" s="345">
        <v>334715.57</v>
      </c>
    </row>
    <row r="89" spans="1:16" ht="17.25" thickBot="1">
      <c r="B89" s="24" t="s">
        <v>31</v>
      </c>
      <c r="C89" s="41">
        <f>SUM(C85:C88)</f>
        <v>187530.28</v>
      </c>
      <c r="D89" s="41">
        <f t="shared" ref="D89:K89" si="26">SUM(D85:D88)</f>
        <v>198885.47</v>
      </c>
      <c r="E89" s="41">
        <f t="shared" si="26"/>
        <v>196903.61000000002</v>
      </c>
      <c r="F89" s="41">
        <f t="shared" si="26"/>
        <v>199737.10000000003</v>
      </c>
      <c r="G89" s="41">
        <f t="shared" si="26"/>
        <v>219009</v>
      </c>
      <c r="H89" s="41">
        <f t="shared" si="26"/>
        <v>198934.67</v>
      </c>
      <c r="I89" s="41">
        <f t="shared" si="26"/>
        <v>198396.47999999998</v>
      </c>
      <c r="J89" s="41">
        <f t="shared" si="26"/>
        <v>207148.51</v>
      </c>
      <c r="K89" s="41">
        <f t="shared" si="26"/>
        <v>214136.13</v>
      </c>
      <c r="L89" s="41">
        <f>SUM(L85:L88)</f>
        <v>214384.1</v>
      </c>
      <c r="M89" s="41">
        <f t="shared" ref="M89:N89" si="27">SUM(M85:M88)</f>
        <v>215061.87</v>
      </c>
      <c r="N89" s="51">
        <f t="shared" si="27"/>
        <v>245098.27</v>
      </c>
      <c r="O89" s="89">
        <f t="shared" si="23"/>
        <v>2495225.4900000002</v>
      </c>
      <c r="P89" s="41">
        <f>SUM(P85:P88)</f>
        <v>2516707.6199999996</v>
      </c>
    </row>
    <row r="90" spans="1:16" ht="17.25" thickBot="1">
      <c r="B90" s="42" t="s">
        <v>32</v>
      </c>
      <c r="C90" s="43">
        <f t="shared" ref="C90:K90" si="28">SUM(C12:C18)+SUM(C41:C44)+C47+C68</f>
        <v>427404.41</v>
      </c>
      <c r="D90" s="43">
        <f t="shared" si="28"/>
        <v>411839.17999999993</v>
      </c>
      <c r="E90" s="43">
        <f t="shared" si="28"/>
        <v>403192.88999999996</v>
      </c>
      <c r="F90" s="43">
        <f t="shared" si="28"/>
        <v>401584.89</v>
      </c>
      <c r="G90" s="43">
        <f t="shared" si="28"/>
        <v>424334.75</v>
      </c>
      <c r="H90" s="43">
        <f t="shared" si="28"/>
        <v>387783.61</v>
      </c>
      <c r="I90" s="43">
        <f t="shared" si="28"/>
        <v>423024.18999999994</v>
      </c>
      <c r="J90" s="43">
        <f t="shared" si="28"/>
        <v>382596.54999999993</v>
      </c>
      <c r="K90" s="43">
        <f t="shared" si="28"/>
        <v>404476.57999999996</v>
      </c>
      <c r="L90" s="43">
        <f>SUM(L12:L18)+SUM(L41:L44)+L47+L68+L49</f>
        <v>443383.05</v>
      </c>
      <c r="M90" s="43">
        <f t="shared" ref="M90:N90" si="29">SUM(M12:M18)+SUM(M41:M44)+M47+M68+M49</f>
        <v>459335.67999999999</v>
      </c>
      <c r="N90" s="43">
        <f t="shared" si="29"/>
        <v>399800.24</v>
      </c>
      <c r="O90" s="28">
        <f t="shared" si="23"/>
        <v>4968756.0199999996</v>
      </c>
      <c r="P90" s="43">
        <f t="shared" ref="P90" si="30">SUM(P12:P18)+SUM(P41:P44)+P47+P68</f>
        <v>415163.75166666665</v>
      </c>
    </row>
    <row r="91" spans="1:16" ht="17.25" thickBot="1">
      <c r="B91" s="24" t="s">
        <v>43</v>
      </c>
      <c r="C91" s="37">
        <f t="shared" ref="C91:O91" si="31">C89+C90</f>
        <v>614934.68999999994</v>
      </c>
      <c r="D91" s="37">
        <f t="shared" si="31"/>
        <v>610724.64999999991</v>
      </c>
      <c r="E91" s="37">
        <f t="shared" si="31"/>
        <v>600096.5</v>
      </c>
      <c r="F91" s="37">
        <f t="shared" si="31"/>
        <v>601321.99</v>
      </c>
      <c r="G91" s="37">
        <f t="shared" si="31"/>
        <v>643343.75</v>
      </c>
      <c r="H91" s="37">
        <f t="shared" si="31"/>
        <v>586718.28</v>
      </c>
      <c r="I91" s="37">
        <f t="shared" si="31"/>
        <v>621420.66999999993</v>
      </c>
      <c r="J91" s="37">
        <f t="shared" si="31"/>
        <v>589745.05999999994</v>
      </c>
      <c r="K91" s="37">
        <f t="shared" si="31"/>
        <v>618612.71</v>
      </c>
      <c r="L91" s="37">
        <f t="shared" si="31"/>
        <v>657767.15</v>
      </c>
      <c r="M91" s="37">
        <f t="shared" si="31"/>
        <v>674397.55</v>
      </c>
      <c r="N91" s="37">
        <f t="shared" si="31"/>
        <v>644898.51</v>
      </c>
      <c r="O91" s="37">
        <f t="shared" si="31"/>
        <v>7463981.5099999998</v>
      </c>
      <c r="P91" s="37">
        <f t="shared" ref="P91" si="32">P89+P90</f>
        <v>2931871.3716666661</v>
      </c>
    </row>
    <row r="92" spans="1:16"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6">
      <c r="B93" s="9" t="s">
        <v>94</v>
      </c>
      <c r="C93" s="10">
        <f t="shared" ref="C93:F93" si="33">C31</f>
        <v>9988.74</v>
      </c>
      <c r="D93" s="10">
        <f t="shared" si="33"/>
        <v>14257.320000000002</v>
      </c>
      <c r="E93" s="10">
        <f t="shared" si="33"/>
        <v>10567.28</v>
      </c>
      <c r="F93" s="10">
        <f t="shared" si="33"/>
        <v>4711.7700000000004</v>
      </c>
      <c r="G93" s="10">
        <f>G26+G27+G28+G29</f>
        <v>10281.439999999999</v>
      </c>
      <c r="H93" s="10">
        <f t="shared" ref="H93:O93" si="34">H26+H27+H28+H29</f>
        <v>11005.32</v>
      </c>
      <c r="I93" s="10">
        <f t="shared" si="34"/>
        <v>19252.239999999998</v>
      </c>
      <c r="J93" s="10">
        <f t="shared" si="34"/>
        <v>29624.2</v>
      </c>
      <c r="K93" s="10">
        <f t="shared" si="34"/>
        <v>31634.159999999996</v>
      </c>
      <c r="L93" s="10">
        <f t="shared" si="34"/>
        <v>28951.37</v>
      </c>
      <c r="M93" s="10">
        <f t="shared" si="34"/>
        <v>33297.31</v>
      </c>
      <c r="N93" s="10">
        <f t="shared" si="34"/>
        <v>0</v>
      </c>
      <c r="O93" s="10">
        <f t="shared" si="34"/>
        <v>203571.15</v>
      </c>
      <c r="P93" s="345"/>
    </row>
    <row r="94" spans="1:16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>
        <f>SUM(O93-O31)</f>
        <v>-48.089999999996508</v>
      </c>
    </row>
    <row r="95" spans="1:16">
      <c r="B95" s="9" t="s">
        <v>67</v>
      </c>
      <c r="C95" s="10">
        <f>C91+C93</f>
        <v>624923.42999999993</v>
      </c>
      <c r="D95" s="10">
        <f t="shared" ref="D95:O95" si="35">D91+D93</f>
        <v>624981.96999999986</v>
      </c>
      <c r="E95" s="10">
        <f t="shared" si="35"/>
        <v>610663.78</v>
      </c>
      <c r="F95" s="10">
        <f t="shared" si="35"/>
        <v>606033.76</v>
      </c>
      <c r="G95" s="10">
        <f t="shared" si="35"/>
        <v>653625.18999999994</v>
      </c>
      <c r="H95" s="10">
        <f t="shared" si="35"/>
        <v>597723.6</v>
      </c>
      <c r="I95" s="10">
        <f t="shared" si="35"/>
        <v>640672.90999999992</v>
      </c>
      <c r="J95" s="10">
        <f t="shared" si="35"/>
        <v>619369.25999999989</v>
      </c>
      <c r="K95" s="10">
        <f t="shared" si="35"/>
        <v>650246.87</v>
      </c>
      <c r="L95" s="10">
        <f t="shared" si="35"/>
        <v>686718.52</v>
      </c>
      <c r="M95" s="10">
        <f t="shared" si="35"/>
        <v>707694.8600000001</v>
      </c>
      <c r="N95" s="10">
        <f t="shared" si="35"/>
        <v>644898.51</v>
      </c>
      <c r="O95" s="10">
        <f t="shared" si="35"/>
        <v>7667552.6600000001</v>
      </c>
    </row>
    <row r="96" spans="1:16">
      <c r="A96" s="2" t="s">
        <v>93</v>
      </c>
      <c r="B96" s="9"/>
      <c r="C96" s="10">
        <f>SUM(C22+C31+C37+C50+C54+C64+C68-C95)</f>
        <v>0</v>
      </c>
      <c r="D96" s="10">
        <f t="shared" ref="D96:P96" si="36">SUM(D22+D31+D37+D50+D54+D64+D68-D95)</f>
        <v>1.1641532182693481E-10</v>
      </c>
      <c r="E96" s="10">
        <f t="shared" si="36"/>
        <v>0</v>
      </c>
      <c r="F96" s="10">
        <f t="shared" si="36"/>
        <v>0</v>
      </c>
      <c r="G96" s="10">
        <f t="shared" si="36"/>
        <v>1.1641532182693481E-10</v>
      </c>
      <c r="H96" s="10">
        <f t="shared" si="36"/>
        <v>1.1641532182693481E-10</v>
      </c>
      <c r="I96" s="10">
        <f t="shared" si="36"/>
        <v>0</v>
      </c>
      <c r="J96" s="10">
        <f t="shared" si="36"/>
        <v>1.1641532182693481E-10</v>
      </c>
      <c r="K96" s="10">
        <f t="shared" si="36"/>
        <v>-1.1641532182693481E-10</v>
      </c>
      <c r="L96" s="10">
        <f t="shared" si="36"/>
        <v>0</v>
      </c>
      <c r="M96" s="10">
        <f t="shared" si="36"/>
        <v>-2.3283064365386963E-10</v>
      </c>
      <c r="N96" s="10">
        <f t="shared" si="36"/>
        <v>0</v>
      </c>
      <c r="O96" s="10">
        <f t="shared" si="36"/>
        <v>-9.3132257461547852E-10</v>
      </c>
      <c r="P96" s="346">
        <f t="shared" si="36"/>
        <v>793856.38166666648</v>
      </c>
    </row>
    <row r="97" spans="2:16"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 t="s">
        <v>95</v>
      </c>
      <c r="O97" s="10">
        <f>G79</f>
        <v>7675340</v>
      </c>
    </row>
    <row r="98" spans="2:16" ht="17.25" thickBot="1">
      <c r="B98" s="9"/>
      <c r="C98" s="10"/>
      <c r="N98" s="2" t="s">
        <v>96</v>
      </c>
      <c r="O98" s="1">
        <f>SUM(O97-O95)</f>
        <v>7787.339999999851</v>
      </c>
    </row>
    <row r="99" spans="2:16" ht="17.25" thickBot="1">
      <c r="B99" s="138" t="s">
        <v>105</v>
      </c>
      <c r="C99" s="102" t="s">
        <v>50</v>
      </c>
      <c r="D99" s="97" t="s">
        <v>51</v>
      </c>
      <c r="E99" s="97" t="s">
        <v>52</v>
      </c>
      <c r="F99" s="98" t="s">
        <v>53</v>
      </c>
      <c r="G99" s="124"/>
      <c r="H99" s="124"/>
      <c r="I99" s="124"/>
      <c r="J99" s="9"/>
      <c r="K99" s="9"/>
      <c r="L99" s="9"/>
      <c r="M99" s="124"/>
      <c r="N99" s="124"/>
      <c r="O99" s="25"/>
      <c r="P99" s="345"/>
    </row>
    <row r="100" spans="2:16" ht="15.75" customHeight="1">
      <c r="B100" s="141" t="s">
        <v>33</v>
      </c>
      <c r="C100" s="28">
        <f>O19</f>
        <v>640151.85</v>
      </c>
      <c r="D100" s="11"/>
      <c r="E100" s="28">
        <f>O20+O30</f>
        <v>276234.44</v>
      </c>
      <c r="F100" s="28">
        <f>O21</f>
        <v>309015.40000000002</v>
      </c>
      <c r="G100" s="13"/>
      <c r="H100" s="13"/>
      <c r="I100" s="13"/>
      <c r="J100" s="9"/>
      <c r="K100" s="9"/>
      <c r="L100" s="10"/>
      <c r="M100" s="10"/>
      <c r="N100" s="13"/>
    </row>
    <row r="101" spans="2:16" ht="15.75" customHeight="1">
      <c r="B101" s="139" t="s">
        <v>34</v>
      </c>
      <c r="C101" s="26">
        <f>O35</f>
        <v>19379</v>
      </c>
      <c r="D101" s="26">
        <f>O36</f>
        <v>7581</v>
      </c>
      <c r="E101" s="31"/>
      <c r="F101" s="31"/>
      <c r="G101" s="14"/>
      <c r="H101" s="14"/>
      <c r="I101" s="14"/>
      <c r="J101" s="9"/>
      <c r="K101" s="9"/>
      <c r="L101" s="10"/>
      <c r="M101" s="9"/>
      <c r="N101" s="14"/>
    </row>
    <row r="102" spans="2:16" ht="15.75" customHeight="1">
      <c r="B102" s="139" t="s">
        <v>36</v>
      </c>
      <c r="C102" s="26"/>
      <c r="D102" s="26">
        <f>O45</f>
        <v>40870</v>
      </c>
      <c r="E102" s="26">
        <f>O48</f>
        <v>3236</v>
      </c>
      <c r="F102" s="26">
        <f>O46</f>
        <v>19503</v>
      </c>
      <c r="G102" s="13"/>
      <c r="H102" s="13"/>
      <c r="I102" s="13"/>
      <c r="J102" s="9"/>
      <c r="K102" s="9"/>
      <c r="L102" s="10"/>
      <c r="M102" s="10"/>
      <c r="N102" s="13"/>
    </row>
    <row r="103" spans="2:16" ht="15.75" customHeight="1">
      <c r="B103" s="139" t="s">
        <v>42</v>
      </c>
      <c r="C103" s="26">
        <f>O54</f>
        <v>911466</v>
      </c>
      <c r="D103" s="31"/>
      <c r="E103" s="31"/>
      <c r="F103" s="31"/>
      <c r="G103" s="14"/>
      <c r="H103" s="14"/>
      <c r="I103" s="14"/>
      <c r="J103" s="9"/>
      <c r="K103" s="9"/>
      <c r="L103" s="10"/>
      <c r="M103" s="9"/>
      <c r="N103" s="14"/>
    </row>
    <row r="104" spans="2:16" ht="15.75" customHeight="1">
      <c r="B104" s="139" t="s">
        <v>35</v>
      </c>
      <c r="C104" s="26">
        <f>O61</f>
        <v>117278.8</v>
      </c>
      <c r="D104" s="26">
        <f>O62</f>
        <v>56738</v>
      </c>
      <c r="E104" s="26">
        <f>O63</f>
        <v>93772</v>
      </c>
      <c r="F104" s="31"/>
      <c r="G104" s="14"/>
      <c r="H104" s="14"/>
      <c r="I104" s="14"/>
      <c r="J104" s="14"/>
      <c r="K104" s="14"/>
      <c r="L104" s="14"/>
      <c r="M104" s="14"/>
      <c r="N104" s="14"/>
    </row>
    <row r="105" spans="2:16" ht="15.75" customHeight="1" thickBot="1">
      <c r="B105" s="140" t="s">
        <v>106</v>
      </c>
      <c r="C105" s="27"/>
      <c r="D105" s="27"/>
      <c r="E105" s="27">
        <f>O30</f>
        <v>48.09</v>
      </c>
      <c r="F105" s="12"/>
      <c r="G105" s="14"/>
      <c r="H105" s="14"/>
      <c r="I105" s="14"/>
      <c r="J105" s="14"/>
      <c r="K105" s="14"/>
      <c r="L105" s="14"/>
      <c r="M105" s="14"/>
      <c r="N105" s="14"/>
    </row>
    <row r="106" spans="2:16" ht="15.75" customHeight="1" thickBot="1">
      <c r="B106" s="30" t="s">
        <v>85</v>
      </c>
      <c r="C106" s="29">
        <f>SUM(C100:C105)</f>
        <v>1688275.6500000001</v>
      </c>
      <c r="D106" s="29">
        <f t="shared" ref="D106:F106" si="37">SUM(D100:D105)</f>
        <v>105189</v>
      </c>
      <c r="E106" s="29">
        <f t="shared" si="37"/>
        <v>373290.53</v>
      </c>
      <c r="F106" s="47">
        <f t="shared" si="37"/>
        <v>328518.40000000002</v>
      </c>
      <c r="G106" s="10"/>
      <c r="H106" s="10"/>
      <c r="I106" s="10"/>
      <c r="J106" s="10"/>
      <c r="K106" s="10"/>
      <c r="L106" s="10"/>
      <c r="M106" s="10"/>
      <c r="N106" s="10"/>
    </row>
    <row r="107" spans="2:16">
      <c r="B107" s="17"/>
      <c r="C107" s="1"/>
      <c r="D107" s="1"/>
      <c r="E107" s="1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2:16">
      <c r="B108" s="17"/>
      <c r="C108" s="1"/>
      <c r="D108" s="1"/>
      <c r="E108" s="1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2:16">
      <c r="B109" s="91"/>
      <c r="C109" s="1"/>
      <c r="D109" s="1"/>
      <c r="E109" s="1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2:16">
      <c r="B110" s="91"/>
      <c r="C110" s="1"/>
      <c r="D110" s="1"/>
      <c r="E110" s="1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2:16">
      <c r="B111" s="17"/>
      <c r="C111" s="1"/>
      <c r="D111" s="1"/>
      <c r="E111" s="1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2:16">
      <c r="B112" s="17"/>
      <c r="C112" s="1"/>
      <c r="D112" s="1"/>
      <c r="E112" s="1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5">
      <c r="B113" s="17"/>
      <c r="C113" s="1"/>
      <c r="D113" s="1"/>
      <c r="E113" s="1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5">
      <c r="B114" s="1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7.25" thickBot="1">
      <c r="B115" s="17" t="s">
        <v>107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7.25" thickBot="1">
      <c r="A116" s="124"/>
      <c r="B116" s="60" t="s">
        <v>8</v>
      </c>
      <c r="C116" s="97" t="s">
        <v>55</v>
      </c>
      <c r="D116" s="97" t="s">
        <v>56</v>
      </c>
      <c r="E116" s="94" t="s">
        <v>66</v>
      </c>
      <c r="F116" s="94" t="s">
        <v>68</v>
      </c>
      <c r="G116" s="94" t="s">
        <v>71</v>
      </c>
      <c r="H116" s="94" t="s">
        <v>72</v>
      </c>
      <c r="I116" s="94" t="s">
        <v>73</v>
      </c>
      <c r="J116" s="94" t="s">
        <v>78</v>
      </c>
      <c r="K116" s="94" t="s">
        <v>77</v>
      </c>
      <c r="L116" s="94" t="s">
        <v>74</v>
      </c>
      <c r="M116" s="94" t="s">
        <v>75</v>
      </c>
      <c r="N116" s="94" t="s">
        <v>76</v>
      </c>
      <c r="O116" s="98" t="s">
        <v>54</v>
      </c>
    </row>
    <row r="117" spans="1:15">
      <c r="A117" s="14"/>
      <c r="B117" s="11" t="s">
        <v>63</v>
      </c>
      <c r="C117" s="28">
        <f t="shared" ref="C117:N117" si="38">C14</f>
        <v>59504.2</v>
      </c>
      <c r="D117" s="28">
        <f t="shared" si="38"/>
        <v>50798.07</v>
      </c>
      <c r="E117" s="28">
        <f t="shared" si="38"/>
        <v>54515.69</v>
      </c>
      <c r="F117" s="28">
        <f t="shared" si="38"/>
        <v>51138.46</v>
      </c>
      <c r="G117" s="28">
        <f t="shared" si="38"/>
        <v>57750.39</v>
      </c>
      <c r="H117" s="28">
        <f t="shared" si="38"/>
        <v>45940.22</v>
      </c>
      <c r="I117" s="28">
        <f t="shared" si="38"/>
        <v>57449.24</v>
      </c>
      <c r="J117" s="28">
        <f t="shared" si="38"/>
        <v>53669.72</v>
      </c>
      <c r="K117" s="28">
        <f t="shared" si="38"/>
        <v>52441.65</v>
      </c>
      <c r="L117" s="28">
        <f t="shared" si="38"/>
        <v>63708.91</v>
      </c>
      <c r="M117" s="28">
        <f t="shared" si="38"/>
        <v>62836.91</v>
      </c>
      <c r="N117" s="28">
        <f t="shared" si="38"/>
        <v>55702.51</v>
      </c>
      <c r="O117" s="28">
        <f>SUM(C117:N117)</f>
        <v>665455.97000000009</v>
      </c>
    </row>
    <row r="118" spans="1:15" ht="17.25" thickBot="1">
      <c r="A118" s="14"/>
      <c r="B118" s="12" t="s">
        <v>64</v>
      </c>
      <c r="C118" s="27">
        <f t="shared" ref="C118:N118" si="39">C26</f>
        <v>957.94</v>
      </c>
      <c r="D118" s="27">
        <f t="shared" si="39"/>
        <v>3351.51</v>
      </c>
      <c r="E118" s="27">
        <f t="shared" si="39"/>
        <v>1038.83</v>
      </c>
      <c r="F118" s="27">
        <f t="shared" si="39"/>
        <v>1312.73</v>
      </c>
      <c r="G118" s="27">
        <f t="shared" si="39"/>
        <v>2205.21</v>
      </c>
      <c r="H118" s="27">
        <f t="shared" si="39"/>
        <v>4335.8900000000003</v>
      </c>
      <c r="I118" s="27">
        <f t="shared" si="39"/>
        <v>10929.65</v>
      </c>
      <c r="J118" s="27">
        <f t="shared" si="39"/>
        <v>19073.099999999999</v>
      </c>
      <c r="K118" s="27">
        <f t="shared" si="39"/>
        <v>18673.849999999999</v>
      </c>
      <c r="L118" s="27">
        <f t="shared" si="39"/>
        <v>19000.009999999998</v>
      </c>
      <c r="M118" s="27">
        <f t="shared" si="39"/>
        <v>23787.45</v>
      </c>
      <c r="N118" s="27">
        <f t="shared" si="39"/>
        <v>0</v>
      </c>
      <c r="O118" s="28">
        <f>SUM(C118:N118)</f>
        <v>104666.17</v>
      </c>
    </row>
    <row r="119" spans="1:15" ht="17.25" thickBot="1">
      <c r="A119" s="9"/>
      <c r="B119" s="60" t="s">
        <v>12</v>
      </c>
      <c r="C119" s="37">
        <f>SUM(C117:C118)</f>
        <v>60462.14</v>
      </c>
      <c r="D119" s="37">
        <f t="shared" ref="D119:O119" si="40">SUM(D117:D118)</f>
        <v>54149.58</v>
      </c>
      <c r="E119" s="37">
        <f t="shared" si="40"/>
        <v>55554.520000000004</v>
      </c>
      <c r="F119" s="37">
        <f t="shared" si="40"/>
        <v>52451.19</v>
      </c>
      <c r="G119" s="37">
        <f t="shared" si="40"/>
        <v>59955.6</v>
      </c>
      <c r="H119" s="37">
        <f t="shared" si="40"/>
        <v>50276.11</v>
      </c>
      <c r="I119" s="37">
        <f t="shared" si="40"/>
        <v>68378.89</v>
      </c>
      <c r="J119" s="37">
        <f t="shared" si="40"/>
        <v>72742.820000000007</v>
      </c>
      <c r="K119" s="37">
        <f t="shared" si="40"/>
        <v>71115.5</v>
      </c>
      <c r="L119" s="37">
        <f t="shared" si="40"/>
        <v>82708.92</v>
      </c>
      <c r="M119" s="37">
        <f t="shared" si="40"/>
        <v>86624.36</v>
      </c>
      <c r="N119" s="37">
        <f t="shared" si="40"/>
        <v>55702.51</v>
      </c>
      <c r="O119" s="38">
        <f t="shared" si="40"/>
        <v>770122.14000000013</v>
      </c>
    </row>
    <row r="120" spans="1:15" ht="17.25" thickBot="1">
      <c r="B120" s="1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7.25" thickBot="1">
      <c r="B121" s="60" t="s">
        <v>59</v>
      </c>
      <c r="C121" s="97" t="s">
        <v>55</v>
      </c>
      <c r="D121" s="97" t="s">
        <v>56</v>
      </c>
      <c r="E121" s="94" t="s">
        <v>66</v>
      </c>
      <c r="F121" s="94" t="s">
        <v>68</v>
      </c>
      <c r="G121" s="94" t="s">
        <v>71</v>
      </c>
      <c r="H121" s="94" t="s">
        <v>72</v>
      </c>
      <c r="I121" s="94" t="s">
        <v>73</v>
      </c>
      <c r="J121" s="94" t="s">
        <v>78</v>
      </c>
      <c r="K121" s="94" t="s">
        <v>77</v>
      </c>
      <c r="L121" s="94" t="s">
        <v>74</v>
      </c>
      <c r="M121" s="94" t="s">
        <v>75</v>
      </c>
      <c r="N121" s="94" t="s">
        <v>76</v>
      </c>
      <c r="O121" s="98" t="s">
        <v>54</v>
      </c>
    </row>
    <row r="122" spans="1:15">
      <c r="B122" s="11" t="s">
        <v>63</v>
      </c>
      <c r="C122" s="28">
        <f t="shared" ref="C122:N122" si="41">C15</f>
        <v>64420.76</v>
      </c>
      <c r="D122" s="28">
        <f t="shared" si="41"/>
        <v>66679.759999999995</v>
      </c>
      <c r="E122" s="28">
        <f t="shared" si="41"/>
        <v>64928.73</v>
      </c>
      <c r="F122" s="28">
        <f t="shared" si="41"/>
        <v>67605.570000000007</v>
      </c>
      <c r="G122" s="28">
        <f t="shared" si="41"/>
        <v>69265.58</v>
      </c>
      <c r="H122" s="28">
        <f t="shared" si="41"/>
        <v>67718.7</v>
      </c>
      <c r="I122" s="28">
        <f t="shared" si="41"/>
        <v>75910.98</v>
      </c>
      <c r="J122" s="28">
        <f t="shared" si="41"/>
        <v>70815.039999999994</v>
      </c>
      <c r="K122" s="28">
        <f t="shared" si="41"/>
        <v>69415.39</v>
      </c>
      <c r="L122" s="28">
        <f t="shared" si="41"/>
        <v>84298.68</v>
      </c>
      <c r="M122" s="28">
        <f t="shared" si="41"/>
        <v>82629.78</v>
      </c>
      <c r="N122" s="28">
        <f t="shared" si="41"/>
        <v>73760.81</v>
      </c>
      <c r="O122" s="28">
        <f>SUM(C122:N122)</f>
        <v>857449.78</v>
      </c>
    </row>
    <row r="123" spans="1:15">
      <c r="B123" s="31" t="s">
        <v>64</v>
      </c>
      <c r="C123" s="26">
        <f t="shared" ref="C123:N123" si="42">C27</f>
        <v>164.06</v>
      </c>
      <c r="D123" s="26">
        <f t="shared" si="42"/>
        <v>763.62</v>
      </c>
      <c r="E123" s="26">
        <f t="shared" si="42"/>
        <v>788.74</v>
      </c>
      <c r="F123" s="26">
        <f t="shared" si="42"/>
        <v>0</v>
      </c>
      <c r="G123" s="26">
        <f t="shared" si="42"/>
        <v>0</v>
      </c>
      <c r="H123" s="26">
        <f t="shared" si="42"/>
        <v>940.28</v>
      </c>
      <c r="I123" s="26">
        <f t="shared" si="42"/>
        <v>749.41</v>
      </c>
      <c r="J123" s="26">
        <f t="shared" si="42"/>
        <v>791.33</v>
      </c>
      <c r="K123" s="26">
        <f t="shared" si="42"/>
        <v>1072.42</v>
      </c>
      <c r="L123" s="26">
        <f t="shared" si="42"/>
        <v>622.70000000000005</v>
      </c>
      <c r="M123" s="26">
        <f t="shared" si="42"/>
        <v>636.62</v>
      </c>
      <c r="N123" s="26">
        <f t="shared" si="42"/>
        <v>0</v>
      </c>
      <c r="O123" s="28">
        <f>SUM(C123:N123)</f>
        <v>6529.1799999999994</v>
      </c>
    </row>
    <row r="124" spans="1:15">
      <c r="B124" s="49" t="s">
        <v>90</v>
      </c>
      <c r="C124" s="50">
        <f>SUM(C122:C123)</f>
        <v>64584.82</v>
      </c>
      <c r="D124" s="50">
        <f t="shared" ref="D124:O124" si="43">SUM(D122:D123)</f>
        <v>67443.37999999999</v>
      </c>
      <c r="E124" s="50">
        <f t="shared" si="43"/>
        <v>65717.47</v>
      </c>
      <c r="F124" s="50">
        <f t="shared" si="43"/>
        <v>67605.570000000007</v>
      </c>
      <c r="G124" s="50">
        <f t="shared" si="43"/>
        <v>69265.58</v>
      </c>
      <c r="H124" s="50">
        <f t="shared" si="43"/>
        <v>68658.98</v>
      </c>
      <c r="I124" s="50">
        <f t="shared" si="43"/>
        <v>76660.39</v>
      </c>
      <c r="J124" s="50">
        <f t="shared" si="43"/>
        <v>71606.37</v>
      </c>
      <c r="K124" s="50">
        <f t="shared" si="43"/>
        <v>70487.81</v>
      </c>
      <c r="L124" s="50">
        <f t="shared" si="43"/>
        <v>84921.37999999999</v>
      </c>
      <c r="M124" s="50">
        <f t="shared" si="43"/>
        <v>83266.399999999994</v>
      </c>
      <c r="N124" s="50">
        <f t="shared" si="43"/>
        <v>73760.81</v>
      </c>
      <c r="O124" s="50">
        <f t="shared" si="43"/>
        <v>863978.96000000008</v>
      </c>
    </row>
    <row r="125" spans="1:15" ht="17.25" thickBot="1">
      <c r="B125" s="1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7.25" thickBot="1">
      <c r="B126" s="60" t="s">
        <v>58</v>
      </c>
      <c r="C126" s="97" t="s">
        <v>55</v>
      </c>
      <c r="D126" s="97" t="s">
        <v>56</v>
      </c>
      <c r="E126" s="94" t="s">
        <v>66</v>
      </c>
      <c r="F126" s="94" t="s">
        <v>68</v>
      </c>
      <c r="G126" s="94" t="s">
        <v>71</v>
      </c>
      <c r="H126" s="94" t="s">
        <v>72</v>
      </c>
      <c r="I126" s="94" t="s">
        <v>73</v>
      </c>
      <c r="J126" s="94" t="s">
        <v>78</v>
      </c>
      <c r="K126" s="94" t="s">
        <v>77</v>
      </c>
      <c r="L126" s="94" t="s">
        <v>74</v>
      </c>
      <c r="M126" s="94" t="s">
        <v>75</v>
      </c>
      <c r="N126" s="94" t="s">
        <v>76</v>
      </c>
      <c r="O126" s="98" t="s">
        <v>54</v>
      </c>
    </row>
    <row r="127" spans="1:15">
      <c r="B127" s="11" t="s">
        <v>63</v>
      </c>
      <c r="C127" s="28">
        <f t="shared" ref="C127:N127" si="44">C17</f>
        <v>52920.33</v>
      </c>
      <c r="D127" s="28">
        <f t="shared" si="44"/>
        <v>54612.98</v>
      </c>
      <c r="E127" s="28">
        <f t="shared" si="44"/>
        <v>53342.17</v>
      </c>
      <c r="F127" s="28">
        <f t="shared" si="44"/>
        <v>51927.23</v>
      </c>
      <c r="G127" s="28">
        <f t="shared" si="44"/>
        <v>58418.89</v>
      </c>
      <c r="H127" s="28">
        <f t="shared" si="44"/>
        <v>46826.12</v>
      </c>
      <c r="I127" s="28">
        <f t="shared" si="44"/>
        <v>56011.54</v>
      </c>
      <c r="J127" s="28">
        <f t="shared" si="44"/>
        <v>51776.58</v>
      </c>
      <c r="K127" s="28">
        <f t="shared" si="44"/>
        <v>58205.84</v>
      </c>
      <c r="L127" s="28">
        <f t="shared" si="44"/>
        <v>64707.55</v>
      </c>
      <c r="M127" s="28">
        <f t="shared" si="44"/>
        <v>63701.46</v>
      </c>
      <c r="N127" s="28">
        <f t="shared" si="44"/>
        <v>56626.86</v>
      </c>
      <c r="O127" s="28">
        <f>SUM(C127:N127)</f>
        <v>669077.54999999993</v>
      </c>
    </row>
    <row r="128" spans="1:15">
      <c r="B128" s="31" t="s">
        <v>64</v>
      </c>
      <c r="C128" s="26">
        <f t="shared" ref="C128:N128" si="45">C28</f>
        <v>8866.74</v>
      </c>
      <c r="D128" s="26">
        <f t="shared" si="45"/>
        <v>9481.02</v>
      </c>
      <c r="E128" s="26">
        <f t="shared" si="45"/>
        <v>7632.56</v>
      </c>
      <c r="F128" s="26">
        <f t="shared" si="45"/>
        <v>3399.04</v>
      </c>
      <c r="G128" s="26">
        <f t="shared" si="45"/>
        <v>8076.23</v>
      </c>
      <c r="H128" s="26">
        <f t="shared" si="45"/>
        <v>5729.15</v>
      </c>
      <c r="I128" s="26">
        <f t="shared" si="45"/>
        <v>7573.18</v>
      </c>
      <c r="J128" s="26">
        <f t="shared" si="45"/>
        <v>9348.66</v>
      </c>
      <c r="K128" s="26">
        <f t="shared" si="45"/>
        <v>11887.89</v>
      </c>
      <c r="L128" s="26">
        <f t="shared" si="45"/>
        <v>8880.0400000000009</v>
      </c>
      <c r="M128" s="26">
        <f t="shared" si="45"/>
        <v>8873.24</v>
      </c>
      <c r="N128" s="26">
        <f t="shared" si="45"/>
        <v>0</v>
      </c>
      <c r="O128" s="28">
        <f>SUM(C128:N128)</f>
        <v>89747.750000000015</v>
      </c>
    </row>
    <row r="129" spans="2:15">
      <c r="B129" s="49" t="s">
        <v>90</v>
      </c>
      <c r="C129" s="50">
        <f>SUM(C127:C128)</f>
        <v>61787.07</v>
      </c>
      <c r="D129" s="50">
        <f t="shared" ref="D129:O129" si="46">SUM(D127:D128)</f>
        <v>64094</v>
      </c>
      <c r="E129" s="50">
        <f t="shared" si="46"/>
        <v>60974.729999999996</v>
      </c>
      <c r="F129" s="50">
        <f t="shared" si="46"/>
        <v>55326.270000000004</v>
      </c>
      <c r="G129" s="50">
        <f t="shared" si="46"/>
        <v>66495.12</v>
      </c>
      <c r="H129" s="50">
        <f t="shared" si="46"/>
        <v>52555.270000000004</v>
      </c>
      <c r="I129" s="50">
        <f t="shared" si="46"/>
        <v>63584.72</v>
      </c>
      <c r="J129" s="50">
        <f t="shared" si="46"/>
        <v>61125.240000000005</v>
      </c>
      <c r="K129" s="50">
        <f t="shared" si="46"/>
        <v>70093.73</v>
      </c>
      <c r="L129" s="50">
        <f t="shared" si="46"/>
        <v>73587.59</v>
      </c>
      <c r="M129" s="50">
        <f t="shared" si="46"/>
        <v>72574.7</v>
      </c>
      <c r="N129" s="50">
        <f t="shared" si="46"/>
        <v>56626.86</v>
      </c>
      <c r="O129" s="50">
        <f t="shared" si="46"/>
        <v>758825.29999999993</v>
      </c>
    </row>
    <row r="130" spans="2:15" ht="17.25" thickBot="1">
      <c r="B130" s="1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7.25" thickBot="1">
      <c r="B131" s="60" t="s">
        <v>41</v>
      </c>
      <c r="C131" s="97" t="s">
        <v>55</v>
      </c>
      <c r="D131" s="97" t="s">
        <v>56</v>
      </c>
      <c r="E131" s="94" t="s">
        <v>66</v>
      </c>
      <c r="F131" s="94" t="s">
        <v>68</v>
      </c>
      <c r="G131" s="94" t="s">
        <v>71</v>
      </c>
      <c r="H131" s="94" t="s">
        <v>72</v>
      </c>
      <c r="I131" s="94" t="s">
        <v>73</v>
      </c>
      <c r="J131" s="94" t="s">
        <v>78</v>
      </c>
      <c r="K131" s="94" t="s">
        <v>77</v>
      </c>
      <c r="L131" s="94" t="s">
        <v>74</v>
      </c>
      <c r="M131" s="94" t="s">
        <v>75</v>
      </c>
      <c r="N131" s="94" t="s">
        <v>76</v>
      </c>
      <c r="O131" s="98" t="s">
        <v>54</v>
      </c>
    </row>
    <row r="132" spans="2:15">
      <c r="B132" s="11" t="s">
        <v>63</v>
      </c>
      <c r="C132" s="28">
        <f t="shared" ref="C132:N132" si="47">C18</f>
        <v>50702.38</v>
      </c>
      <c r="D132" s="28">
        <f t="shared" si="47"/>
        <v>47502.84</v>
      </c>
      <c r="E132" s="28">
        <f t="shared" si="47"/>
        <v>42166.98</v>
      </c>
      <c r="F132" s="28">
        <f t="shared" si="47"/>
        <v>50893.08</v>
      </c>
      <c r="G132" s="28">
        <f t="shared" si="47"/>
        <v>48746.63</v>
      </c>
      <c r="H132" s="28">
        <f t="shared" si="47"/>
        <v>48706.58</v>
      </c>
      <c r="I132" s="28">
        <f t="shared" si="47"/>
        <v>48406.44</v>
      </c>
      <c r="J132" s="28">
        <f t="shared" si="47"/>
        <v>48998.1</v>
      </c>
      <c r="K132" s="28">
        <f t="shared" si="47"/>
        <v>55159.86</v>
      </c>
      <c r="L132" s="28">
        <f t="shared" si="47"/>
        <v>55877.24</v>
      </c>
      <c r="M132" s="28">
        <f t="shared" si="47"/>
        <v>65822.86</v>
      </c>
      <c r="N132" s="28">
        <f t="shared" si="47"/>
        <v>48988</v>
      </c>
      <c r="O132" s="28">
        <f>SUM(C132:N132)</f>
        <v>611970.99</v>
      </c>
    </row>
    <row r="133" spans="2:15">
      <c r="B133" s="31" t="s">
        <v>64</v>
      </c>
      <c r="C133" s="26">
        <f t="shared" ref="C133:N133" si="48">C29</f>
        <v>0</v>
      </c>
      <c r="D133" s="26">
        <f t="shared" si="48"/>
        <v>661.17</v>
      </c>
      <c r="E133" s="26">
        <f t="shared" si="48"/>
        <v>1107.1500000000001</v>
      </c>
      <c r="F133" s="26">
        <f t="shared" si="48"/>
        <v>0</v>
      </c>
      <c r="G133" s="26">
        <f t="shared" si="48"/>
        <v>0</v>
      </c>
      <c r="H133" s="26">
        <f t="shared" si="48"/>
        <v>0</v>
      </c>
      <c r="I133" s="26">
        <f t="shared" si="48"/>
        <v>0</v>
      </c>
      <c r="J133" s="26">
        <f t="shared" si="48"/>
        <v>411.11</v>
      </c>
      <c r="K133" s="26">
        <f t="shared" si="48"/>
        <v>0</v>
      </c>
      <c r="L133" s="26">
        <f t="shared" si="48"/>
        <v>448.62</v>
      </c>
      <c r="M133" s="26">
        <f t="shared" si="48"/>
        <v>0</v>
      </c>
      <c r="N133" s="26">
        <f t="shared" si="48"/>
        <v>0</v>
      </c>
      <c r="O133" s="28">
        <f>SUM(C133:N133)</f>
        <v>2628.05</v>
      </c>
    </row>
    <row r="134" spans="2:15">
      <c r="B134" s="49" t="s">
        <v>90</v>
      </c>
      <c r="C134" s="50">
        <f>SUM(C132:C133)</f>
        <v>50702.38</v>
      </c>
      <c r="D134" s="50">
        <f t="shared" ref="D134:O134" si="49">SUM(D132:D133)</f>
        <v>48164.009999999995</v>
      </c>
      <c r="E134" s="50">
        <f t="shared" si="49"/>
        <v>43274.130000000005</v>
      </c>
      <c r="F134" s="50">
        <f t="shared" si="49"/>
        <v>50893.08</v>
      </c>
      <c r="G134" s="50">
        <f t="shared" si="49"/>
        <v>48746.63</v>
      </c>
      <c r="H134" s="50">
        <f t="shared" si="49"/>
        <v>48706.58</v>
      </c>
      <c r="I134" s="50">
        <f t="shared" si="49"/>
        <v>48406.44</v>
      </c>
      <c r="J134" s="50">
        <f t="shared" si="49"/>
        <v>49409.21</v>
      </c>
      <c r="K134" s="50">
        <f t="shared" si="49"/>
        <v>55159.86</v>
      </c>
      <c r="L134" s="50">
        <f t="shared" si="49"/>
        <v>56325.86</v>
      </c>
      <c r="M134" s="50">
        <f t="shared" si="49"/>
        <v>65822.86</v>
      </c>
      <c r="N134" s="50">
        <f t="shared" si="49"/>
        <v>48988</v>
      </c>
      <c r="O134" s="50">
        <f t="shared" si="49"/>
        <v>614599.04</v>
      </c>
    </row>
    <row r="135" spans="2:15" ht="17.25" thickBot="1">
      <c r="B135" s="1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7.25" thickBot="1">
      <c r="B136" s="60" t="s">
        <v>44</v>
      </c>
      <c r="C136" s="97" t="s">
        <v>55</v>
      </c>
      <c r="D136" s="97" t="s">
        <v>56</v>
      </c>
      <c r="E136" s="94" t="s">
        <v>66</v>
      </c>
      <c r="F136" s="94" t="s">
        <v>68</v>
      </c>
      <c r="G136" s="94" t="s">
        <v>71</v>
      </c>
      <c r="H136" s="94" t="s">
        <v>72</v>
      </c>
      <c r="I136" s="94" t="s">
        <v>73</v>
      </c>
      <c r="J136" s="94" t="s">
        <v>78</v>
      </c>
      <c r="K136" s="94" t="s">
        <v>77</v>
      </c>
      <c r="L136" s="94" t="s">
        <v>74</v>
      </c>
      <c r="M136" s="94" t="s">
        <v>75</v>
      </c>
      <c r="N136" s="94" t="s">
        <v>76</v>
      </c>
      <c r="O136" s="98" t="s">
        <v>54</v>
      </c>
    </row>
    <row r="137" spans="2:15">
      <c r="B137" s="11" t="s">
        <v>63</v>
      </c>
      <c r="C137" s="28">
        <f t="shared" ref="C137:N137" si="50">C20+C63</f>
        <v>25817.1</v>
      </c>
      <c r="D137" s="28">
        <f t="shared" si="50"/>
        <v>27533.84</v>
      </c>
      <c r="E137" s="28">
        <f t="shared" si="50"/>
        <v>25382.65</v>
      </c>
      <c r="F137" s="28">
        <f t="shared" si="50"/>
        <v>30557.45</v>
      </c>
      <c r="G137" s="28">
        <f t="shared" si="50"/>
        <v>32950.07</v>
      </c>
      <c r="H137" s="28">
        <f t="shared" si="50"/>
        <v>27937.52</v>
      </c>
      <c r="I137" s="28">
        <f t="shared" si="50"/>
        <v>29237.74</v>
      </c>
      <c r="J137" s="28">
        <f t="shared" si="50"/>
        <v>28902.58</v>
      </c>
      <c r="K137" s="28">
        <f t="shared" si="50"/>
        <v>30839.11</v>
      </c>
      <c r="L137" s="28">
        <f t="shared" si="50"/>
        <v>32510.6</v>
      </c>
      <c r="M137" s="28">
        <f t="shared" si="50"/>
        <v>36247.69</v>
      </c>
      <c r="N137" s="28">
        <f t="shared" si="50"/>
        <v>42042</v>
      </c>
      <c r="O137" s="28">
        <f>SUM(C137:N137)</f>
        <v>369958.34999999992</v>
      </c>
    </row>
    <row r="138" spans="2:15" ht="17.25" thickBot="1">
      <c r="B138" s="12" t="s">
        <v>64</v>
      </c>
      <c r="C138" s="27">
        <f t="shared" ref="C138:N138" si="51">C30</f>
        <v>0</v>
      </c>
      <c r="D138" s="27">
        <f t="shared" si="51"/>
        <v>0</v>
      </c>
      <c r="E138" s="27">
        <f t="shared" si="51"/>
        <v>0</v>
      </c>
      <c r="F138" s="27">
        <f t="shared" si="51"/>
        <v>0</v>
      </c>
      <c r="G138" s="27">
        <f t="shared" si="51"/>
        <v>48.09</v>
      </c>
      <c r="H138" s="27">
        <f t="shared" si="51"/>
        <v>0</v>
      </c>
      <c r="I138" s="27">
        <f t="shared" si="51"/>
        <v>0</v>
      </c>
      <c r="J138" s="27">
        <f t="shared" si="51"/>
        <v>0</v>
      </c>
      <c r="K138" s="27">
        <f t="shared" si="51"/>
        <v>0</v>
      </c>
      <c r="L138" s="27">
        <f t="shared" si="51"/>
        <v>0</v>
      </c>
      <c r="M138" s="27">
        <f t="shared" si="51"/>
        <v>0</v>
      </c>
      <c r="N138" s="27">
        <f t="shared" si="51"/>
        <v>0</v>
      </c>
      <c r="O138" s="43">
        <f>SUM(C138:N138)</f>
        <v>48.09</v>
      </c>
    </row>
    <row r="139" spans="2:15" ht="17.25" thickBot="1">
      <c r="B139" s="60" t="s">
        <v>90</v>
      </c>
      <c r="C139" s="37">
        <f>SUM(C137:C138)</f>
        <v>25817.1</v>
      </c>
      <c r="D139" s="37">
        <f t="shared" ref="D139:O139" si="52">SUM(D137:D138)</f>
        <v>27533.84</v>
      </c>
      <c r="E139" s="37">
        <f t="shared" si="52"/>
        <v>25382.65</v>
      </c>
      <c r="F139" s="37">
        <f t="shared" si="52"/>
        <v>30557.45</v>
      </c>
      <c r="G139" s="37">
        <f t="shared" si="52"/>
        <v>32998.159999999996</v>
      </c>
      <c r="H139" s="37">
        <f t="shared" si="52"/>
        <v>27937.52</v>
      </c>
      <c r="I139" s="37">
        <f t="shared" si="52"/>
        <v>29237.74</v>
      </c>
      <c r="J139" s="37">
        <f t="shared" si="52"/>
        <v>28902.58</v>
      </c>
      <c r="K139" s="37">
        <f t="shared" si="52"/>
        <v>30839.11</v>
      </c>
      <c r="L139" s="37">
        <f t="shared" si="52"/>
        <v>32510.6</v>
      </c>
      <c r="M139" s="37">
        <f t="shared" si="52"/>
        <v>36247.69</v>
      </c>
      <c r="N139" s="37">
        <f t="shared" si="52"/>
        <v>42042</v>
      </c>
      <c r="O139" s="38">
        <f t="shared" si="52"/>
        <v>370006.43999999994</v>
      </c>
    </row>
    <row r="140" spans="2:15" ht="17.25" thickBot="1"/>
    <row r="141" spans="2:15">
      <c r="B141" s="747" t="s">
        <v>89</v>
      </c>
      <c r="C141" s="125" t="s">
        <v>55</v>
      </c>
      <c r="D141" s="125" t="s">
        <v>56</v>
      </c>
      <c r="E141" s="125" t="s">
        <v>66</v>
      </c>
      <c r="F141" s="125" t="s">
        <v>68</v>
      </c>
      <c r="G141" s="125" t="s">
        <v>71</v>
      </c>
      <c r="H141" s="125" t="s">
        <v>72</v>
      </c>
      <c r="I141" s="125" t="s">
        <v>73</v>
      </c>
      <c r="J141" s="125" t="s">
        <v>78</v>
      </c>
      <c r="K141" s="125" t="s">
        <v>77</v>
      </c>
      <c r="L141" s="125" t="s">
        <v>74</v>
      </c>
      <c r="M141" s="125" t="s">
        <v>75</v>
      </c>
      <c r="N141" s="125" t="s">
        <v>76</v>
      </c>
      <c r="O141" s="126" t="s">
        <v>54</v>
      </c>
    </row>
    <row r="142" spans="2:15" ht="17.25" thickBot="1">
      <c r="B142" s="748"/>
      <c r="C142" s="75">
        <f>C118+C123+C128+C133+C138</f>
        <v>9988.74</v>
      </c>
      <c r="D142" s="75">
        <f t="shared" ref="D142:O142" si="53">D118+D123+D128+D133+D138</f>
        <v>14257.320000000002</v>
      </c>
      <c r="E142" s="75">
        <f t="shared" si="53"/>
        <v>10567.28</v>
      </c>
      <c r="F142" s="75">
        <f t="shared" si="53"/>
        <v>4711.7700000000004</v>
      </c>
      <c r="G142" s="75">
        <f t="shared" si="53"/>
        <v>10329.529999999999</v>
      </c>
      <c r="H142" s="75">
        <f t="shared" si="53"/>
        <v>11005.32</v>
      </c>
      <c r="I142" s="75">
        <f t="shared" si="53"/>
        <v>19252.239999999998</v>
      </c>
      <c r="J142" s="75">
        <f t="shared" si="53"/>
        <v>29624.2</v>
      </c>
      <c r="K142" s="75">
        <f t="shared" si="53"/>
        <v>31634.159999999996</v>
      </c>
      <c r="L142" s="75">
        <f t="shared" si="53"/>
        <v>28951.37</v>
      </c>
      <c r="M142" s="75">
        <f t="shared" si="53"/>
        <v>33297.31</v>
      </c>
      <c r="N142" s="75">
        <f t="shared" si="53"/>
        <v>0</v>
      </c>
      <c r="O142" s="76">
        <f t="shared" si="53"/>
        <v>203619.24</v>
      </c>
    </row>
    <row r="149" spans="2:3">
      <c r="C149" s="90"/>
    </row>
    <row r="150" spans="2:3">
      <c r="C150" s="91"/>
    </row>
    <row r="153" spans="2:3">
      <c r="C153" s="25"/>
    </row>
    <row r="156" spans="2:3">
      <c r="B156" s="87"/>
      <c r="C156" s="87"/>
    </row>
  </sheetData>
  <mergeCells count="1">
    <mergeCell ref="B141:B142"/>
  </mergeCells>
  <pageMargins left="0.39370078740157483" right="0" top="0" bottom="0" header="0.31496062992125984" footer="0.31496062992125984"/>
  <pageSetup paperSize="9" scale="70" orientation="landscape" r:id="rId1"/>
  <headerFooter>
    <oddFooter>&amp;L&amp;"times ,Regular"&amp;12Intocmit
Monica Matei&amp;11
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workbookViewId="0">
      <selection activeCell="R9" sqref="R9"/>
    </sheetView>
  </sheetViews>
  <sheetFormatPr defaultRowHeight="16.5"/>
  <cols>
    <col min="1" max="1" width="5.7109375" style="136" customWidth="1"/>
    <col min="2" max="2" width="19.85546875" style="136" customWidth="1"/>
    <col min="3" max="6" width="10.42578125" style="136" customWidth="1"/>
    <col min="7" max="7" width="10.28515625" style="136" customWidth="1"/>
    <col min="8" max="8" width="9.85546875" style="136" bestFit="1" customWidth="1"/>
    <col min="9" max="9" width="10.42578125" style="136" customWidth="1"/>
    <col min="10" max="10" width="7.7109375" style="136" customWidth="1"/>
    <col min="11" max="11" width="5.85546875" style="136" bestFit="1" customWidth="1"/>
    <col min="12" max="12" width="10.42578125" style="136" customWidth="1"/>
    <col min="13" max="13" width="8.7109375" style="136" bestFit="1" customWidth="1"/>
    <col min="14" max="14" width="8.85546875" style="136" bestFit="1" customWidth="1"/>
    <col min="15" max="15" width="12.42578125" style="136" bestFit="1" customWidth="1"/>
    <col min="16" max="16" width="13.7109375" style="136" customWidth="1"/>
    <col min="17" max="17" width="11.5703125" style="136" customWidth="1"/>
    <col min="18" max="18" width="15.28515625" style="136" bestFit="1" customWidth="1"/>
    <col min="19" max="19" width="11.140625" style="136" customWidth="1"/>
    <col min="20" max="20" width="12.42578125" style="136" bestFit="1" customWidth="1"/>
    <col min="21" max="22" width="9.85546875" style="136" customWidth="1"/>
    <col min="23" max="23" width="11.7109375" style="136" customWidth="1"/>
    <col min="24" max="24" width="9.42578125" style="136" customWidth="1"/>
    <col min="25" max="25" width="12.42578125" style="136" bestFit="1" customWidth="1"/>
    <col min="26" max="26" width="9.85546875" style="136" bestFit="1" customWidth="1"/>
    <col min="27" max="27" width="10" style="136" bestFit="1" customWidth="1"/>
    <col min="28" max="28" width="12.28515625" style="136" customWidth="1"/>
    <col min="29" max="29" width="10.7109375" style="136" bestFit="1" customWidth="1"/>
    <col min="30" max="30" width="9" style="136" bestFit="1" customWidth="1"/>
    <col min="31" max="31" width="12.42578125" style="136" bestFit="1" customWidth="1"/>
    <col min="32" max="16384" width="9.140625" style="136"/>
  </cols>
  <sheetData>
    <row r="1" spans="1:33">
      <c r="A1" s="129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33">
      <c r="C2" s="10"/>
      <c r="D2" s="10"/>
      <c r="E2" s="10"/>
      <c r="F2" s="10" t="s">
        <v>109</v>
      </c>
      <c r="G2" s="10"/>
      <c r="H2" s="10"/>
      <c r="I2" s="10"/>
      <c r="J2" s="10"/>
      <c r="K2" s="10"/>
      <c r="L2" s="10"/>
      <c r="M2" s="10"/>
      <c r="N2" s="10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  <c r="AG2" s="146"/>
    </row>
    <row r="3" spans="1:33" ht="17.25" thickBot="1"/>
    <row r="4" spans="1:33">
      <c r="A4" s="751" t="s">
        <v>4</v>
      </c>
      <c r="B4" s="753" t="s">
        <v>100</v>
      </c>
      <c r="C4" s="347" t="s">
        <v>110</v>
      </c>
      <c r="D4" s="347" t="s">
        <v>111</v>
      </c>
      <c r="E4" s="347" t="s">
        <v>112</v>
      </c>
      <c r="F4" s="347" t="s">
        <v>113</v>
      </c>
      <c r="G4" s="347" t="s">
        <v>114</v>
      </c>
      <c r="H4" s="347" t="s">
        <v>115</v>
      </c>
      <c r="I4" s="755" t="s">
        <v>116</v>
      </c>
      <c r="J4" s="757" t="s">
        <v>75</v>
      </c>
      <c r="K4" s="755" t="s">
        <v>117</v>
      </c>
      <c r="L4" s="759" t="s">
        <v>108</v>
      </c>
      <c r="M4" s="749" t="s">
        <v>118</v>
      </c>
    </row>
    <row r="5" spans="1:33" ht="17.25" thickBot="1">
      <c r="A5" s="752"/>
      <c r="B5" s="754"/>
      <c r="C5" s="348">
        <v>60</v>
      </c>
      <c r="D5" s="348">
        <v>40</v>
      </c>
      <c r="E5" s="348">
        <v>30</v>
      </c>
      <c r="F5" s="348">
        <v>30</v>
      </c>
      <c r="G5" s="348">
        <v>50</v>
      </c>
      <c r="H5" s="348"/>
      <c r="I5" s="756"/>
      <c r="J5" s="758"/>
      <c r="K5" s="756"/>
      <c r="L5" s="760"/>
      <c r="M5" s="750"/>
    </row>
    <row r="6" spans="1:33">
      <c r="A6" s="147">
        <v>1</v>
      </c>
      <c r="B6" s="148" t="s">
        <v>19</v>
      </c>
      <c r="C6" s="149">
        <v>60</v>
      </c>
      <c r="D6" s="149">
        <v>40</v>
      </c>
      <c r="E6" s="149">
        <v>30</v>
      </c>
      <c r="F6" s="149">
        <v>30</v>
      </c>
      <c r="G6" s="150" t="s">
        <v>119</v>
      </c>
      <c r="H6" s="149">
        <v>70</v>
      </c>
      <c r="I6" s="151">
        <f t="shared" ref="I6:I13" si="0">H6*3</f>
        <v>210</v>
      </c>
      <c r="J6" s="152">
        <f>'AN 2022 LA SERV NOV'!N41</f>
        <v>4825</v>
      </c>
      <c r="K6" s="153">
        <f>J6/F6</f>
        <v>160.83333333333334</v>
      </c>
      <c r="L6" s="150" t="str">
        <f t="shared" ref="L6:L13" si="1">IF(K6&gt;I6,"gresit","corect")</f>
        <v>corect</v>
      </c>
      <c r="M6" s="154">
        <f>I6*F6</f>
        <v>6300</v>
      </c>
      <c r="O6" s="179"/>
    </row>
    <row r="7" spans="1:33">
      <c r="A7" s="155">
        <v>2</v>
      </c>
      <c r="B7" s="156" t="s">
        <v>7</v>
      </c>
      <c r="C7" s="157">
        <v>60</v>
      </c>
      <c r="D7" s="157">
        <v>40</v>
      </c>
      <c r="E7" s="157">
        <v>30</v>
      </c>
      <c r="F7" s="158" t="s">
        <v>119</v>
      </c>
      <c r="G7" s="158" t="s">
        <v>119</v>
      </c>
      <c r="H7" s="157">
        <v>50</v>
      </c>
      <c r="I7" s="159">
        <f t="shared" si="0"/>
        <v>150</v>
      </c>
      <c r="J7" s="152">
        <f>'AN 2022 LA SERV NOV'!N42</f>
        <v>4500</v>
      </c>
      <c r="K7" s="160">
        <f>J7/E7</f>
        <v>150</v>
      </c>
      <c r="L7" s="150" t="str">
        <f t="shared" si="1"/>
        <v>corect</v>
      </c>
      <c r="M7" s="161">
        <f>I7*E7</f>
        <v>4500</v>
      </c>
      <c r="O7" s="179"/>
    </row>
    <row r="8" spans="1:33">
      <c r="A8" s="155">
        <v>3</v>
      </c>
      <c r="B8" s="156" t="s">
        <v>20</v>
      </c>
      <c r="C8" s="157">
        <v>60</v>
      </c>
      <c r="D8" s="157">
        <v>40</v>
      </c>
      <c r="E8" s="157">
        <v>30</v>
      </c>
      <c r="F8" s="158" t="s">
        <v>119</v>
      </c>
      <c r="G8" s="158" t="s">
        <v>119</v>
      </c>
      <c r="H8" s="157">
        <v>70</v>
      </c>
      <c r="I8" s="159">
        <f t="shared" si="0"/>
        <v>210</v>
      </c>
      <c r="J8" s="152">
        <f>'AN 2022 LA SERV NOV'!N43</f>
        <v>6300</v>
      </c>
      <c r="K8" s="160">
        <f>J8/E8</f>
        <v>210</v>
      </c>
      <c r="L8" s="162" t="str">
        <f t="shared" si="1"/>
        <v>corect</v>
      </c>
      <c r="M8" s="161">
        <f>I8*E8</f>
        <v>6300</v>
      </c>
      <c r="O8" s="179"/>
    </row>
    <row r="9" spans="1:33">
      <c r="A9" s="155">
        <v>4</v>
      </c>
      <c r="B9" s="156" t="s">
        <v>21</v>
      </c>
      <c r="C9" s="157">
        <v>60</v>
      </c>
      <c r="D9" s="158" t="s">
        <v>119</v>
      </c>
      <c r="E9" s="158" t="s">
        <v>119</v>
      </c>
      <c r="F9" s="158" t="s">
        <v>119</v>
      </c>
      <c r="G9" s="158" t="s">
        <v>119</v>
      </c>
      <c r="H9" s="157">
        <v>40</v>
      </c>
      <c r="I9" s="159">
        <f t="shared" si="0"/>
        <v>120</v>
      </c>
      <c r="J9" s="152">
        <f>'AN 2022 LA SERV NOV'!N44</f>
        <v>2774</v>
      </c>
      <c r="K9" s="160">
        <f>J9/C9</f>
        <v>46.233333333333334</v>
      </c>
      <c r="L9" s="162" t="str">
        <f t="shared" si="1"/>
        <v>corect</v>
      </c>
      <c r="M9" s="161">
        <f>I9*C9</f>
        <v>7200</v>
      </c>
      <c r="O9" s="179"/>
    </row>
    <row r="10" spans="1:33">
      <c r="A10" s="155">
        <v>5</v>
      </c>
      <c r="B10" s="156" t="s">
        <v>120</v>
      </c>
      <c r="C10" s="157">
        <v>60</v>
      </c>
      <c r="D10" s="157">
        <v>40</v>
      </c>
      <c r="E10" s="157">
        <v>30</v>
      </c>
      <c r="F10" s="158" t="s">
        <v>119</v>
      </c>
      <c r="G10" s="157">
        <v>50</v>
      </c>
      <c r="H10" s="157">
        <v>62</v>
      </c>
      <c r="I10" s="159">
        <f t="shared" si="0"/>
        <v>186</v>
      </c>
      <c r="J10" s="152">
        <f>'AN 2022 LA SERV NOV'!N45</f>
        <v>3290</v>
      </c>
      <c r="K10" s="160">
        <f>J10/E10</f>
        <v>109.66666666666667</v>
      </c>
      <c r="L10" s="162" t="str">
        <f t="shared" si="1"/>
        <v>corect</v>
      </c>
      <c r="M10" s="161">
        <f>I10*E10</f>
        <v>5580</v>
      </c>
      <c r="O10" s="179"/>
    </row>
    <row r="11" spans="1:33">
      <c r="A11" s="155">
        <v>6</v>
      </c>
      <c r="B11" s="163" t="s">
        <v>45</v>
      </c>
      <c r="C11" s="157">
        <v>60</v>
      </c>
      <c r="D11" s="158" t="s">
        <v>119</v>
      </c>
      <c r="E11" s="158" t="s">
        <v>119</v>
      </c>
      <c r="F11" s="158" t="s">
        <v>119</v>
      </c>
      <c r="G11" s="158" t="s">
        <v>119</v>
      </c>
      <c r="H11" s="157">
        <v>30</v>
      </c>
      <c r="I11" s="159">
        <f t="shared" si="0"/>
        <v>90</v>
      </c>
      <c r="J11" s="152">
        <f>'AN 2022 LA SERV NOV'!N46</f>
        <v>2583</v>
      </c>
      <c r="K11" s="164">
        <f>J11/C11</f>
        <v>43.05</v>
      </c>
      <c r="L11" s="150" t="str">
        <f t="shared" si="1"/>
        <v>corect</v>
      </c>
      <c r="M11" s="165">
        <f t="shared" ref="M11" si="2">I11*C11</f>
        <v>5400</v>
      </c>
      <c r="O11" s="179"/>
    </row>
    <row r="12" spans="1:33">
      <c r="A12" s="155">
        <v>7</v>
      </c>
      <c r="B12" s="163" t="s">
        <v>44</v>
      </c>
      <c r="C12" s="157">
        <v>60</v>
      </c>
      <c r="D12" s="157">
        <v>40</v>
      </c>
      <c r="E12" s="157">
        <v>30</v>
      </c>
      <c r="F12" s="158" t="s">
        <v>119</v>
      </c>
      <c r="G12" s="158" t="s">
        <v>119</v>
      </c>
      <c r="H12" s="157">
        <v>40</v>
      </c>
      <c r="I12" s="159">
        <f t="shared" si="0"/>
        <v>120</v>
      </c>
      <c r="J12" s="166">
        <f>'AN 2022 LA SERV NOV'!N48</f>
        <v>2816</v>
      </c>
      <c r="K12" s="160">
        <f>J12/E12</f>
        <v>93.86666666666666</v>
      </c>
      <c r="L12" s="150" t="str">
        <f t="shared" si="1"/>
        <v>corect</v>
      </c>
      <c r="M12" s="165">
        <f>I12*E12</f>
        <v>3600</v>
      </c>
      <c r="O12" s="179"/>
    </row>
    <row r="13" spans="1:33" ht="17.25" thickBot="1">
      <c r="A13" s="167">
        <v>8</v>
      </c>
      <c r="B13" s="168" t="s">
        <v>92</v>
      </c>
      <c r="C13" s="169">
        <v>60</v>
      </c>
      <c r="D13" s="170" t="s">
        <v>119</v>
      </c>
      <c r="E13" s="170" t="s">
        <v>119</v>
      </c>
      <c r="F13" s="170" t="s">
        <v>119</v>
      </c>
      <c r="G13" s="170" t="s">
        <v>119</v>
      </c>
      <c r="H13" s="171">
        <v>20</v>
      </c>
      <c r="I13" s="172">
        <f t="shared" si="0"/>
        <v>60</v>
      </c>
      <c r="J13" s="352">
        <f>'AN 2022 LA SERV NOV'!N49</f>
        <v>3051</v>
      </c>
      <c r="K13" s="173">
        <f>J13/C13</f>
        <v>50.85</v>
      </c>
      <c r="L13" s="174" t="str">
        <f t="shared" si="1"/>
        <v>corect</v>
      </c>
      <c r="M13" s="175">
        <f>I13*C13</f>
        <v>3600</v>
      </c>
      <c r="O13" s="179"/>
    </row>
    <row r="14" spans="1:33">
      <c r="A14" s="176"/>
      <c r="B14" s="177"/>
      <c r="C14" s="178"/>
      <c r="D14" s="132"/>
      <c r="E14" s="132"/>
      <c r="F14" s="132"/>
      <c r="G14" s="132"/>
      <c r="H14" s="132"/>
      <c r="I14" s="146"/>
      <c r="J14" s="146"/>
      <c r="K14" s="146"/>
      <c r="L14" s="146"/>
      <c r="M14" s="146"/>
    </row>
    <row r="15" spans="1:33">
      <c r="A15" s="128" t="s">
        <v>102</v>
      </c>
      <c r="B15" s="9"/>
    </row>
    <row r="16" spans="1:33">
      <c r="A16" s="128" t="s">
        <v>103</v>
      </c>
      <c r="L16" s="179"/>
    </row>
  </sheetData>
  <mergeCells count="7">
    <mergeCell ref="M4:M5"/>
    <mergeCell ref="A4:A5"/>
    <mergeCell ref="B4:B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23"/>
  <sheetViews>
    <sheetView workbookViewId="0">
      <selection activeCell="A20" sqref="A20:D23"/>
    </sheetView>
  </sheetViews>
  <sheetFormatPr defaultRowHeight="15"/>
  <cols>
    <col min="1" max="1" width="20" customWidth="1"/>
    <col min="2" max="2" width="17.7109375" customWidth="1"/>
    <col min="3" max="3" width="17.5703125" customWidth="1"/>
    <col min="4" max="4" width="14.28515625" bestFit="1" customWidth="1"/>
  </cols>
  <sheetData>
    <row r="8" spans="1:4">
      <c r="A8" s="581" t="s">
        <v>241</v>
      </c>
    </row>
    <row r="9" spans="1:4" ht="15.75" thickBot="1"/>
    <row r="10" spans="1:4" ht="18.75">
      <c r="A10" s="572" t="s">
        <v>242</v>
      </c>
      <c r="B10" s="573" t="s">
        <v>243</v>
      </c>
      <c r="C10" s="573" t="s">
        <v>244</v>
      </c>
      <c r="D10" s="578" t="s">
        <v>130</v>
      </c>
    </row>
    <row r="11" spans="1:4" ht="18.75">
      <c r="A11" s="574" t="s">
        <v>33</v>
      </c>
      <c r="B11" s="575">
        <f>SUM('1, central.ian+feb'!C18)</f>
        <v>62732</v>
      </c>
      <c r="C11" s="575">
        <f>SUM('1, central.ian+feb'!D18)</f>
        <v>62732</v>
      </c>
      <c r="D11" s="579">
        <f>SUM(B11:C11)</f>
        <v>125464</v>
      </c>
    </row>
    <row r="12" spans="1:4" ht="18.75">
      <c r="A12" s="574" t="s">
        <v>34</v>
      </c>
      <c r="B12" s="575">
        <f>SUM('1, central.ian+feb'!C34)</f>
        <v>1920.5</v>
      </c>
      <c r="C12" s="575">
        <f>SUM('1, central.ian+feb'!D34)</f>
        <v>1920.5</v>
      </c>
      <c r="D12" s="579">
        <f>SUM(B12:C12)</f>
        <v>3841</v>
      </c>
    </row>
    <row r="13" spans="1:4" ht="18.75">
      <c r="A13" s="574" t="s">
        <v>178</v>
      </c>
      <c r="B13" s="575">
        <f>SUM('1, central.ian+feb'!C52)</f>
        <v>81000</v>
      </c>
      <c r="C13" s="575">
        <f>SUM('1, central.ian+feb'!D52)</f>
        <v>81000</v>
      </c>
      <c r="D13" s="579">
        <f>SUM(B13:C13)</f>
        <v>162000</v>
      </c>
    </row>
    <row r="14" spans="1:4" ht="18.75">
      <c r="A14" s="574" t="s">
        <v>35</v>
      </c>
      <c r="B14" s="575">
        <f>SUM('1, central.ian+feb'!C56)</f>
        <v>16193.5</v>
      </c>
      <c r="C14" s="575">
        <f>SUM('1, central.ian+feb'!D56)</f>
        <v>16193.5</v>
      </c>
      <c r="D14" s="579">
        <f>SUM(B14:C14)</f>
        <v>32387</v>
      </c>
    </row>
    <row r="15" spans="1:4" ht="19.5" thickBot="1">
      <c r="A15" s="576" t="s">
        <v>130</v>
      </c>
      <c r="B15" s="577">
        <f>SUM(B11:B14)</f>
        <v>161846</v>
      </c>
      <c r="C15" s="577">
        <f t="shared" ref="C15:D15" si="0">SUM(C11:C14)</f>
        <v>161846</v>
      </c>
      <c r="D15" s="580">
        <f t="shared" si="0"/>
        <v>323692</v>
      </c>
    </row>
    <row r="18" spans="1:4">
      <c r="A18" s="581" t="s">
        <v>256</v>
      </c>
    </row>
    <row r="19" spans="1:4" ht="15.75" thickBot="1"/>
    <row r="20" spans="1:4" ht="18.75">
      <c r="A20" s="572" t="s">
        <v>242</v>
      </c>
      <c r="B20" s="573" t="s">
        <v>243</v>
      </c>
      <c r="C20" s="573" t="s">
        <v>244</v>
      </c>
      <c r="D20" s="578" t="s">
        <v>130</v>
      </c>
    </row>
    <row r="21" spans="1:4" ht="18.75">
      <c r="A21" s="574" t="s">
        <v>34</v>
      </c>
      <c r="B21" s="575">
        <f>SUM('1, central.ian+feb'!C35)</f>
        <v>579.5</v>
      </c>
      <c r="C21" s="575">
        <f>SUM('1, central.ian+feb'!D35)</f>
        <v>579.5</v>
      </c>
      <c r="D21" s="579">
        <f>SUM(B21:C21)</f>
        <v>1159</v>
      </c>
    </row>
    <row r="22" spans="1:4" ht="18.75">
      <c r="A22" s="574" t="s">
        <v>35</v>
      </c>
      <c r="B22" s="575">
        <f>SUM('1, central.ian+feb'!C57)</f>
        <v>7806.5</v>
      </c>
      <c r="C22" s="575">
        <f>SUM('1, central.ian+feb'!D57)</f>
        <v>7806.5</v>
      </c>
      <c r="D22" s="579">
        <f>SUM(B22:C22)</f>
        <v>15613</v>
      </c>
    </row>
    <row r="23" spans="1:4" ht="19.5" thickBot="1">
      <c r="A23" s="576" t="s">
        <v>130</v>
      </c>
      <c r="B23" s="577">
        <f>SUM(B21:B22)</f>
        <v>8386</v>
      </c>
      <c r="C23" s="577">
        <f>SUM(C21:C22)</f>
        <v>8386</v>
      </c>
      <c r="D23" s="580">
        <f>SUM(D21:D22)</f>
        <v>16772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0" workbookViewId="0">
      <selection activeCell="L24" sqref="L24"/>
    </sheetView>
  </sheetViews>
  <sheetFormatPr defaultRowHeight="16.5"/>
  <cols>
    <col min="1" max="1" width="7" style="2" customWidth="1"/>
    <col min="2" max="2" width="18.85546875" style="2" customWidth="1"/>
    <col min="3" max="3" width="13.140625" style="2" customWidth="1"/>
    <col min="4" max="4" width="12" style="2" customWidth="1"/>
    <col min="5" max="6" width="11.28515625" style="2" bestFit="1" customWidth="1"/>
    <col min="7" max="7" width="14.42578125" style="2" customWidth="1"/>
    <col min="8" max="8" width="9.85546875" style="2" bestFit="1" customWidth="1"/>
    <col min="9" max="9" width="14.5703125" style="2" customWidth="1"/>
    <col min="10" max="16384" width="9.140625" style="2"/>
  </cols>
  <sheetData>
    <row r="1" spans="1:8">
      <c r="A1" s="82" t="s">
        <v>0</v>
      </c>
      <c r="B1" s="18"/>
      <c r="C1" s="18"/>
    </row>
    <row r="2" spans="1:8" ht="18">
      <c r="A2" s="351" t="s">
        <v>255</v>
      </c>
      <c r="B2" s="127"/>
      <c r="C2" s="18"/>
    </row>
    <row r="3" spans="1:8">
      <c r="A3" s="88" t="s">
        <v>37</v>
      </c>
      <c r="B3" s="88"/>
      <c r="C3" s="88"/>
      <c r="D3" s="88" t="s">
        <v>69</v>
      </c>
    </row>
    <row r="4" spans="1:8">
      <c r="A4" s="88" t="s">
        <v>1</v>
      </c>
      <c r="B4" s="88"/>
      <c r="C4" s="88"/>
      <c r="D4" s="88" t="s">
        <v>70</v>
      </c>
    </row>
    <row r="5" spans="1:8">
      <c r="A5" s="88"/>
      <c r="B5" s="88"/>
    </row>
    <row r="6" spans="1:8">
      <c r="A6" s="95"/>
      <c r="B6" s="95"/>
      <c r="C6" s="95"/>
    </row>
    <row r="7" spans="1:8" ht="18.75">
      <c r="A7" s="95"/>
      <c r="B7" s="544" t="s">
        <v>223</v>
      </c>
      <c r="C7" s="543"/>
      <c r="D7" s="544"/>
      <c r="E7" s="544"/>
      <c r="F7" s="544"/>
      <c r="G7" s="544"/>
      <c r="H7" s="544"/>
    </row>
    <row r="8" spans="1:8" ht="18.75">
      <c r="A8" s="1"/>
      <c r="B8" s="734" t="s">
        <v>224</v>
      </c>
      <c r="C8" s="735"/>
      <c r="D8" s="735"/>
      <c r="E8" s="736"/>
      <c r="F8" s="736"/>
      <c r="G8" s="736"/>
      <c r="H8" s="736"/>
    </row>
    <row r="9" spans="1:8" ht="17.25" thickBot="1">
      <c r="A9" s="1"/>
    </row>
    <row r="10" spans="1:8">
      <c r="B10" s="545" t="s">
        <v>225</v>
      </c>
      <c r="C10" s="546"/>
      <c r="D10" s="546"/>
      <c r="E10" s="546"/>
      <c r="F10" s="546"/>
      <c r="G10" s="547">
        <v>1339000</v>
      </c>
    </row>
    <row r="11" spans="1:8">
      <c r="B11" s="42" t="s">
        <v>226</v>
      </c>
      <c r="C11" s="9"/>
      <c r="D11" s="9"/>
      <c r="E11" s="9"/>
      <c r="F11" s="9"/>
      <c r="G11" s="548">
        <f>SUM(G10/2)</f>
        <v>669500</v>
      </c>
    </row>
    <row r="12" spans="1:8">
      <c r="B12" s="42" t="s">
        <v>227</v>
      </c>
      <c r="C12" s="9"/>
      <c r="D12" s="9"/>
      <c r="E12" s="9"/>
      <c r="F12" s="9"/>
      <c r="G12" s="548">
        <v>7687340</v>
      </c>
    </row>
    <row r="13" spans="1:8">
      <c r="B13" s="42" t="s">
        <v>228</v>
      </c>
      <c r="C13" s="549"/>
      <c r="D13" s="9"/>
      <c r="E13" s="9"/>
      <c r="F13" s="9"/>
      <c r="G13" s="548">
        <f>SUM(G12/12)</f>
        <v>640611.66666666663</v>
      </c>
      <c r="H13" s="2" t="s">
        <v>257</v>
      </c>
    </row>
    <row r="14" spans="1:8" ht="17.25" thickBot="1">
      <c r="B14" s="550" t="s">
        <v>229</v>
      </c>
      <c r="C14" s="551"/>
      <c r="D14" s="552"/>
      <c r="E14" s="552"/>
      <c r="F14" s="552"/>
      <c r="G14" s="553">
        <f>SUM(G11/G13*100)</f>
        <v>104.50949223008219</v>
      </c>
    </row>
    <row r="15" spans="1:8">
      <c r="G15" s="25"/>
    </row>
    <row r="16" spans="1:8">
      <c r="C16" s="554" t="s">
        <v>230</v>
      </c>
    </row>
    <row r="17" spans="1:14" ht="17.25" thickBot="1">
      <c r="C17" s="25"/>
    </row>
    <row r="18" spans="1:14" s="557" customFormat="1" ht="39.75">
      <c r="A18" s="556"/>
      <c r="B18" s="559" t="s">
        <v>173</v>
      </c>
      <c r="C18" s="560" t="s">
        <v>174</v>
      </c>
      <c r="D18" s="560" t="s">
        <v>175</v>
      </c>
      <c r="E18" s="560" t="s">
        <v>176</v>
      </c>
      <c r="F18" s="560" t="s">
        <v>231</v>
      </c>
      <c r="G18" s="560" t="s">
        <v>232</v>
      </c>
      <c r="H18" s="560" t="s">
        <v>233</v>
      </c>
      <c r="I18" s="561" t="s">
        <v>258</v>
      </c>
      <c r="J18" s="556"/>
      <c r="K18" s="556"/>
      <c r="L18" s="556"/>
      <c r="M18" s="556"/>
      <c r="N18" s="556"/>
    </row>
    <row r="19" spans="1:14" ht="49.5">
      <c r="B19" s="562" t="s">
        <v>234</v>
      </c>
      <c r="C19" s="26">
        <f>SUM('an 2022 cu supl 27 dec'!O22)</f>
        <v>5965479.6199999992</v>
      </c>
      <c r="D19" s="26">
        <f>SUM(C19/12)</f>
        <v>497123.30166666658</v>
      </c>
      <c r="E19" s="26">
        <f>SUM(C19/C$24*100)</f>
        <v>79.760362231448497</v>
      </c>
      <c r="F19" s="26">
        <f>SUM(G$10*E19/100)</f>
        <v>1067991.2502790953</v>
      </c>
      <c r="G19" s="26">
        <v>1063000</v>
      </c>
      <c r="H19" s="26">
        <f>SUM(G19/2)</f>
        <v>531500</v>
      </c>
      <c r="I19" s="563">
        <f>SUM(H19/D19*100)</f>
        <v>106.9151251245076</v>
      </c>
    </row>
    <row r="20" spans="1:14" ht="45.75">
      <c r="B20" s="564" t="s">
        <v>177</v>
      </c>
      <c r="C20" s="558">
        <f>SUM('an 2022 cu supl 27 dec'!O37)</f>
        <v>26960</v>
      </c>
      <c r="D20" s="26">
        <f t="shared" ref="D20:D23" si="0">SUM(C20/12)</f>
        <v>2246.6666666666665</v>
      </c>
      <c r="E20" s="26">
        <f t="shared" ref="E20:E23" si="1">SUM(C20/C$24*100)</f>
        <v>0.36046378543488372</v>
      </c>
      <c r="F20" s="26">
        <f t="shared" ref="F20:F23" si="2">SUM(G$10*E20/100)</f>
        <v>4826.6100869730926</v>
      </c>
      <c r="G20" s="26">
        <v>5000</v>
      </c>
      <c r="H20" s="26">
        <f t="shared" ref="H20:H23" si="3">SUM(G20/2)</f>
        <v>2500</v>
      </c>
      <c r="I20" s="563">
        <f t="shared" ref="I20:I24" si="4">SUM(H20/D20*100)</f>
        <v>111.2759643916914</v>
      </c>
    </row>
    <row r="21" spans="1:14">
      <c r="B21" s="562" t="s">
        <v>36</v>
      </c>
      <c r="C21" s="26">
        <f>SUM('an 2022 cu supl 27 dec'!O50)</f>
        <v>304859</v>
      </c>
      <c r="D21" s="26">
        <f t="shared" si="0"/>
        <v>25404.916666666668</v>
      </c>
      <c r="E21" s="26">
        <f t="shared" si="1"/>
        <v>4.0760619126073152</v>
      </c>
      <c r="F21" s="26">
        <f t="shared" si="2"/>
        <v>54578.469009811954</v>
      </c>
      <c r="G21" s="26">
        <v>61000</v>
      </c>
      <c r="H21" s="26">
        <f t="shared" si="3"/>
        <v>30500</v>
      </c>
      <c r="I21" s="563">
        <f t="shared" si="4"/>
        <v>120.0555010677067</v>
      </c>
    </row>
    <row r="22" spans="1:14">
      <c r="B22" s="562" t="s">
        <v>178</v>
      </c>
      <c r="C22" s="26">
        <f>SUM('an 2022 cu supl 27 dec'!O54)</f>
        <v>920466</v>
      </c>
      <c r="D22" s="26">
        <f t="shared" si="0"/>
        <v>76705.5</v>
      </c>
      <c r="E22" s="26">
        <f t="shared" si="1"/>
        <v>12.306923543178995</v>
      </c>
      <c r="F22" s="26">
        <f t="shared" si="2"/>
        <v>164789.70624316673</v>
      </c>
      <c r="G22" s="26">
        <v>162000</v>
      </c>
      <c r="H22" s="26">
        <f t="shared" si="3"/>
        <v>81000</v>
      </c>
      <c r="I22" s="563">
        <f t="shared" si="4"/>
        <v>105.59868588302012</v>
      </c>
    </row>
    <row r="23" spans="1:14">
      <c r="B23" s="562" t="s">
        <v>35</v>
      </c>
      <c r="C23" s="26">
        <f>SUM('an 2022 cu supl 27 dec'!O64)</f>
        <v>261488.8</v>
      </c>
      <c r="D23" s="26">
        <f t="shared" si="0"/>
        <v>21790.733333333334</v>
      </c>
      <c r="E23" s="26">
        <f t="shared" si="1"/>
        <v>3.4961885273303119</v>
      </c>
      <c r="F23" s="26">
        <f t="shared" si="2"/>
        <v>46813.964380952872</v>
      </c>
      <c r="G23" s="26">
        <v>48000</v>
      </c>
      <c r="H23" s="26">
        <f t="shared" si="3"/>
        <v>24000</v>
      </c>
      <c r="I23" s="563">
        <f t="shared" si="4"/>
        <v>110.13856042782713</v>
      </c>
    </row>
    <row r="24" spans="1:14" ht="17.25" thickBot="1">
      <c r="B24" s="567" t="s">
        <v>130</v>
      </c>
      <c r="C24" s="75">
        <f>SUM(C19:C23)</f>
        <v>7479253.419999999</v>
      </c>
      <c r="D24" s="75">
        <f t="shared" ref="D24:H24" si="5">SUM(D19:D23)</f>
        <v>623271.11833333317</v>
      </c>
      <c r="E24" s="75">
        <f t="shared" si="5"/>
        <v>100.00000000000001</v>
      </c>
      <c r="F24" s="75">
        <f t="shared" si="5"/>
        <v>1338999.9999999998</v>
      </c>
      <c r="G24" s="75">
        <f t="shared" si="5"/>
        <v>1339000</v>
      </c>
      <c r="H24" s="75">
        <f t="shared" si="5"/>
        <v>669500</v>
      </c>
      <c r="I24" s="76">
        <f t="shared" si="4"/>
        <v>107.41713843411931</v>
      </c>
    </row>
    <row r="25" spans="1:14">
      <c r="B25" s="565" t="s">
        <v>235</v>
      </c>
      <c r="C25" s="566">
        <v>203619.24</v>
      </c>
      <c r="D25" s="25"/>
      <c r="E25" s="25"/>
      <c r="F25" s="25">
        <f>SUM(F24-G10)</f>
        <v>-2.3283064365386963E-10</v>
      </c>
      <c r="G25" s="25">
        <f>SUM(G24-G10)</f>
        <v>0</v>
      </c>
      <c r="H25" s="25"/>
      <c r="I25" s="25"/>
    </row>
    <row r="26" spans="1:14">
      <c r="B26" s="565" t="s">
        <v>236</v>
      </c>
      <c r="C26" s="566">
        <v>1680</v>
      </c>
      <c r="D26" s="25"/>
      <c r="E26" s="25"/>
      <c r="F26" s="25"/>
      <c r="G26" s="25"/>
      <c r="H26" s="25"/>
      <c r="I26" s="25"/>
    </row>
    <row r="27" spans="1:14">
      <c r="B27" s="565" t="s">
        <v>237</v>
      </c>
      <c r="C27" s="566">
        <f>SUM('an 2022 cu supl 27 dec'!K79)</f>
        <v>2787.339999999851</v>
      </c>
      <c r="D27" s="25"/>
      <c r="E27" s="25"/>
      <c r="F27" s="25"/>
      <c r="G27" s="71" t="s">
        <v>238</v>
      </c>
      <c r="H27" s="71"/>
      <c r="I27" s="71"/>
    </row>
    <row r="28" spans="1:14" ht="17.25" thickBot="1">
      <c r="B28" s="568" t="s">
        <v>179</v>
      </c>
      <c r="C28" s="569">
        <f>SUM(C24:C27)</f>
        <v>7687339.9999999991</v>
      </c>
      <c r="D28" s="25"/>
      <c r="E28" s="25"/>
      <c r="F28" s="25"/>
      <c r="G28" s="25"/>
      <c r="H28" s="25"/>
      <c r="I28" s="25"/>
    </row>
    <row r="29" spans="1:14">
      <c r="B29" s="555" t="s">
        <v>95</v>
      </c>
      <c r="C29" s="2">
        <v>7687340</v>
      </c>
    </row>
    <row r="30" spans="1:14">
      <c r="B30" s="555" t="s">
        <v>252</v>
      </c>
      <c r="C30" s="25">
        <f>SUM(C29-C28)</f>
        <v>9.3132257461547852E-10</v>
      </c>
    </row>
    <row r="31" spans="1:14">
      <c r="B31" s="555"/>
    </row>
    <row r="32" spans="1:14">
      <c r="C32" s="25"/>
    </row>
  </sheetData>
  <mergeCells count="1">
    <mergeCell ref="B8:H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46" workbookViewId="0">
      <selection activeCell="A2" sqref="A2"/>
    </sheetView>
  </sheetViews>
  <sheetFormatPr defaultRowHeight="15"/>
  <cols>
    <col min="1" max="1" width="5.5703125" bestFit="1" customWidth="1"/>
    <col min="2" max="2" width="25.42578125" customWidth="1"/>
    <col min="3" max="3" width="18.42578125" bestFit="1" customWidth="1"/>
    <col min="4" max="5" width="17.85546875" customWidth="1"/>
    <col min="6" max="6" width="13.42578125" customWidth="1"/>
    <col min="7" max="7" width="16.42578125" customWidth="1"/>
    <col min="8" max="8" width="17.140625" customWidth="1"/>
    <col min="9" max="9" width="12" bestFit="1" customWidth="1"/>
    <col min="10" max="10" width="12.42578125" customWidth="1"/>
    <col min="11" max="11" width="13.140625" bestFit="1" customWidth="1"/>
  </cols>
  <sheetData>
    <row r="1" spans="1:12" ht="17.25">
      <c r="A1" s="350" t="s">
        <v>0</v>
      </c>
      <c r="B1" s="183"/>
      <c r="C1" s="183"/>
      <c r="D1" s="183"/>
      <c r="E1" s="183"/>
      <c r="F1" s="183"/>
      <c r="G1" s="184"/>
      <c r="H1" s="184"/>
      <c r="I1" s="184"/>
    </row>
    <row r="2" spans="1:12" ht="18">
      <c r="A2" s="351" t="s">
        <v>255</v>
      </c>
      <c r="B2" s="127"/>
      <c r="C2" s="183"/>
      <c r="D2" s="183"/>
      <c r="E2" s="183"/>
      <c r="F2" s="183"/>
      <c r="G2" s="184"/>
      <c r="H2" s="184"/>
      <c r="I2" s="184"/>
    </row>
    <row r="3" spans="1:12">
      <c r="A3" s="128" t="s">
        <v>37</v>
      </c>
      <c r="B3" s="128"/>
      <c r="C3" s="185"/>
      <c r="D3" s="128" t="s">
        <v>98</v>
      </c>
      <c r="E3" s="185"/>
      <c r="F3" s="186"/>
      <c r="G3" s="128"/>
      <c r="H3" s="185"/>
      <c r="I3" s="183"/>
    </row>
    <row r="4" spans="1:12">
      <c r="A4" s="128" t="s">
        <v>1</v>
      </c>
      <c r="B4" s="128"/>
      <c r="C4" s="185"/>
      <c r="D4" s="128" t="s">
        <v>99</v>
      </c>
      <c r="E4" s="185"/>
      <c r="F4" s="186"/>
      <c r="G4" s="128"/>
      <c r="H4" s="185"/>
      <c r="I4" s="183"/>
    </row>
    <row r="5" spans="1:12">
      <c r="A5" s="128"/>
      <c r="B5" s="128"/>
      <c r="C5" s="185"/>
      <c r="D5" s="128"/>
      <c r="E5" s="185"/>
      <c r="F5" s="186"/>
      <c r="G5" s="128"/>
      <c r="H5" s="185"/>
      <c r="I5" s="183"/>
    </row>
    <row r="6" spans="1:12">
      <c r="A6" s="129"/>
      <c r="B6" s="129"/>
      <c r="C6" s="183"/>
      <c r="D6" s="183"/>
      <c r="E6" s="183"/>
      <c r="F6" s="183"/>
      <c r="G6" s="184"/>
      <c r="H6" s="184"/>
      <c r="I6" s="184"/>
    </row>
    <row r="7" spans="1:12">
      <c r="A7" s="129"/>
      <c r="B7" s="129"/>
      <c r="C7" s="183"/>
      <c r="D7" s="183"/>
      <c r="E7" s="183"/>
      <c r="F7" s="183"/>
      <c r="G7" s="184"/>
      <c r="H7" s="184"/>
      <c r="I7" s="184"/>
    </row>
    <row r="8" spans="1:12">
      <c r="A8" s="184"/>
      <c r="B8" s="184"/>
      <c r="C8" s="130" t="s">
        <v>208</v>
      </c>
      <c r="D8" s="130"/>
      <c r="E8" s="187"/>
      <c r="F8" s="188"/>
      <c r="G8" s="188"/>
      <c r="H8" s="189"/>
      <c r="I8" s="184"/>
    </row>
    <row r="9" spans="1:12">
      <c r="A9" s="130"/>
      <c r="B9" s="184"/>
      <c r="C9" s="190" t="s">
        <v>124</v>
      </c>
      <c r="E9" s="184"/>
      <c r="F9" s="188"/>
      <c r="G9" s="188"/>
      <c r="H9" s="191"/>
      <c r="I9" s="184"/>
    </row>
    <row r="10" spans="1:12">
      <c r="A10" s="130"/>
      <c r="B10" s="184"/>
      <c r="C10" s="190"/>
      <c r="E10" s="184"/>
      <c r="F10" s="188"/>
      <c r="G10" s="188"/>
      <c r="H10" s="191"/>
      <c r="I10" s="184"/>
    </row>
    <row r="11" spans="1:12">
      <c r="A11" s="130"/>
      <c r="B11" s="184"/>
      <c r="C11" s="190"/>
      <c r="E11" s="184"/>
      <c r="F11" s="188"/>
      <c r="G11" s="188"/>
      <c r="H11" s="189"/>
      <c r="I11" s="184"/>
    </row>
    <row r="12" spans="1:12" ht="18.75">
      <c r="B12" s="130" t="s">
        <v>180</v>
      </c>
      <c r="C12" s="192">
        <f>SUM('buget ian + feb'!G19)</f>
        <v>1063000</v>
      </c>
      <c r="D12" t="s">
        <v>125</v>
      </c>
      <c r="E12" s="193"/>
      <c r="F12" s="194"/>
      <c r="G12" s="195"/>
      <c r="H12" s="195"/>
      <c r="I12" s="195"/>
      <c r="J12" s="87"/>
    </row>
    <row r="13" spans="1:12" ht="16.5" thickBot="1">
      <c r="A13" s="196" t="s">
        <v>126</v>
      </c>
      <c r="B13" s="197"/>
      <c r="C13" s="197"/>
      <c r="D13" s="197"/>
      <c r="E13" s="90"/>
      <c r="F13" s="91"/>
      <c r="G13" s="198"/>
      <c r="H13" s="199"/>
      <c r="I13" s="197"/>
      <c r="J13" s="197"/>
    </row>
    <row r="14" spans="1:12" ht="26.25" customHeight="1" thickBot="1">
      <c r="A14" s="737" t="s">
        <v>4</v>
      </c>
      <c r="B14" s="739" t="s">
        <v>100</v>
      </c>
      <c r="C14" s="741" t="s">
        <v>127</v>
      </c>
      <c r="D14" s="743" t="s">
        <v>128</v>
      </c>
      <c r="E14" s="743"/>
      <c r="F14" s="744"/>
      <c r="G14" s="745" t="s">
        <v>129</v>
      </c>
      <c r="H14" s="746"/>
      <c r="I14" s="200" t="s">
        <v>130</v>
      </c>
      <c r="J14" s="201"/>
      <c r="K14" s="202"/>
      <c r="L14" s="202"/>
    </row>
    <row r="15" spans="1:12" ht="32.25" thickBot="1">
      <c r="A15" s="738"/>
      <c r="B15" s="740"/>
      <c r="C15" s="742"/>
      <c r="D15" s="203" t="s">
        <v>131</v>
      </c>
      <c r="E15" s="203" t="s">
        <v>132</v>
      </c>
      <c r="F15" s="204" t="s">
        <v>133</v>
      </c>
      <c r="G15" s="205" t="s">
        <v>134</v>
      </c>
      <c r="H15" s="206" t="s">
        <v>135</v>
      </c>
      <c r="I15" s="207"/>
      <c r="J15" s="208"/>
      <c r="K15" s="202"/>
      <c r="L15" s="202"/>
    </row>
    <row r="16" spans="1:12" ht="15.75">
      <c r="A16" s="522">
        <v>1</v>
      </c>
      <c r="B16" s="522" t="s">
        <v>181</v>
      </c>
      <c r="C16" s="523">
        <f>SUM(D16:F16)</f>
        <v>1059.5999999999999</v>
      </c>
      <c r="D16" s="524">
        <v>937.6</v>
      </c>
      <c r="E16" s="524">
        <v>24</v>
      </c>
      <c r="F16" s="524">
        <v>98</v>
      </c>
      <c r="G16" s="523">
        <v>138</v>
      </c>
      <c r="H16" s="525">
        <v>719</v>
      </c>
      <c r="I16" s="526">
        <f>C16+G16+H16</f>
        <v>1916.6</v>
      </c>
      <c r="J16" s="208"/>
      <c r="K16" s="202"/>
      <c r="L16" s="202"/>
    </row>
    <row r="17" spans="1:12" ht="15.75">
      <c r="A17" s="516">
        <v>2</v>
      </c>
      <c r="B17" s="516" t="s">
        <v>8</v>
      </c>
      <c r="C17" s="517">
        <f t="shared" ref="C17:C24" si="0">SUM(D17:F17)</f>
        <v>655.5</v>
      </c>
      <c r="D17" s="518">
        <v>548</v>
      </c>
      <c r="E17" s="518">
        <v>15</v>
      </c>
      <c r="F17" s="518">
        <v>92.5</v>
      </c>
      <c r="G17" s="517">
        <v>116</v>
      </c>
      <c r="H17" s="519">
        <v>843.5</v>
      </c>
      <c r="I17" s="520">
        <f t="shared" ref="I17:I24" si="1">C17+G17+H17</f>
        <v>1615</v>
      </c>
      <c r="J17" s="208"/>
      <c r="K17" s="202"/>
      <c r="L17" s="202"/>
    </row>
    <row r="18" spans="1:12" ht="15.75">
      <c r="A18" s="516">
        <v>3</v>
      </c>
      <c r="B18" s="516" t="s">
        <v>59</v>
      </c>
      <c r="C18" s="517">
        <f t="shared" si="0"/>
        <v>894.35</v>
      </c>
      <c r="D18" s="518">
        <v>769.22</v>
      </c>
      <c r="E18" s="518">
        <v>24</v>
      </c>
      <c r="F18" s="518">
        <v>101.13</v>
      </c>
      <c r="G18" s="517">
        <v>159</v>
      </c>
      <c r="H18" s="519">
        <v>1034.5999999999999</v>
      </c>
      <c r="I18" s="520">
        <f t="shared" si="1"/>
        <v>2087.9499999999998</v>
      </c>
      <c r="J18" s="208"/>
      <c r="K18" s="202"/>
      <c r="L18" s="202"/>
    </row>
    <row r="19" spans="1:12" ht="15.75">
      <c r="A19" s="516">
        <v>4</v>
      </c>
      <c r="B19" s="516" t="s">
        <v>136</v>
      </c>
      <c r="C19" s="517">
        <f t="shared" si="0"/>
        <v>1103.5</v>
      </c>
      <c r="D19" s="518">
        <v>916</v>
      </c>
      <c r="E19" s="518">
        <v>24</v>
      </c>
      <c r="F19" s="518">
        <v>163.5</v>
      </c>
      <c r="G19" s="517">
        <v>123</v>
      </c>
      <c r="H19" s="519">
        <v>1112</v>
      </c>
      <c r="I19" s="520">
        <f t="shared" si="1"/>
        <v>2338.5</v>
      </c>
      <c r="J19" s="208"/>
      <c r="K19" s="202"/>
      <c r="L19" s="202"/>
    </row>
    <row r="20" spans="1:12" ht="15.75">
      <c r="A20" s="209">
        <v>5</v>
      </c>
      <c r="B20" s="516" t="s">
        <v>58</v>
      </c>
      <c r="C20" s="517">
        <f t="shared" si="0"/>
        <v>634.91</v>
      </c>
      <c r="D20" s="518">
        <v>495.62</v>
      </c>
      <c r="E20" s="518">
        <v>24</v>
      </c>
      <c r="F20" s="518">
        <v>115.29</v>
      </c>
      <c r="G20" s="517">
        <v>141</v>
      </c>
      <c r="H20" s="519">
        <v>777.5</v>
      </c>
      <c r="I20" s="520">
        <f t="shared" si="1"/>
        <v>1553.4099999999999</v>
      </c>
      <c r="J20" s="208"/>
      <c r="K20" s="202"/>
      <c r="L20" s="202"/>
    </row>
    <row r="21" spans="1:12" ht="15.75">
      <c r="A21" s="516">
        <v>6</v>
      </c>
      <c r="B21" s="516" t="s">
        <v>41</v>
      </c>
      <c r="C21" s="517">
        <f t="shared" si="0"/>
        <v>679.71</v>
      </c>
      <c r="D21" s="518">
        <v>552</v>
      </c>
      <c r="E21" s="518">
        <v>24</v>
      </c>
      <c r="F21" s="518">
        <v>103.71</v>
      </c>
      <c r="G21" s="517">
        <v>130</v>
      </c>
      <c r="H21" s="519">
        <v>624</v>
      </c>
      <c r="I21" s="520">
        <f t="shared" si="1"/>
        <v>1433.71</v>
      </c>
      <c r="J21" s="208"/>
      <c r="K21" s="202"/>
      <c r="L21" s="202"/>
    </row>
    <row r="22" spans="1:12" ht="15.75">
      <c r="A22" s="516">
        <v>7</v>
      </c>
      <c r="B22" s="516" t="s">
        <v>9</v>
      </c>
      <c r="C22" s="517">
        <f t="shared" si="0"/>
        <v>1029.55</v>
      </c>
      <c r="D22" s="518">
        <v>732.4</v>
      </c>
      <c r="E22" s="518">
        <v>20</v>
      </c>
      <c r="F22" s="518">
        <v>277.14999999999998</v>
      </c>
      <c r="G22" s="517">
        <v>105</v>
      </c>
      <c r="H22" s="519">
        <v>430.5</v>
      </c>
      <c r="I22" s="520">
        <f t="shared" si="1"/>
        <v>1565.05</v>
      </c>
      <c r="J22" s="208"/>
      <c r="K22" s="202"/>
      <c r="L22" s="202"/>
    </row>
    <row r="23" spans="1:12" ht="15.75">
      <c r="A23" s="516">
        <v>8</v>
      </c>
      <c r="B23" s="516" t="s">
        <v>10</v>
      </c>
      <c r="C23" s="517">
        <f t="shared" si="0"/>
        <v>308</v>
      </c>
      <c r="D23" s="518">
        <v>186</v>
      </c>
      <c r="E23" s="518">
        <v>20</v>
      </c>
      <c r="F23" s="521">
        <v>102</v>
      </c>
      <c r="G23" s="517">
        <v>63</v>
      </c>
      <c r="H23" s="519">
        <v>284</v>
      </c>
      <c r="I23" s="520">
        <f t="shared" si="1"/>
        <v>655</v>
      </c>
      <c r="J23" s="210"/>
      <c r="K23" s="202"/>
      <c r="L23" s="202"/>
    </row>
    <row r="24" spans="1:12" ht="16.5" thickBot="1">
      <c r="A24" s="209">
        <v>9</v>
      </c>
      <c r="B24" s="527" t="s">
        <v>11</v>
      </c>
      <c r="C24" s="528">
        <f t="shared" si="0"/>
        <v>421.8</v>
      </c>
      <c r="D24" s="529">
        <v>264.8</v>
      </c>
      <c r="E24" s="529">
        <v>20</v>
      </c>
      <c r="F24" s="529">
        <v>137</v>
      </c>
      <c r="G24" s="528">
        <v>83</v>
      </c>
      <c r="H24" s="530">
        <v>371.5</v>
      </c>
      <c r="I24" s="531">
        <f t="shared" si="1"/>
        <v>876.3</v>
      </c>
      <c r="J24" s="210"/>
      <c r="K24" s="202"/>
      <c r="L24" s="202"/>
    </row>
    <row r="25" spans="1:12" ht="16.5" thickBot="1">
      <c r="A25" s="212"/>
      <c r="B25" s="213" t="s">
        <v>130</v>
      </c>
      <c r="C25" s="214">
        <f t="shared" ref="C25:I25" si="2">SUM(C16:C24)</f>
        <v>6786.92</v>
      </c>
      <c r="D25" s="215">
        <f t="shared" si="2"/>
        <v>5401.6399999999994</v>
      </c>
      <c r="E25" s="215">
        <f t="shared" si="2"/>
        <v>195</v>
      </c>
      <c r="F25" s="215">
        <f t="shared" si="2"/>
        <v>1190.28</v>
      </c>
      <c r="G25" s="216">
        <f t="shared" si="2"/>
        <v>1058</v>
      </c>
      <c r="H25" s="217">
        <f t="shared" si="2"/>
        <v>6196.6</v>
      </c>
      <c r="I25" s="218">
        <f t="shared" si="2"/>
        <v>14041.519999999997</v>
      </c>
      <c r="J25" s="210"/>
      <c r="K25" s="202"/>
      <c r="L25" s="202"/>
    </row>
    <row r="26" spans="1:12" ht="15.75">
      <c r="A26" s="219"/>
      <c r="B26" s="219"/>
      <c r="C26" s="220"/>
      <c r="D26" s="221"/>
      <c r="E26" s="221"/>
      <c r="F26" s="221"/>
      <c r="G26" s="220"/>
      <c r="H26" s="220"/>
      <c r="I26" s="131"/>
      <c r="J26" s="210"/>
      <c r="K26" s="202"/>
      <c r="L26" s="202"/>
    </row>
    <row r="27" spans="1:12" ht="13.5" customHeight="1">
      <c r="A27" s="222"/>
      <c r="B27" s="222"/>
      <c r="C27" s="223"/>
      <c r="D27" s="223"/>
      <c r="E27" s="223"/>
      <c r="F27" s="223"/>
      <c r="G27" s="223"/>
      <c r="H27" s="223"/>
      <c r="I27" s="223"/>
      <c r="J27" s="223"/>
    </row>
    <row r="28" spans="1:12">
      <c r="A28" s="222"/>
      <c r="B28" s="222" t="s">
        <v>137</v>
      </c>
      <c r="C28" s="223"/>
      <c r="D28" s="223"/>
      <c r="E28" s="223"/>
      <c r="F28" s="223">
        <f>ROUND(C12/2,0)</f>
        <v>531500</v>
      </c>
      <c r="G28" s="223"/>
      <c r="H28" s="223"/>
      <c r="I28" s="223"/>
      <c r="J28" s="223"/>
    </row>
    <row r="29" spans="1:12">
      <c r="A29" s="222"/>
      <c r="B29" s="82"/>
      <c r="C29" s="224"/>
      <c r="D29" s="224"/>
      <c r="E29" s="224"/>
      <c r="F29" s="225"/>
      <c r="G29" s="223"/>
      <c r="H29" s="223"/>
      <c r="I29" s="223"/>
      <c r="J29" s="223"/>
    </row>
    <row r="30" spans="1:12">
      <c r="A30" s="222"/>
      <c r="B30" s="82" t="s">
        <v>138</v>
      </c>
      <c r="C30" s="226"/>
      <c r="D30" s="226"/>
      <c r="E30" s="227"/>
      <c r="F30" s="228">
        <f>C12-F28</f>
        <v>531500</v>
      </c>
      <c r="G30" s="223" t="s">
        <v>101</v>
      </c>
      <c r="H30" s="223">
        <f>C12-F28-F30</f>
        <v>0</v>
      </c>
      <c r="I30" s="87"/>
      <c r="J30" s="223"/>
    </row>
    <row r="31" spans="1:12">
      <c r="A31" s="222"/>
      <c r="B31" s="222" t="s">
        <v>139</v>
      </c>
      <c r="C31" s="223"/>
      <c r="D31" s="223"/>
      <c r="E31" s="223"/>
      <c r="F31" s="229">
        <f>ROUND(F30/2,0)</f>
        <v>265750</v>
      </c>
      <c r="G31" s="223"/>
      <c r="H31" s="223"/>
      <c r="I31" s="87"/>
      <c r="J31" s="223"/>
    </row>
    <row r="32" spans="1:12">
      <c r="A32" s="222"/>
      <c r="B32" s="222" t="s">
        <v>140</v>
      </c>
      <c r="C32" s="223"/>
      <c r="D32" s="223"/>
      <c r="E32" s="223"/>
      <c r="F32" s="229">
        <f>F30-F31</f>
        <v>265750</v>
      </c>
      <c r="G32" s="223"/>
      <c r="H32" s="223"/>
      <c r="I32" s="87"/>
      <c r="J32" s="223"/>
    </row>
    <row r="33" spans="1:10">
      <c r="A33" s="222"/>
      <c r="B33" s="222"/>
      <c r="C33" s="223"/>
      <c r="D33" s="223"/>
      <c r="E33" s="223" t="s">
        <v>141</v>
      </c>
      <c r="F33" s="230" t="str">
        <f>IF((F32+F31)&lt;&gt;F30,"eroare","ok")</f>
        <v>ok</v>
      </c>
      <c r="G33" s="223">
        <f>SUM(F31:F32)-F30</f>
        <v>0</v>
      </c>
      <c r="H33" s="223"/>
      <c r="I33" s="223"/>
      <c r="J33" s="223"/>
    </row>
    <row r="34" spans="1:10">
      <c r="A34" s="222"/>
      <c r="B34" s="222"/>
      <c r="C34" s="223"/>
      <c r="D34" s="223"/>
      <c r="E34" s="223"/>
      <c r="F34" s="223"/>
      <c r="G34" s="223"/>
      <c r="H34" s="223"/>
      <c r="I34" s="223"/>
      <c r="J34" s="223"/>
    </row>
    <row r="35" spans="1:10">
      <c r="A35" s="222"/>
      <c r="B35" s="222" t="s">
        <v>142</v>
      </c>
      <c r="C35" s="223"/>
      <c r="D35" s="223"/>
      <c r="E35" s="223"/>
      <c r="F35" s="223"/>
      <c r="G35" s="223"/>
      <c r="H35" s="223"/>
      <c r="I35" s="223"/>
      <c r="J35" s="223"/>
    </row>
    <row r="36" spans="1:10">
      <c r="A36" s="222"/>
      <c r="B36" s="222"/>
      <c r="C36" s="223"/>
      <c r="D36" s="223"/>
      <c r="E36" s="223"/>
      <c r="F36" s="223"/>
      <c r="G36" s="223"/>
      <c r="H36" s="223"/>
      <c r="I36" s="223"/>
      <c r="J36" s="223"/>
    </row>
    <row r="37" spans="1:10" ht="16.5" thickBot="1">
      <c r="C37" s="231" t="s">
        <v>143</v>
      </c>
    </row>
    <row r="38" spans="1:10" s="202" customFormat="1" ht="15.75">
      <c r="B38" s="232" t="s">
        <v>144</v>
      </c>
      <c r="C38" s="233" t="s">
        <v>145</v>
      </c>
      <c r="D38" s="234" t="s">
        <v>146</v>
      </c>
      <c r="E38" s="234" t="s">
        <v>147</v>
      </c>
      <c r="F38" s="235" t="s">
        <v>148</v>
      </c>
      <c r="G38" s="236" t="s">
        <v>141</v>
      </c>
    </row>
    <row r="39" spans="1:10" ht="15.75">
      <c r="B39" s="237" t="s">
        <v>149</v>
      </c>
      <c r="C39" s="238">
        <f>F28</f>
        <v>531500</v>
      </c>
      <c r="D39" s="238">
        <f>F31</f>
        <v>265750</v>
      </c>
      <c r="E39" s="238">
        <f>F32</f>
        <v>265750</v>
      </c>
      <c r="F39" s="239">
        <f>SUM(C39:E39)</f>
        <v>1063000</v>
      </c>
      <c r="G39" s="240">
        <f>F39-C12</f>
        <v>0</v>
      </c>
      <c r="H39" s="223"/>
      <c r="I39" s="87"/>
    </row>
    <row r="40" spans="1:10" ht="16.5" thickBot="1">
      <c r="B40" s="241" t="s">
        <v>150</v>
      </c>
      <c r="C40" s="242">
        <f>ROUND(C39/C25,4)</f>
        <v>78.312399999999997</v>
      </c>
      <c r="D40" s="242">
        <f>ROUND(D39/G25,4)</f>
        <v>251.1815</v>
      </c>
      <c r="E40" s="242">
        <f>ROUND(E39/H25,4)</f>
        <v>42.886400000000002</v>
      </c>
      <c r="F40" s="243"/>
      <c r="G40" s="202"/>
      <c r="H40" s="244"/>
    </row>
    <row r="41" spans="1:10" ht="15.75">
      <c r="B41" s="245"/>
      <c r="C41" s="246"/>
      <c r="D41" s="246"/>
      <c r="E41" s="246"/>
      <c r="F41" s="247"/>
      <c r="G41" s="202"/>
      <c r="H41" s="244"/>
    </row>
    <row r="42" spans="1:10" ht="15.75">
      <c r="B42" s="245"/>
      <c r="C42" s="246"/>
      <c r="D42" s="246"/>
      <c r="E42" s="246"/>
      <c r="F42" s="247"/>
      <c r="G42" s="202"/>
      <c r="H42" s="244"/>
    </row>
    <row r="43" spans="1:10" ht="15.75">
      <c r="B43" s="245"/>
      <c r="C43" s="246"/>
      <c r="D43" s="246"/>
      <c r="E43" s="246"/>
      <c r="F43" s="247"/>
      <c r="G43" s="202"/>
      <c r="H43" s="244"/>
    </row>
    <row r="44" spans="1:10" ht="15.75">
      <c r="B44" s="245"/>
      <c r="C44" s="246"/>
      <c r="D44" s="246"/>
      <c r="E44" s="246"/>
      <c r="F44" s="247"/>
      <c r="G44" s="202"/>
      <c r="H44" s="244"/>
    </row>
    <row r="45" spans="1:10" ht="15.75">
      <c r="B45" s="245"/>
      <c r="C45" s="246"/>
      <c r="D45" s="246"/>
      <c r="E45" s="246"/>
      <c r="F45" s="247"/>
      <c r="G45" s="202"/>
    </row>
    <row r="46" spans="1:10" ht="16.5" thickBot="1">
      <c r="B46" s="248"/>
      <c r="C46" s="249"/>
      <c r="D46" s="249"/>
      <c r="E46" s="249"/>
      <c r="F46" s="354"/>
      <c r="G46" s="202"/>
    </row>
    <row r="47" spans="1:10" ht="16.5" thickBot="1">
      <c r="A47" s="250" t="s">
        <v>4</v>
      </c>
      <c r="B47" s="251" t="s">
        <v>100</v>
      </c>
      <c r="C47" s="252" t="s">
        <v>151</v>
      </c>
      <c r="D47" s="253" t="s">
        <v>152</v>
      </c>
      <c r="E47" s="253" t="s">
        <v>153</v>
      </c>
      <c r="F47" s="254" t="s">
        <v>154</v>
      </c>
    </row>
    <row r="48" spans="1:10" ht="15.75" thickBot="1">
      <c r="A48" s="250">
        <v>0</v>
      </c>
      <c r="B48" s="251">
        <v>1</v>
      </c>
      <c r="C48" s="255" t="s">
        <v>155</v>
      </c>
      <c r="D48" s="256" t="s">
        <v>156</v>
      </c>
      <c r="E48" s="257" t="s">
        <v>157</v>
      </c>
      <c r="F48" s="258" t="s">
        <v>158</v>
      </c>
    </row>
    <row r="49" spans="1:11" ht="15.75">
      <c r="A49" s="353">
        <v>1</v>
      </c>
      <c r="B49" s="353" t="s">
        <v>181</v>
      </c>
      <c r="C49" s="259">
        <f t="shared" ref="C49:C57" si="3">ROUND(C$40*C16,0)</f>
        <v>82980</v>
      </c>
      <c r="D49" s="259">
        <f t="shared" ref="D49:E57" si="4">ROUND(D$40*G16,0)</f>
        <v>34663</v>
      </c>
      <c r="E49" s="260">
        <f t="shared" si="4"/>
        <v>30835</v>
      </c>
      <c r="F49" s="261">
        <f>SUM(C49:E49)</f>
        <v>148478</v>
      </c>
      <c r="G49" s="244"/>
      <c r="H49" s="223"/>
      <c r="I49" s="87"/>
      <c r="J49" s="87"/>
    </row>
    <row r="50" spans="1:11" ht="15.75">
      <c r="A50" s="209">
        <v>2</v>
      </c>
      <c r="B50" s="209" t="s">
        <v>8</v>
      </c>
      <c r="C50" s="259">
        <f t="shared" si="3"/>
        <v>51334</v>
      </c>
      <c r="D50" s="259">
        <f t="shared" si="4"/>
        <v>29137</v>
      </c>
      <c r="E50" s="260">
        <f t="shared" si="4"/>
        <v>36175</v>
      </c>
      <c r="F50" s="261">
        <f t="shared" ref="F50:F57" si="5">SUM(C50:E50)</f>
        <v>116646</v>
      </c>
      <c r="G50" s="244"/>
      <c r="H50" s="223"/>
      <c r="I50" s="87"/>
      <c r="J50" s="87"/>
    </row>
    <row r="51" spans="1:11" ht="15.75">
      <c r="A51" s="209">
        <v>3</v>
      </c>
      <c r="B51" s="209" t="s">
        <v>59</v>
      </c>
      <c r="C51" s="259">
        <f t="shared" si="3"/>
        <v>70039</v>
      </c>
      <c r="D51" s="259">
        <f t="shared" si="4"/>
        <v>39938</v>
      </c>
      <c r="E51" s="260">
        <f t="shared" si="4"/>
        <v>44370</v>
      </c>
      <c r="F51" s="261">
        <f t="shared" si="5"/>
        <v>154347</v>
      </c>
      <c r="G51" s="244"/>
      <c r="H51" s="223"/>
      <c r="I51" s="87"/>
      <c r="J51" s="87"/>
    </row>
    <row r="52" spans="1:11" ht="15.75">
      <c r="A52" s="209">
        <v>4</v>
      </c>
      <c r="B52" s="209" t="s">
        <v>136</v>
      </c>
      <c r="C52" s="259">
        <f t="shared" si="3"/>
        <v>86418</v>
      </c>
      <c r="D52" s="259">
        <f t="shared" si="4"/>
        <v>30895</v>
      </c>
      <c r="E52" s="260">
        <f t="shared" si="4"/>
        <v>47690</v>
      </c>
      <c r="F52" s="261">
        <f t="shared" si="5"/>
        <v>165003</v>
      </c>
      <c r="G52" s="244"/>
      <c r="H52" s="223"/>
      <c r="I52" s="87"/>
      <c r="J52" s="87"/>
    </row>
    <row r="53" spans="1:11" ht="15.75">
      <c r="A53" s="209">
        <v>5</v>
      </c>
      <c r="B53" s="209" t="s">
        <v>58</v>
      </c>
      <c r="C53" s="259">
        <f t="shared" si="3"/>
        <v>49721</v>
      </c>
      <c r="D53" s="259">
        <f t="shared" si="4"/>
        <v>35417</v>
      </c>
      <c r="E53" s="260">
        <f t="shared" si="4"/>
        <v>33344</v>
      </c>
      <c r="F53" s="261">
        <f t="shared" si="5"/>
        <v>118482</v>
      </c>
      <c r="G53" s="244"/>
      <c r="H53" s="223"/>
      <c r="I53" s="87"/>
      <c r="J53" s="87"/>
    </row>
    <row r="54" spans="1:11" ht="15.75">
      <c r="A54" s="209">
        <v>6</v>
      </c>
      <c r="B54" s="209" t="s">
        <v>41</v>
      </c>
      <c r="C54" s="259">
        <f t="shared" si="3"/>
        <v>53230</v>
      </c>
      <c r="D54" s="259">
        <f t="shared" si="4"/>
        <v>32654</v>
      </c>
      <c r="E54" s="260">
        <f t="shared" si="4"/>
        <v>26761</v>
      </c>
      <c r="F54" s="261">
        <f t="shared" si="5"/>
        <v>112645</v>
      </c>
      <c r="G54" s="244"/>
      <c r="H54" s="223"/>
      <c r="I54" s="87"/>
      <c r="J54" s="87"/>
    </row>
    <row r="55" spans="1:11" ht="15.75">
      <c r="A55" s="209">
        <v>7</v>
      </c>
      <c r="B55" s="209" t="s">
        <v>9</v>
      </c>
      <c r="C55" s="259">
        <f t="shared" si="3"/>
        <v>80627</v>
      </c>
      <c r="D55" s="259">
        <f t="shared" si="4"/>
        <v>26374</v>
      </c>
      <c r="E55" s="260">
        <f t="shared" si="4"/>
        <v>18463</v>
      </c>
      <c r="F55" s="261">
        <f t="shared" si="5"/>
        <v>125464</v>
      </c>
      <c r="G55" s="244"/>
      <c r="H55" s="223"/>
      <c r="I55" s="87"/>
      <c r="J55" s="87"/>
    </row>
    <row r="56" spans="1:11" ht="15.75">
      <c r="A56" s="209">
        <v>8</v>
      </c>
      <c r="B56" s="209" t="s">
        <v>10</v>
      </c>
      <c r="C56" s="259">
        <f t="shared" si="3"/>
        <v>24120</v>
      </c>
      <c r="D56" s="259">
        <f t="shared" si="4"/>
        <v>15824</v>
      </c>
      <c r="E56" s="260">
        <f t="shared" si="4"/>
        <v>12180</v>
      </c>
      <c r="F56" s="261">
        <f t="shared" si="5"/>
        <v>52124</v>
      </c>
      <c r="G56" s="244"/>
      <c r="H56" s="223"/>
      <c r="I56" s="87"/>
      <c r="J56" s="87"/>
    </row>
    <row r="57" spans="1:11" ht="16.5" thickBot="1">
      <c r="A57" s="209">
        <v>9</v>
      </c>
      <c r="B57" s="211" t="s">
        <v>11</v>
      </c>
      <c r="C57" s="259">
        <f t="shared" si="3"/>
        <v>33032</v>
      </c>
      <c r="D57" s="259">
        <f t="shared" si="4"/>
        <v>20848</v>
      </c>
      <c r="E57" s="260">
        <f t="shared" si="4"/>
        <v>15932</v>
      </c>
      <c r="F57" s="355">
        <f t="shared" si="5"/>
        <v>69812</v>
      </c>
      <c r="G57" s="244"/>
      <c r="H57" s="223"/>
      <c r="I57" s="87"/>
      <c r="J57" s="87"/>
    </row>
    <row r="58" spans="1:11" ht="16.5" thickBot="1">
      <c r="A58" s="212"/>
      <c r="B58" s="262" t="s">
        <v>130</v>
      </c>
      <c r="C58" s="263">
        <f>SUM(C49:C57)</f>
        <v>531501</v>
      </c>
      <c r="D58" s="263">
        <f t="shared" ref="D58:F58" si="6">SUM(D49:D57)</f>
        <v>265750</v>
      </c>
      <c r="E58" s="263">
        <f t="shared" si="6"/>
        <v>265750</v>
      </c>
      <c r="F58" s="264">
        <f t="shared" si="6"/>
        <v>1063001</v>
      </c>
      <c r="G58" s="244"/>
      <c r="H58" s="223"/>
      <c r="I58" s="87"/>
      <c r="J58" s="87"/>
    </row>
    <row r="59" spans="1:11">
      <c r="C59" s="244"/>
    </row>
    <row r="60" spans="1:11" ht="15.75">
      <c r="B60" s="265" t="s">
        <v>141</v>
      </c>
      <c r="C60" s="266">
        <f>C58-C39</f>
        <v>1</v>
      </c>
      <c r="D60" s="266">
        <f>D58-D39</f>
        <v>0</v>
      </c>
      <c r="E60" s="266">
        <f>E58-E39</f>
        <v>0</v>
      </c>
      <c r="F60" s="266">
        <f>F58-F39</f>
        <v>1</v>
      </c>
    </row>
    <row r="61" spans="1:11">
      <c r="B61" s="356"/>
    </row>
    <row r="62" spans="1:11">
      <c r="B62" s="130" t="s">
        <v>209</v>
      </c>
      <c r="G62" s="202"/>
      <c r="H62" s="202"/>
      <c r="I62" s="202"/>
      <c r="J62" s="202"/>
      <c r="K62" s="202"/>
    </row>
    <row r="63" spans="1:11">
      <c r="B63" s="130"/>
      <c r="G63" s="202"/>
      <c r="H63" s="202"/>
      <c r="I63" s="202"/>
      <c r="J63" s="202"/>
      <c r="K63" s="202"/>
    </row>
    <row r="64" spans="1:11" ht="15.75" thickBot="1">
      <c r="G64" s="202"/>
      <c r="H64" s="202"/>
      <c r="I64" s="202"/>
      <c r="J64" s="202"/>
      <c r="K64" s="202"/>
    </row>
    <row r="65" spans="1:13" ht="17.25" thickBot="1">
      <c r="A65" s="250" t="s">
        <v>4</v>
      </c>
      <c r="B65" s="251" t="s">
        <v>100</v>
      </c>
      <c r="C65" s="357" t="s">
        <v>204</v>
      </c>
      <c r="D65" s="94" t="s">
        <v>205</v>
      </c>
      <c r="E65" s="267" t="s">
        <v>130</v>
      </c>
      <c r="F65" s="534" t="s">
        <v>211</v>
      </c>
      <c r="G65" s="536" t="s">
        <v>212</v>
      </c>
      <c r="H65" s="132"/>
      <c r="I65" s="132"/>
      <c r="J65" s="268"/>
      <c r="K65" s="269"/>
    </row>
    <row r="66" spans="1:13" ht="16.5">
      <c r="A66" s="353">
        <v>1</v>
      </c>
      <c r="B66" s="353" t="s">
        <v>181</v>
      </c>
      <c r="C66" s="260">
        <f>SUM(F49/2)</f>
        <v>74239</v>
      </c>
      <c r="D66" s="133">
        <f>SUM(F49/2)</f>
        <v>74239</v>
      </c>
      <c r="E66" s="259">
        <f>SUM(C66:D66)</f>
        <v>148478</v>
      </c>
      <c r="F66" s="535">
        <f>SUM('AN 2022 LA SERV NOV'!P12)</f>
        <v>67493.846666666665</v>
      </c>
      <c r="G66" s="535">
        <f>SUM(C66/F66*100)</f>
        <v>109.9937307865201</v>
      </c>
      <c r="H66" s="270"/>
      <c r="I66" s="270"/>
      <c r="J66" s="270"/>
      <c r="K66" s="271"/>
      <c r="L66" s="244"/>
    </row>
    <row r="67" spans="1:13" ht="16.5">
      <c r="A67" s="209">
        <v>2</v>
      </c>
      <c r="B67" s="209" t="s">
        <v>8</v>
      </c>
      <c r="C67" s="260">
        <f t="shared" ref="C67:C74" si="7">SUM(F50/2)</f>
        <v>58323</v>
      </c>
      <c r="D67" s="133">
        <f t="shared" ref="D67:D74" si="8">SUM(F50/2)</f>
        <v>58323</v>
      </c>
      <c r="E67" s="259">
        <f t="shared" ref="E67:E74" si="9">SUM(C67:D67)</f>
        <v>116646</v>
      </c>
      <c r="F67" s="535">
        <f>SUM('AN 2022 LA SERV NOV'!P14)</f>
        <v>55454.664166666676</v>
      </c>
      <c r="G67" s="535">
        <f t="shared" ref="G67:G74" si="10">SUM(C67/F67*100)</f>
        <v>105.17239780717571</v>
      </c>
      <c r="H67" s="270"/>
      <c r="I67" s="270"/>
      <c r="J67" s="270"/>
      <c r="K67" s="271"/>
      <c r="L67" s="244"/>
    </row>
    <row r="68" spans="1:13" ht="16.5">
      <c r="A68" s="209">
        <v>3</v>
      </c>
      <c r="B68" s="209" t="s">
        <v>59</v>
      </c>
      <c r="C68" s="260">
        <f t="shared" si="7"/>
        <v>77173.5</v>
      </c>
      <c r="D68" s="133">
        <f t="shared" si="8"/>
        <v>77173.5</v>
      </c>
      <c r="E68" s="259">
        <f t="shared" si="9"/>
        <v>154347</v>
      </c>
      <c r="F68" s="535">
        <f>SUM('AN 2022 LA SERV NOV'!P15)</f>
        <v>71454.148333333331</v>
      </c>
      <c r="G68" s="535">
        <f t="shared" si="10"/>
        <v>108.00422620669399</v>
      </c>
      <c r="H68" s="270"/>
      <c r="I68" s="270"/>
      <c r="J68" s="270"/>
      <c r="K68" s="271"/>
      <c r="L68" s="244"/>
    </row>
    <row r="69" spans="1:13" ht="16.5">
      <c r="A69" s="209">
        <v>4</v>
      </c>
      <c r="B69" s="209" t="s">
        <v>136</v>
      </c>
      <c r="C69" s="260">
        <f t="shared" si="7"/>
        <v>82501.5</v>
      </c>
      <c r="D69" s="133">
        <f t="shared" si="8"/>
        <v>82501.5</v>
      </c>
      <c r="E69" s="259">
        <f t="shared" si="9"/>
        <v>165003</v>
      </c>
      <c r="F69" s="535">
        <f>SUM('AN 2022 LA SERV NOV'!P16)</f>
        <v>73404.279999999984</v>
      </c>
      <c r="G69" s="535">
        <f t="shared" si="10"/>
        <v>112.39331003587259</v>
      </c>
      <c r="H69" s="270"/>
      <c r="I69" s="270"/>
      <c r="J69" s="270"/>
      <c r="K69" s="271"/>
      <c r="L69" s="244"/>
    </row>
    <row r="70" spans="1:13" ht="16.5">
      <c r="A70" s="209">
        <v>5</v>
      </c>
      <c r="B70" s="209" t="s">
        <v>58</v>
      </c>
      <c r="C70" s="260">
        <f t="shared" si="7"/>
        <v>59241</v>
      </c>
      <c r="D70" s="133">
        <f t="shared" si="8"/>
        <v>59241</v>
      </c>
      <c r="E70" s="259">
        <f t="shared" si="9"/>
        <v>118482</v>
      </c>
      <c r="F70" s="535">
        <f>SUM('AN 2022 LA SERV NOV'!P17)</f>
        <v>55756.462499999994</v>
      </c>
      <c r="G70" s="535">
        <f t="shared" si="10"/>
        <v>106.24956703449399</v>
      </c>
      <c r="H70" s="270"/>
      <c r="I70" s="270"/>
      <c r="J70" s="270"/>
      <c r="K70" s="271"/>
      <c r="L70" s="244"/>
    </row>
    <row r="71" spans="1:13" ht="16.5">
      <c r="A71" s="209">
        <v>6</v>
      </c>
      <c r="B71" s="209" t="s">
        <v>41</v>
      </c>
      <c r="C71" s="260">
        <f t="shared" si="7"/>
        <v>56322.5</v>
      </c>
      <c r="D71" s="133">
        <f t="shared" si="8"/>
        <v>56322.5</v>
      </c>
      <c r="E71" s="259">
        <f t="shared" si="9"/>
        <v>112645</v>
      </c>
      <c r="F71" s="535">
        <f>SUM('AN 2022 LA SERV NOV'!P18)</f>
        <v>50997.582499999997</v>
      </c>
      <c r="G71" s="535">
        <f t="shared" si="10"/>
        <v>110.4415096539135</v>
      </c>
      <c r="H71" s="270"/>
      <c r="I71" s="270"/>
      <c r="J71" s="270"/>
      <c r="K71" s="271"/>
      <c r="L71" s="244"/>
    </row>
    <row r="72" spans="1:13" ht="16.5">
      <c r="A72" s="209">
        <v>7</v>
      </c>
      <c r="B72" s="209" t="s">
        <v>9</v>
      </c>
      <c r="C72" s="260">
        <f t="shared" si="7"/>
        <v>62732</v>
      </c>
      <c r="D72" s="133">
        <f t="shared" si="8"/>
        <v>62732</v>
      </c>
      <c r="E72" s="259">
        <f t="shared" si="9"/>
        <v>125464</v>
      </c>
      <c r="F72" s="535">
        <f>SUM('AN 2022 LA SERV NOV'!P19)</f>
        <v>53345.987499999996</v>
      </c>
      <c r="G72" s="535">
        <f t="shared" si="10"/>
        <v>117.59459884400867</v>
      </c>
      <c r="H72" s="270"/>
      <c r="I72" s="270"/>
      <c r="J72" s="270"/>
      <c r="K72" s="271"/>
      <c r="L72" s="244"/>
    </row>
    <row r="73" spans="1:13" ht="16.5">
      <c r="A73" s="209">
        <v>8</v>
      </c>
      <c r="B73" s="209" t="s">
        <v>10</v>
      </c>
      <c r="C73" s="260">
        <f t="shared" si="7"/>
        <v>26062</v>
      </c>
      <c r="D73" s="133">
        <f t="shared" si="8"/>
        <v>26062</v>
      </c>
      <c r="E73" s="259">
        <f t="shared" si="9"/>
        <v>52124</v>
      </c>
      <c r="F73" s="535">
        <f>SUM('AN 2022 LA SERV NOV'!P20)</f>
        <v>23015.529166666664</v>
      </c>
      <c r="G73" s="535">
        <f t="shared" si="10"/>
        <v>113.23658826730576</v>
      </c>
      <c r="H73" s="270"/>
      <c r="I73" s="270"/>
      <c r="J73" s="270"/>
      <c r="K73" s="271"/>
      <c r="L73" s="244"/>
    </row>
    <row r="74" spans="1:13" ht="17.25" thickBot="1">
      <c r="A74" s="209">
        <v>9</v>
      </c>
      <c r="B74" s="211" t="s">
        <v>11</v>
      </c>
      <c r="C74" s="260">
        <f t="shared" si="7"/>
        <v>34906</v>
      </c>
      <c r="D74" s="133">
        <f t="shared" si="8"/>
        <v>34906</v>
      </c>
      <c r="E74" s="259">
        <f t="shared" si="9"/>
        <v>69812</v>
      </c>
      <c r="F74" s="535">
        <f>SUM('AN 2022 LA SERV NOV'!P21)</f>
        <v>25751.283333333336</v>
      </c>
      <c r="G74" s="535">
        <f t="shared" si="10"/>
        <v>135.55052596084207</v>
      </c>
      <c r="H74" s="270"/>
      <c r="I74" s="270"/>
      <c r="J74" s="270"/>
      <c r="K74" s="271"/>
      <c r="L74" s="244"/>
    </row>
    <row r="75" spans="1:13" ht="15.75" thickBot="1">
      <c r="A75" s="272"/>
      <c r="B75" s="273" t="s">
        <v>130</v>
      </c>
      <c r="C75" s="274">
        <f>SUM(C66:C74)</f>
        <v>531500.5</v>
      </c>
      <c r="D75" s="274">
        <f t="shared" ref="D75:E75" si="11">SUM(D66:D74)</f>
        <v>531500.5</v>
      </c>
      <c r="E75" s="275">
        <f t="shared" si="11"/>
        <v>1063001</v>
      </c>
      <c r="F75" s="246"/>
      <c r="G75" s="249"/>
      <c r="H75" s="246"/>
      <c r="I75" s="246"/>
      <c r="J75" s="246"/>
      <c r="K75" s="246"/>
      <c r="L75" s="244"/>
    </row>
    <row r="76" spans="1:13">
      <c r="A76" s="222"/>
      <c r="B76" s="222"/>
      <c r="C76" s="129"/>
      <c r="D76" s="249"/>
      <c r="E76" s="246">
        <f>SUM(E75-C12)</f>
        <v>1</v>
      </c>
      <c r="F76" s="246"/>
      <c r="G76" s="134"/>
      <c r="H76" s="134"/>
      <c r="I76" s="134"/>
      <c r="J76" s="134"/>
      <c r="K76" s="202"/>
    </row>
    <row r="77" spans="1:13">
      <c r="A77" s="222"/>
      <c r="B77" s="222"/>
      <c r="C77" s="129"/>
      <c r="D77" s="358"/>
      <c r="E77" s="358"/>
      <c r="F77" s="246"/>
      <c r="G77" s="134"/>
      <c r="H77" s="134"/>
      <c r="I77" s="134"/>
      <c r="J77" s="134"/>
      <c r="K77" s="202"/>
    </row>
    <row r="78" spans="1:13">
      <c r="B78" s="129" t="s">
        <v>102</v>
      </c>
      <c r="C78" s="246"/>
      <c r="D78" s="246"/>
      <c r="E78" s="246"/>
      <c r="F78" s="246"/>
      <c r="G78" s="246"/>
      <c r="H78" s="246"/>
      <c r="I78" s="246"/>
      <c r="J78" s="246"/>
      <c r="K78" s="271"/>
      <c r="L78" s="202"/>
      <c r="M78" s="202"/>
    </row>
    <row r="79" spans="1:13" ht="16.5">
      <c r="B79" s="128" t="s">
        <v>123</v>
      </c>
      <c r="H79" s="135"/>
      <c r="I79" s="135"/>
      <c r="J79" s="135"/>
      <c r="K79" s="135"/>
      <c r="L79" s="202"/>
      <c r="M79" s="202"/>
    </row>
    <row r="80" spans="1:13">
      <c r="B80" s="128" t="s">
        <v>2</v>
      </c>
      <c r="C80" s="244"/>
      <c r="D80" s="244"/>
      <c r="E80" s="244"/>
      <c r="F80" s="244"/>
      <c r="G80" s="244"/>
      <c r="H80" s="244"/>
      <c r="I80" s="244"/>
      <c r="J80" s="244"/>
      <c r="K80" s="244"/>
    </row>
    <row r="81" spans="3:10">
      <c r="C81" s="244"/>
      <c r="D81" s="244"/>
      <c r="E81" s="244"/>
      <c r="F81" s="244"/>
      <c r="G81" s="244"/>
      <c r="H81" s="244"/>
      <c r="I81" s="244"/>
      <c r="J81" s="244"/>
    </row>
  </sheetData>
  <mergeCells count="5">
    <mergeCell ref="A14:A15"/>
    <mergeCell ref="B14:B15"/>
    <mergeCell ref="C14:C15"/>
    <mergeCell ref="D14:F14"/>
    <mergeCell ref="G14:H1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2" sqref="A2"/>
    </sheetView>
  </sheetViews>
  <sheetFormatPr defaultRowHeight="15"/>
  <cols>
    <col min="1" max="1" width="5.28515625" style="281" customWidth="1"/>
    <col min="2" max="2" width="23.5703125" style="281" customWidth="1"/>
    <col min="3" max="3" width="17" style="281" customWidth="1"/>
    <col min="4" max="4" width="15.28515625" style="281" customWidth="1"/>
    <col min="5" max="5" width="15.5703125" style="281" customWidth="1"/>
    <col min="6" max="6" width="12.28515625" style="281" bestFit="1" customWidth="1"/>
    <col min="7" max="7" width="9.5703125" style="281" customWidth="1"/>
    <col min="8" max="8" width="9" style="281" bestFit="1" customWidth="1"/>
    <col min="9" max="10" width="9.140625" style="281"/>
    <col min="11" max="11" width="12.140625" style="281" customWidth="1"/>
    <col min="12" max="16384" width="9.140625" style="281"/>
  </cols>
  <sheetData>
    <row r="1" spans="1:9" ht="17.25">
      <c r="A1" s="350" t="s">
        <v>0</v>
      </c>
      <c r="B1" s="183"/>
      <c r="C1" s="183"/>
      <c r="D1" s="183"/>
      <c r="E1" s="183"/>
      <c r="F1" s="183"/>
      <c r="G1" s="183"/>
      <c r="H1" s="183"/>
    </row>
    <row r="2" spans="1:9" customFormat="1" ht="18">
      <c r="A2" s="351" t="s">
        <v>255</v>
      </c>
      <c r="B2" s="278"/>
      <c r="C2" s="183"/>
      <c r="D2" s="183"/>
      <c r="E2" s="183"/>
      <c r="F2" s="183"/>
      <c r="G2" s="184"/>
      <c r="H2" s="184"/>
      <c r="I2" s="184"/>
    </row>
    <row r="3" spans="1:9" customFormat="1">
      <c r="A3" s="128" t="s">
        <v>37</v>
      </c>
      <c r="B3" s="128"/>
      <c r="C3" s="185"/>
      <c r="D3" s="128" t="s">
        <v>98</v>
      </c>
      <c r="E3" s="185"/>
      <c r="F3" s="186"/>
      <c r="G3" s="128"/>
      <c r="H3" s="185"/>
      <c r="I3" s="183"/>
    </row>
    <row r="4" spans="1:9" customFormat="1">
      <c r="A4" s="128" t="s">
        <v>1</v>
      </c>
      <c r="B4" s="128"/>
      <c r="C4" s="185"/>
      <c r="D4" s="128" t="s">
        <v>99</v>
      </c>
      <c r="E4" s="185"/>
      <c r="F4" s="186"/>
      <c r="G4" s="128"/>
      <c r="H4" s="185"/>
      <c r="I4" s="183"/>
    </row>
    <row r="5" spans="1:9">
      <c r="A5" s="129"/>
      <c r="B5" s="129"/>
      <c r="C5" s="183"/>
      <c r="D5" s="183"/>
      <c r="E5" s="129"/>
      <c r="F5" s="183"/>
      <c r="G5" s="183"/>
    </row>
    <row r="6" spans="1:9">
      <c r="A6" s="129"/>
      <c r="B6" s="129"/>
      <c r="C6" s="183"/>
      <c r="D6" s="183"/>
      <c r="E6" s="129"/>
      <c r="F6" s="183"/>
      <c r="G6" s="183"/>
    </row>
    <row r="7" spans="1:9">
      <c r="A7" s="129"/>
      <c r="B7" s="129"/>
      <c r="C7" s="183"/>
      <c r="D7" s="183"/>
      <c r="E7" s="129"/>
      <c r="F7" s="183"/>
      <c r="H7" s="183"/>
    </row>
    <row r="8" spans="1:9">
      <c r="A8" s="130"/>
      <c r="B8" s="130" t="s">
        <v>202</v>
      </c>
      <c r="C8" s="130"/>
      <c r="D8" s="187"/>
      <c r="E8" s="188"/>
      <c r="F8" s="188"/>
      <c r="G8" s="276"/>
      <c r="H8" s="183"/>
    </row>
    <row r="9" spans="1:9">
      <c r="A9" s="130"/>
      <c r="B9" s="190" t="s">
        <v>190</v>
      </c>
      <c r="C9" s="130"/>
      <c r="D9" s="130"/>
      <c r="E9" s="130"/>
      <c r="H9" s="183"/>
    </row>
    <row r="10" spans="1:9">
      <c r="A10" s="130"/>
      <c r="B10" s="190"/>
      <c r="C10" s="130"/>
      <c r="D10" s="130"/>
      <c r="E10" s="130"/>
      <c r="H10" s="183"/>
    </row>
    <row r="11" spans="1:9">
      <c r="A11" s="358"/>
      <c r="B11" s="358"/>
      <c r="C11" s="130"/>
      <c r="D11" s="130"/>
      <c r="E11" s="130"/>
      <c r="F11" s="130"/>
      <c r="G11" s="408"/>
    </row>
    <row r="12" spans="1:9" ht="15.75">
      <c r="A12" s="231" t="s">
        <v>183</v>
      </c>
      <c r="B12" s="282"/>
      <c r="C12" s="425">
        <f>SUM('buget ian + feb'!G20)</f>
        <v>5000</v>
      </c>
      <c r="D12" s="425" t="s">
        <v>159</v>
      </c>
      <c r="E12" s="378"/>
      <c r="F12" s="284"/>
      <c r="G12" s="284"/>
      <c r="H12" s="284"/>
    </row>
    <row r="13" spans="1:9" ht="15.75" thickBot="1">
      <c r="A13" s="426"/>
      <c r="B13" s="130" t="s">
        <v>191</v>
      </c>
      <c r="F13" s="427"/>
      <c r="G13" s="427"/>
      <c r="H13" s="427"/>
    </row>
    <row r="14" spans="1:9" ht="30.75" thickBot="1">
      <c r="A14" s="417" t="s">
        <v>4</v>
      </c>
      <c r="B14" s="428" t="s">
        <v>100</v>
      </c>
      <c r="C14" s="429" t="s">
        <v>160</v>
      </c>
      <c r="D14" s="419" t="s">
        <v>161</v>
      </c>
      <c r="E14" s="430" t="s">
        <v>162</v>
      </c>
      <c r="F14" s="431" t="s">
        <v>192</v>
      </c>
      <c r="G14" s="366"/>
      <c r="H14" s="432"/>
    </row>
    <row r="15" spans="1:9">
      <c r="A15" s="417">
        <v>0</v>
      </c>
      <c r="B15" s="418">
        <v>1</v>
      </c>
      <c r="C15" s="433">
        <v>2</v>
      </c>
      <c r="D15" s="433">
        <v>3</v>
      </c>
      <c r="E15" s="433">
        <v>4</v>
      </c>
      <c r="F15" s="434" t="s">
        <v>158</v>
      </c>
      <c r="G15" s="354"/>
      <c r="H15" s="435"/>
    </row>
    <row r="16" spans="1:9" ht="15.75">
      <c r="A16" s="436">
        <v>1</v>
      </c>
      <c r="B16" s="436" t="s">
        <v>9</v>
      </c>
      <c r="C16" s="437">
        <v>9</v>
      </c>
      <c r="D16" s="437">
        <v>148</v>
      </c>
      <c r="E16" s="437">
        <v>12</v>
      </c>
      <c r="F16" s="438">
        <f>SUM(C16:E16)</f>
        <v>169</v>
      </c>
      <c r="G16" s="376"/>
      <c r="H16" s="439"/>
    </row>
    <row r="17" spans="1:8" ht="15.75">
      <c r="A17" s="436">
        <v>2</v>
      </c>
      <c r="B17" s="436" t="s">
        <v>120</v>
      </c>
      <c r="C17" s="437">
        <v>4</v>
      </c>
      <c r="D17" s="437">
        <v>30</v>
      </c>
      <c r="E17" s="437">
        <v>17</v>
      </c>
      <c r="F17" s="438">
        <f>SUM(C17:E17)</f>
        <v>51</v>
      </c>
      <c r="G17" s="376"/>
      <c r="H17" s="439"/>
    </row>
    <row r="18" spans="1:8" ht="15.75" thickBot="1">
      <c r="A18" s="440"/>
      <c r="B18" s="441" t="s">
        <v>130</v>
      </c>
      <c r="C18" s="442">
        <f>SUM(C16:C17)</f>
        <v>13</v>
      </c>
      <c r="D18" s="442">
        <f>SUM(D16:D17)</f>
        <v>178</v>
      </c>
      <c r="E18" s="442">
        <f>SUM(E16:E17)</f>
        <v>29</v>
      </c>
      <c r="F18" s="442">
        <f>SUM(F16:F17)</f>
        <v>220</v>
      </c>
      <c r="G18" s="378"/>
      <c r="H18" s="378"/>
    </row>
    <row r="19" spans="1:8">
      <c r="A19" s="392"/>
      <c r="B19" s="392"/>
      <c r="C19" s="378"/>
      <c r="D19" s="378"/>
      <c r="E19" s="378"/>
      <c r="F19" s="378"/>
      <c r="G19" s="378"/>
      <c r="H19" s="378"/>
    </row>
    <row r="20" spans="1:8">
      <c r="A20" s="426" t="s">
        <v>193</v>
      </c>
      <c r="C20" s="443"/>
      <c r="D20" s="443"/>
      <c r="E20" s="377">
        <f>C12</f>
        <v>5000</v>
      </c>
      <c r="F20" s="426" t="s">
        <v>125</v>
      </c>
      <c r="G20" s="378"/>
    </row>
    <row r="21" spans="1:8" ht="15.75" thickBot="1">
      <c r="A21" s="426"/>
      <c r="C21" s="444"/>
      <c r="D21" s="443"/>
      <c r="E21" s="445"/>
      <c r="G21" s="378"/>
    </row>
    <row r="22" spans="1:8" ht="15.75">
      <c r="A22" s="426"/>
      <c r="B22" s="232" t="s">
        <v>144</v>
      </c>
      <c r="C22" s="233" t="s">
        <v>194</v>
      </c>
      <c r="D22" s="443"/>
      <c r="E22" s="445"/>
      <c r="G22" s="378"/>
    </row>
    <row r="23" spans="1:8" ht="15.75">
      <c r="A23" s="426"/>
      <c r="B23" s="237" t="s">
        <v>149</v>
      </c>
      <c r="C23" s="317">
        <f>E20</f>
        <v>5000</v>
      </c>
      <c r="D23" s="443"/>
      <c r="E23" s="445"/>
      <c r="G23" s="378"/>
    </row>
    <row r="24" spans="1:8" ht="16.5" thickBot="1">
      <c r="A24" s="426"/>
      <c r="B24" s="241" t="s">
        <v>150</v>
      </c>
      <c r="C24" s="242">
        <f>ROUND(C23/F18,4)</f>
        <v>22.7273</v>
      </c>
      <c r="D24" s="443"/>
      <c r="E24" s="445"/>
      <c r="G24" s="378"/>
    </row>
    <row r="25" spans="1:8" ht="16.5" thickBot="1">
      <c r="A25" s="426"/>
      <c r="B25" s="245"/>
      <c r="C25" s="246"/>
      <c r="D25" s="443"/>
      <c r="E25" s="445"/>
      <c r="G25" s="378"/>
    </row>
    <row r="26" spans="1:8" ht="15.75" thickBot="1">
      <c r="A26" s="446" t="s">
        <v>4</v>
      </c>
      <c r="B26" s="447" t="s">
        <v>100</v>
      </c>
      <c r="C26" s="448" t="s">
        <v>151</v>
      </c>
      <c r="E26" s="183"/>
      <c r="F26" s="183"/>
      <c r="G26" s="378"/>
    </row>
    <row r="27" spans="1:8" ht="15.75" thickBot="1">
      <c r="A27" s="449">
        <v>0</v>
      </c>
      <c r="B27" s="450">
        <v>1</v>
      </c>
      <c r="C27" s="451">
        <v>2</v>
      </c>
      <c r="G27" s="378"/>
    </row>
    <row r="28" spans="1:8">
      <c r="A28" s="452">
        <v>1</v>
      </c>
      <c r="B28" s="452" t="s">
        <v>9</v>
      </c>
      <c r="C28" s="453">
        <f>ROUND(F16*C$24,0)</f>
        <v>3841</v>
      </c>
      <c r="G28" s="378"/>
    </row>
    <row r="29" spans="1:8" ht="15.75" thickBot="1">
      <c r="A29" s="454">
        <v>2</v>
      </c>
      <c r="B29" s="455" t="s">
        <v>120</v>
      </c>
      <c r="C29" s="453">
        <f>ROUND(F17*C$24,0)</f>
        <v>1159</v>
      </c>
      <c r="G29" s="378"/>
      <c r="H29" s="129"/>
    </row>
    <row r="30" spans="1:8" ht="15.75" thickBot="1">
      <c r="A30" s="412"/>
      <c r="B30" s="456" t="s">
        <v>130</v>
      </c>
      <c r="C30" s="457">
        <f>SUM(C28:C29)</f>
        <v>5000</v>
      </c>
      <c r="E30" s="458" t="s">
        <v>195</v>
      </c>
      <c r="F30" s="458" t="str">
        <f>IF(C30=C12,"OK","EROARE")</f>
        <v>OK</v>
      </c>
      <c r="G30" s="202"/>
      <c r="H30" s="129"/>
    </row>
    <row r="31" spans="1:8">
      <c r="A31" s="392"/>
      <c r="B31" s="392"/>
      <c r="C31" s="439"/>
      <c r="D31" s="210"/>
      <c r="G31" s="378"/>
    </row>
    <row r="32" spans="1:8">
      <c r="A32" s="130" t="s">
        <v>188</v>
      </c>
      <c r="B32"/>
      <c r="C32"/>
      <c r="F32" s="1"/>
      <c r="G32" s="378"/>
    </row>
    <row r="33" spans="1:11" ht="15.75" thickBot="1">
      <c r="A33" s="392"/>
      <c r="B33" s="130"/>
      <c r="C33" s="378"/>
      <c r="D33" s="378"/>
      <c r="E33" s="354"/>
      <c r="G33" s="378"/>
    </row>
    <row r="34" spans="1:11" ht="50.25" thickBot="1">
      <c r="A34" s="417" t="s">
        <v>4</v>
      </c>
      <c r="B34" s="428" t="s">
        <v>100</v>
      </c>
      <c r="C34" s="504">
        <v>44927</v>
      </c>
      <c r="D34" s="504">
        <v>44958</v>
      </c>
      <c r="E34" s="267" t="s">
        <v>130</v>
      </c>
      <c r="F34" s="538" t="s">
        <v>213</v>
      </c>
      <c r="G34" s="537" t="s">
        <v>214</v>
      </c>
      <c r="H34" s="132"/>
      <c r="I34" s="132"/>
      <c r="J34" s="268"/>
      <c r="K34" s="269"/>
    </row>
    <row r="35" spans="1:11">
      <c r="A35" s="459">
        <v>1</v>
      </c>
      <c r="B35" s="460" t="s">
        <v>9</v>
      </c>
      <c r="C35" s="461">
        <f>SUM(C28/2)</f>
        <v>1920.5</v>
      </c>
      <c r="D35" s="461">
        <f>SUM(C28/2)</f>
        <v>1920.5</v>
      </c>
      <c r="E35" s="462">
        <f>SUM(C35:D35)</f>
        <v>3841</v>
      </c>
      <c r="F35" s="463">
        <f>SUM('AN 2022 LA SERV NOV'!P35)</f>
        <v>1614.9166666666667</v>
      </c>
      <c r="G35" s="463">
        <f>SUM(D35/F35*100)</f>
        <v>118.92254502296299</v>
      </c>
      <c r="H35" s="463"/>
      <c r="I35" s="463"/>
      <c r="J35" s="129" t="s">
        <v>102</v>
      </c>
      <c r="K35" s="470"/>
    </row>
    <row r="36" spans="1:11" ht="15.75" thickBot="1">
      <c r="A36" s="464">
        <v>2</v>
      </c>
      <c r="B36" s="465" t="s">
        <v>120</v>
      </c>
      <c r="C36" s="461">
        <f>SUM(C29/2)</f>
        <v>579.5</v>
      </c>
      <c r="D36" s="461">
        <f>SUM(C29/2)</f>
        <v>579.5</v>
      </c>
      <c r="E36" s="462">
        <f>SUM(C36:D36)</f>
        <v>1159</v>
      </c>
      <c r="F36" s="463">
        <f>SUM('AN 2022 LA SERV NOV'!P36)</f>
        <v>631.75</v>
      </c>
      <c r="G36" s="463">
        <f>SUM(D36/F36*100)</f>
        <v>91.729323308270665</v>
      </c>
      <c r="H36" s="463"/>
      <c r="I36" s="463"/>
      <c r="J36" s="128" t="s">
        <v>123</v>
      </c>
    </row>
    <row r="37" spans="1:11" ht="15.75" thickBot="1">
      <c r="A37" s="466"/>
      <c r="B37" s="466" t="s">
        <v>130</v>
      </c>
      <c r="C37" s="467">
        <f>SUM(C35:C36)</f>
        <v>2500</v>
      </c>
      <c r="D37" s="468">
        <f t="shared" ref="D37:E37" si="0">SUM(D35:D36)</f>
        <v>2500</v>
      </c>
      <c r="E37" s="469">
        <f t="shared" si="0"/>
        <v>5000</v>
      </c>
      <c r="F37" s="378"/>
      <c r="G37" s="378"/>
      <c r="H37" s="378"/>
      <c r="I37" s="378"/>
      <c r="J37" s="128" t="s">
        <v>2</v>
      </c>
      <c r="K37" s="408"/>
    </row>
    <row r="38" spans="1:11">
      <c r="A38" s="392"/>
      <c r="B38" s="392"/>
      <c r="C38" s="378"/>
      <c r="D38" s="210"/>
      <c r="E38" s="210"/>
      <c r="F38" s="129"/>
      <c r="G38" s="470"/>
      <c r="H38" s="249"/>
      <c r="I38" s="354"/>
      <c r="J38" s="128"/>
      <c r="K38" s="354"/>
    </row>
    <row r="39" spans="1:11">
      <c r="C39" s="129"/>
      <c r="F39" s="128"/>
    </row>
    <row r="40" spans="1:11">
      <c r="D40" s="408"/>
      <c r="E40" s="408"/>
      <c r="F40" s="128"/>
      <c r="G40" s="408"/>
      <c r="H40" s="408"/>
    </row>
    <row r="41" spans="1:11">
      <c r="D41" s="408"/>
      <c r="E41" s="408"/>
    </row>
    <row r="42" spans="1:11">
      <c r="C42" s="408"/>
      <c r="D42" s="408"/>
      <c r="E42" s="408"/>
      <c r="F42" s="408"/>
      <c r="G42" s="408"/>
      <c r="H42" s="408"/>
      <c r="I42" s="408"/>
      <c r="J42" s="408"/>
    </row>
    <row r="43" spans="1:11">
      <c r="C43" s="408"/>
      <c r="D43" s="408"/>
      <c r="E43" s="408"/>
      <c r="F43" s="408"/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28" workbookViewId="0">
      <selection activeCell="A2" sqref="A2"/>
    </sheetView>
  </sheetViews>
  <sheetFormatPr defaultRowHeight="15"/>
  <cols>
    <col min="1" max="1" width="5.28515625" customWidth="1"/>
    <col min="2" max="2" width="25" customWidth="1"/>
    <col min="3" max="3" width="21.5703125" bestFit="1" customWidth="1"/>
    <col min="4" max="4" width="14.85546875" customWidth="1"/>
    <col min="5" max="5" width="12.42578125" customWidth="1"/>
    <col min="6" max="6" width="12.28515625" bestFit="1" customWidth="1"/>
    <col min="7" max="7" width="16.42578125" customWidth="1"/>
    <col min="8" max="8" width="13.85546875" customWidth="1"/>
    <col min="9" max="9" width="13.140625" customWidth="1"/>
    <col min="10" max="10" width="10.7109375" customWidth="1"/>
    <col min="11" max="11" width="14" customWidth="1"/>
    <col min="12" max="12" width="8.5703125" bestFit="1" customWidth="1"/>
    <col min="13" max="13" width="9.85546875" bestFit="1" customWidth="1"/>
  </cols>
  <sheetData>
    <row r="1" spans="1:14" ht="17.25">
      <c r="A1" s="350" t="s">
        <v>0</v>
      </c>
      <c r="B1" s="183"/>
      <c r="C1" s="183"/>
      <c r="D1" s="183"/>
      <c r="E1" s="183"/>
      <c r="F1" s="183"/>
      <c r="J1" s="276"/>
      <c r="K1" s="276"/>
      <c r="L1" s="277"/>
      <c r="M1" s="277"/>
      <c r="N1" s="277"/>
    </row>
    <row r="2" spans="1:14" ht="18">
      <c r="A2" s="351" t="s">
        <v>255</v>
      </c>
      <c r="B2" s="278"/>
      <c r="C2" s="183"/>
      <c r="D2" s="183"/>
      <c r="E2" s="183"/>
      <c r="F2" s="183"/>
      <c r="G2" s="184"/>
      <c r="H2" s="184"/>
      <c r="I2" s="184"/>
    </row>
    <row r="3" spans="1:14">
      <c r="A3" s="128" t="s">
        <v>37</v>
      </c>
      <c r="B3" s="128"/>
      <c r="C3" s="185"/>
      <c r="D3" s="128" t="s">
        <v>98</v>
      </c>
      <c r="E3" s="185"/>
      <c r="F3" s="186"/>
      <c r="H3" s="128"/>
      <c r="I3" s="183"/>
    </row>
    <row r="4" spans="1:14">
      <c r="A4" s="128" t="s">
        <v>1</v>
      </c>
      <c r="B4" s="128"/>
      <c r="C4" s="185"/>
      <c r="D4" s="128" t="s">
        <v>99</v>
      </c>
      <c r="E4" s="185"/>
      <c r="F4" s="186"/>
      <c r="H4" s="128"/>
      <c r="I4" s="183"/>
    </row>
    <row r="5" spans="1:14">
      <c r="A5" s="129"/>
      <c r="B5" s="129"/>
      <c r="D5" s="129"/>
      <c r="E5" s="183"/>
      <c r="G5" s="129"/>
      <c r="I5" s="183"/>
      <c r="K5" s="279"/>
    </row>
    <row r="6" spans="1:14">
      <c r="A6" s="129"/>
      <c r="B6" s="129"/>
      <c r="C6" s="183"/>
      <c r="D6" s="183"/>
      <c r="E6" s="183"/>
      <c r="F6" s="183"/>
      <c r="J6" s="276"/>
      <c r="K6" s="279"/>
    </row>
    <row r="7" spans="1:14">
      <c r="B7" s="130" t="s">
        <v>206</v>
      </c>
      <c r="C7" s="280"/>
      <c r="D7" s="280"/>
      <c r="E7" s="280"/>
      <c r="F7" s="279"/>
      <c r="G7" s="279"/>
      <c r="H7" s="276"/>
      <c r="J7" s="276"/>
      <c r="K7" s="276"/>
    </row>
    <row r="8" spans="1:14" ht="12.75" customHeight="1">
      <c r="A8" s="130"/>
      <c r="B8" s="130" t="s">
        <v>189</v>
      </c>
      <c r="D8" s="280"/>
      <c r="E8" s="280"/>
      <c r="F8" s="279"/>
      <c r="G8" s="279"/>
      <c r="H8" s="276"/>
      <c r="J8" s="276"/>
      <c r="K8" s="276"/>
    </row>
    <row r="9" spans="1:14">
      <c r="A9" s="130"/>
      <c r="B9" s="281"/>
      <c r="C9" s="130"/>
      <c r="D9" s="280"/>
      <c r="E9" s="280"/>
      <c r="F9" s="279"/>
      <c r="G9" s="279"/>
      <c r="H9" s="276"/>
      <c r="J9" s="279"/>
      <c r="K9" s="279"/>
    </row>
    <row r="10" spans="1:14" ht="16.5" thickBot="1">
      <c r="A10" s="231" t="s">
        <v>183</v>
      </c>
      <c r="B10" s="282"/>
      <c r="C10" s="283">
        <f>SUM('buget ian + feb'!G21)</f>
        <v>61000</v>
      </c>
      <c r="D10" s="199" t="s">
        <v>159</v>
      </c>
      <c r="E10" s="284"/>
      <c r="F10" s="285"/>
      <c r="G10" s="285"/>
      <c r="H10" s="286"/>
      <c r="I10" s="87"/>
      <c r="J10" s="134"/>
      <c r="K10" s="87"/>
    </row>
    <row r="11" spans="1:14" ht="30.75" thickBot="1">
      <c r="A11" s="417" t="s">
        <v>4</v>
      </c>
      <c r="B11" s="418" t="s">
        <v>100</v>
      </c>
      <c r="C11" s="419" t="s">
        <v>160</v>
      </c>
      <c r="D11" s="419" t="s">
        <v>161</v>
      </c>
      <c r="E11" s="419" t="s">
        <v>162</v>
      </c>
      <c r="F11" s="420" t="s">
        <v>163</v>
      </c>
      <c r="G11" s="421" t="s">
        <v>164</v>
      </c>
      <c r="H11" s="422" t="s">
        <v>165</v>
      </c>
      <c r="I11" s="287"/>
      <c r="J11" s="202"/>
    </row>
    <row r="12" spans="1:14" ht="15.75">
      <c r="A12" s="288">
        <v>0</v>
      </c>
      <c r="B12" s="289">
        <v>1</v>
      </c>
      <c r="C12" s="290">
        <v>2</v>
      </c>
      <c r="D12" s="290">
        <v>3</v>
      </c>
      <c r="E12" s="291">
        <v>4</v>
      </c>
      <c r="F12" s="292" t="s">
        <v>158</v>
      </c>
      <c r="G12" s="293">
        <v>6</v>
      </c>
      <c r="H12" s="294">
        <v>7</v>
      </c>
      <c r="I12" s="202"/>
      <c r="J12" s="202"/>
    </row>
    <row r="13" spans="1:14" ht="15.75">
      <c r="A13" s="295">
        <v>1</v>
      </c>
      <c r="B13" s="296" t="s">
        <v>19</v>
      </c>
      <c r="C13" s="297">
        <v>14.87</v>
      </c>
      <c r="D13" s="297">
        <v>12.83</v>
      </c>
      <c r="E13" s="297">
        <v>28</v>
      </c>
      <c r="F13" s="298">
        <f>SUM(C13:E13)</f>
        <v>55.7</v>
      </c>
      <c r="G13" s="299">
        <v>0</v>
      </c>
      <c r="H13" s="299">
        <f>F13+G13</f>
        <v>55.7</v>
      </c>
      <c r="I13" s="300"/>
      <c r="J13" s="202"/>
    </row>
    <row r="14" spans="1:14" ht="15.75">
      <c r="A14" s="295">
        <v>2</v>
      </c>
      <c r="B14" s="296" t="s">
        <v>7</v>
      </c>
      <c r="C14" s="297">
        <v>10.63</v>
      </c>
      <c r="D14" s="297">
        <v>9.17</v>
      </c>
      <c r="E14" s="297">
        <v>28</v>
      </c>
      <c r="F14" s="298">
        <f t="shared" ref="F14:F20" si="0">SUM(C14:E14)</f>
        <v>47.8</v>
      </c>
      <c r="G14" s="299">
        <v>0</v>
      </c>
      <c r="H14" s="299">
        <f t="shared" ref="H14:H20" si="1">F14+G14</f>
        <v>47.8</v>
      </c>
      <c r="I14" s="300"/>
      <c r="J14" s="202"/>
    </row>
    <row r="15" spans="1:14" ht="15.75">
      <c r="A15" s="295">
        <v>3</v>
      </c>
      <c r="B15" s="296" t="s">
        <v>20</v>
      </c>
      <c r="C15" s="297">
        <v>12.83</v>
      </c>
      <c r="D15" s="297">
        <v>23.3</v>
      </c>
      <c r="E15" s="297">
        <v>12</v>
      </c>
      <c r="F15" s="298">
        <f t="shared" si="0"/>
        <v>48.13</v>
      </c>
      <c r="G15" s="299">
        <v>0</v>
      </c>
      <c r="H15" s="299">
        <f t="shared" si="1"/>
        <v>48.13</v>
      </c>
      <c r="I15" s="300"/>
      <c r="J15" s="202"/>
    </row>
    <row r="16" spans="1:14" ht="15.75">
      <c r="A16" s="295">
        <v>4</v>
      </c>
      <c r="B16" s="296" t="s">
        <v>21</v>
      </c>
      <c r="C16" s="297">
        <v>7</v>
      </c>
      <c r="D16" s="297">
        <v>5</v>
      </c>
      <c r="E16" s="297">
        <v>20</v>
      </c>
      <c r="F16" s="298">
        <f t="shared" si="0"/>
        <v>32</v>
      </c>
      <c r="G16" s="299">
        <v>0</v>
      </c>
      <c r="H16" s="299">
        <f t="shared" si="1"/>
        <v>32</v>
      </c>
      <c r="I16" s="300"/>
      <c r="J16" s="202"/>
    </row>
    <row r="17" spans="1:10" ht="47.25">
      <c r="A17" s="295">
        <v>5</v>
      </c>
      <c r="B17" s="728" t="s">
        <v>253</v>
      </c>
      <c r="C17" s="725">
        <v>20.399999999999999</v>
      </c>
      <c r="D17" s="725">
        <v>11.08</v>
      </c>
      <c r="E17" s="725">
        <v>17</v>
      </c>
      <c r="F17" s="726">
        <f t="shared" si="0"/>
        <v>48.48</v>
      </c>
      <c r="G17" s="727">
        <v>0</v>
      </c>
      <c r="H17" s="727">
        <f t="shared" si="1"/>
        <v>48.48</v>
      </c>
      <c r="I17" s="300"/>
      <c r="J17" s="202"/>
    </row>
    <row r="18" spans="1:10" ht="15.75">
      <c r="A18" s="295">
        <v>6</v>
      </c>
      <c r="B18" s="209" t="s">
        <v>11</v>
      </c>
      <c r="C18" s="297">
        <v>6.13</v>
      </c>
      <c r="D18" s="297">
        <v>3.75</v>
      </c>
      <c r="E18" s="297">
        <v>20</v>
      </c>
      <c r="F18" s="298">
        <f t="shared" si="0"/>
        <v>29.88</v>
      </c>
      <c r="G18" s="299">
        <v>0</v>
      </c>
      <c r="H18" s="299">
        <f t="shared" si="1"/>
        <v>29.88</v>
      </c>
      <c r="I18" s="300"/>
      <c r="J18" s="202"/>
    </row>
    <row r="19" spans="1:10" ht="15.75">
      <c r="A19" s="295">
        <v>7</v>
      </c>
      <c r="B19" s="209" t="s">
        <v>10</v>
      </c>
      <c r="C19" s="297">
        <v>6.67</v>
      </c>
      <c r="D19" s="297">
        <v>5.68</v>
      </c>
      <c r="E19" s="297">
        <v>27</v>
      </c>
      <c r="F19" s="298">
        <f t="shared" si="0"/>
        <v>39.35</v>
      </c>
      <c r="G19" s="299">
        <v>0</v>
      </c>
      <c r="H19" s="299">
        <f t="shared" si="1"/>
        <v>39.35</v>
      </c>
      <c r="I19" s="202"/>
      <c r="J19" s="202"/>
    </row>
    <row r="20" spans="1:10" ht="16.5" thickBot="1">
      <c r="A20" s="301">
        <v>8</v>
      </c>
      <c r="B20" s="211" t="s">
        <v>92</v>
      </c>
      <c r="C20" s="302">
        <v>3.5</v>
      </c>
      <c r="D20" s="302">
        <v>2.84</v>
      </c>
      <c r="E20" s="302">
        <v>17</v>
      </c>
      <c r="F20" s="303">
        <f t="shared" si="0"/>
        <v>23.34</v>
      </c>
      <c r="G20" s="304">
        <v>0</v>
      </c>
      <c r="H20" s="304">
        <f t="shared" si="1"/>
        <v>23.34</v>
      </c>
      <c r="I20" s="202"/>
      <c r="J20" s="202"/>
    </row>
    <row r="21" spans="1:10" ht="16.5" thickBot="1">
      <c r="A21" s="305"/>
      <c r="B21" s="306" t="s">
        <v>130</v>
      </c>
      <c r="C21" s="307">
        <f>SUM(C13:C20)</f>
        <v>82.029999999999987</v>
      </c>
      <c r="D21" s="307">
        <f t="shared" ref="D21:H21" si="2">SUM(D13:D20)</f>
        <v>73.650000000000006</v>
      </c>
      <c r="E21" s="307">
        <f t="shared" si="2"/>
        <v>169</v>
      </c>
      <c r="F21" s="307">
        <f t="shared" si="2"/>
        <v>324.68</v>
      </c>
      <c r="G21" s="307">
        <f t="shared" si="2"/>
        <v>0</v>
      </c>
      <c r="H21" s="307">
        <f t="shared" si="2"/>
        <v>324.68</v>
      </c>
      <c r="I21" s="202"/>
      <c r="J21" s="202"/>
    </row>
    <row r="22" spans="1:10" ht="15.75">
      <c r="A22" s="308"/>
      <c r="B22" s="308"/>
      <c r="C22" s="309"/>
      <c r="D22" s="309"/>
      <c r="E22" s="309"/>
      <c r="F22" s="309"/>
      <c r="G22" s="309"/>
      <c r="H22" s="309"/>
      <c r="I22" s="202"/>
      <c r="J22" s="202"/>
    </row>
    <row r="23" spans="1:10">
      <c r="I23" s="202"/>
      <c r="J23" s="202"/>
    </row>
    <row r="24" spans="1:10" ht="15.75">
      <c r="A24" s="310" t="s">
        <v>166</v>
      </c>
      <c r="B24" s="311"/>
      <c r="C24" s="311"/>
      <c r="D24" s="311"/>
      <c r="E24" s="311"/>
      <c r="F24" s="311"/>
      <c r="G24" s="312">
        <f>C10</f>
        <v>61000</v>
      </c>
      <c r="H24" s="313" t="s">
        <v>101</v>
      </c>
    </row>
    <row r="25" spans="1:10" ht="15.75">
      <c r="B25" s="311"/>
      <c r="C25" s="311"/>
      <c r="D25" s="311"/>
      <c r="E25" s="311"/>
      <c r="F25" s="311"/>
      <c r="G25" s="311"/>
      <c r="H25" s="314"/>
    </row>
    <row r="26" spans="1:10" ht="15.75">
      <c r="B26" s="315" t="s">
        <v>142</v>
      </c>
      <c r="C26" s="316"/>
      <c r="D26" s="316"/>
      <c r="E26" s="316"/>
      <c r="F26" s="316"/>
      <c r="G26" s="311"/>
      <c r="H26" s="314"/>
    </row>
    <row r="27" spans="1:10" ht="16.5" thickBot="1">
      <c r="B27" s="315"/>
      <c r="C27" s="316"/>
      <c r="D27" s="316"/>
      <c r="E27" s="316"/>
      <c r="F27" s="316"/>
      <c r="G27" s="311"/>
      <c r="H27" s="314"/>
    </row>
    <row r="28" spans="1:10" ht="15.75">
      <c r="B28" s="232" t="s">
        <v>144</v>
      </c>
      <c r="C28" s="233" t="s">
        <v>167</v>
      </c>
      <c r="D28" s="311"/>
      <c r="E28" s="311"/>
      <c r="F28" s="311"/>
    </row>
    <row r="29" spans="1:10" ht="15.75">
      <c r="A29" s="310"/>
      <c r="B29" s="237" t="s">
        <v>104</v>
      </c>
      <c r="C29" s="317">
        <f>G24</f>
        <v>61000</v>
      </c>
      <c r="D29" s="318"/>
      <c r="E29" s="319"/>
      <c r="F29" s="311"/>
    </row>
    <row r="30" spans="1:10" ht="16.5" thickBot="1">
      <c r="A30" s="310"/>
      <c r="B30" s="241" t="s">
        <v>150</v>
      </c>
      <c r="C30" s="242">
        <f>ROUND(C29/H21,6)</f>
        <v>187.877295</v>
      </c>
      <c r="D30" s="311"/>
      <c r="E30" s="311"/>
      <c r="F30" s="311"/>
    </row>
    <row r="31" spans="1:10" ht="15.75">
      <c r="A31" s="310"/>
      <c r="B31" s="245"/>
      <c r="C31" s="246"/>
      <c r="D31" s="311"/>
      <c r="E31" s="311"/>
      <c r="F31" s="311"/>
    </row>
    <row r="32" spans="1:10" ht="16.5" thickBot="1">
      <c r="A32" s="310"/>
      <c r="B32" s="245"/>
      <c r="C32" s="246"/>
      <c r="D32" s="311"/>
      <c r="E32" s="311"/>
      <c r="F32" s="311"/>
    </row>
    <row r="33" spans="1:9" ht="19.5" customHeight="1" thickBot="1">
      <c r="A33" s="320" t="s">
        <v>4</v>
      </c>
      <c r="B33" s="320" t="s">
        <v>100</v>
      </c>
      <c r="C33" s="200" t="s">
        <v>168</v>
      </c>
      <c r="E33" s="311"/>
      <c r="F33" s="311"/>
      <c r="G33" s="311"/>
      <c r="H33" s="314"/>
    </row>
    <row r="34" spans="1:9" ht="15.75">
      <c r="A34" s="295">
        <v>1</v>
      </c>
      <c r="B34" s="321" t="s">
        <v>19</v>
      </c>
      <c r="C34" s="322">
        <f>ROUND(C$30*H13,0)</f>
        <v>10465</v>
      </c>
      <c r="E34" s="311"/>
      <c r="F34" s="311"/>
      <c r="G34" s="311"/>
      <c r="H34" s="314"/>
    </row>
    <row r="35" spans="1:9" ht="15.75">
      <c r="A35" s="295">
        <v>2</v>
      </c>
      <c r="B35" s="321" t="s">
        <v>7</v>
      </c>
      <c r="C35" s="322">
        <f t="shared" ref="C35:C41" si="3">ROUND(C$30*H14,0)</f>
        <v>8981</v>
      </c>
      <c r="E35" s="311"/>
      <c r="F35" s="311"/>
      <c r="G35" s="311"/>
      <c r="H35" s="314"/>
    </row>
    <row r="36" spans="1:9" ht="15.75">
      <c r="A36" s="295">
        <v>3</v>
      </c>
      <c r="B36" s="321" t="s">
        <v>20</v>
      </c>
      <c r="C36" s="322">
        <f t="shared" si="3"/>
        <v>9043</v>
      </c>
      <c r="E36" s="323"/>
      <c r="F36" s="323"/>
      <c r="G36" s="323"/>
      <c r="H36" s="314"/>
      <c r="I36" s="202"/>
    </row>
    <row r="37" spans="1:9" ht="15.75">
      <c r="A37" s="295">
        <v>4</v>
      </c>
      <c r="B37" s="321" t="s">
        <v>21</v>
      </c>
      <c r="C37" s="322">
        <f t="shared" si="3"/>
        <v>6012</v>
      </c>
      <c r="E37" s="323"/>
      <c r="F37" s="323"/>
      <c r="G37" s="323"/>
      <c r="H37" s="314"/>
      <c r="I37" s="202"/>
    </row>
    <row r="38" spans="1:9" ht="15.75">
      <c r="A38" s="295">
        <v>5</v>
      </c>
      <c r="B38" s="321" t="s">
        <v>120</v>
      </c>
      <c r="C38" s="322">
        <f t="shared" si="3"/>
        <v>9108</v>
      </c>
      <c r="E38" s="323"/>
      <c r="F38" s="323"/>
      <c r="G38" s="323"/>
      <c r="H38" s="314"/>
      <c r="I38" s="202"/>
    </row>
    <row r="39" spans="1:9" ht="15.75">
      <c r="A39" s="295">
        <v>6</v>
      </c>
      <c r="B39" s="423" t="s">
        <v>11</v>
      </c>
      <c r="C39" s="322">
        <f t="shared" si="3"/>
        <v>5614</v>
      </c>
      <c r="E39" s="323"/>
      <c r="F39" s="323"/>
      <c r="G39" s="323"/>
      <c r="H39" s="314"/>
      <c r="I39" s="202"/>
    </row>
    <row r="40" spans="1:9" ht="15.75">
      <c r="A40" s="295">
        <v>7</v>
      </c>
      <c r="B40" s="423" t="s">
        <v>10</v>
      </c>
      <c r="C40" s="322">
        <f t="shared" si="3"/>
        <v>7393</v>
      </c>
      <c r="G40" s="324"/>
    </row>
    <row r="41" spans="1:9" ht="16.5" thickBot="1">
      <c r="A41" s="301">
        <v>8</v>
      </c>
      <c r="B41" s="325" t="s">
        <v>92</v>
      </c>
      <c r="C41" s="322">
        <f t="shared" si="3"/>
        <v>4385</v>
      </c>
      <c r="G41" s="324"/>
      <c r="H41" s="326"/>
      <c r="I41" s="326"/>
    </row>
    <row r="42" spans="1:9" ht="16.5" thickBot="1">
      <c r="A42" s="305"/>
      <c r="B42" s="306" t="s">
        <v>130</v>
      </c>
      <c r="C42" s="218">
        <f>SUM(C34:C41)</f>
        <v>61001</v>
      </c>
      <c r="E42" s="326" t="s">
        <v>93</v>
      </c>
      <c r="F42" s="326" t="str">
        <f>IF(C42=C10,"ok", "eroare")</f>
        <v>eroare</v>
      </c>
      <c r="G42" s="324"/>
      <c r="H42" s="326"/>
      <c r="I42" s="326"/>
    </row>
    <row r="43" spans="1:9" ht="15.75">
      <c r="A43" s="327"/>
      <c r="B43" s="327"/>
      <c r="C43" s="328"/>
      <c r="D43" s="329"/>
      <c r="E43" s="323"/>
      <c r="F43" s="323"/>
      <c r="G43" s="323"/>
      <c r="H43" s="314"/>
      <c r="I43" s="202"/>
    </row>
    <row r="44" spans="1:9" ht="15.75">
      <c r="A44" s="327"/>
      <c r="B44" s="327"/>
      <c r="C44" s="328"/>
      <c r="D44" s="329"/>
      <c r="E44" s="323"/>
      <c r="F44" s="323"/>
      <c r="G44" s="323"/>
      <c r="H44" s="314"/>
      <c r="I44" s="202"/>
    </row>
    <row r="45" spans="1:9" ht="15.75">
      <c r="A45" s="327"/>
      <c r="B45" s="327"/>
      <c r="C45" s="328"/>
      <c r="D45" s="329"/>
      <c r="E45" s="323"/>
      <c r="F45" s="323"/>
      <c r="G45" s="323"/>
      <c r="H45" s="314"/>
      <c r="I45" s="202"/>
    </row>
    <row r="46" spans="1:9" ht="15.75">
      <c r="A46" s="330" t="s">
        <v>169</v>
      </c>
      <c r="B46" s="137"/>
      <c r="C46" s="137"/>
      <c r="D46" s="137"/>
      <c r="E46" s="137"/>
      <c r="F46" s="137"/>
      <c r="G46" s="137"/>
      <c r="H46" s="314"/>
    </row>
    <row r="47" spans="1:9" ht="15.75">
      <c r="A47" s="330" t="s">
        <v>170</v>
      </c>
      <c r="B47" s="137"/>
      <c r="C47" s="137"/>
      <c r="D47" s="137"/>
      <c r="E47" s="137"/>
      <c r="F47" s="137"/>
      <c r="G47" s="137"/>
      <c r="H47" s="314"/>
    </row>
    <row r="48" spans="1:9" ht="15.75">
      <c r="A48" s="330" t="s">
        <v>171</v>
      </c>
      <c r="B48" s="137"/>
      <c r="C48" s="137"/>
      <c r="D48" s="137"/>
      <c r="E48" s="137"/>
      <c r="F48" s="137"/>
      <c r="G48" s="137"/>
      <c r="H48" s="314"/>
    </row>
    <row r="49" spans="1:13" ht="15.75">
      <c r="A49" s="330"/>
      <c r="B49" s="137"/>
      <c r="C49" s="137"/>
      <c r="D49" s="137"/>
      <c r="E49" s="137"/>
      <c r="F49" s="137"/>
      <c r="G49" s="137"/>
      <c r="H49" s="314"/>
    </row>
    <row r="50" spans="1:13" ht="15.75">
      <c r="A50" s="330"/>
      <c r="B50" s="137"/>
      <c r="C50" s="137"/>
      <c r="D50" s="137"/>
      <c r="E50" s="137"/>
      <c r="F50" s="137"/>
      <c r="G50" s="137"/>
      <c r="H50" s="314"/>
    </row>
    <row r="51" spans="1:13" ht="15.75">
      <c r="A51" s="330"/>
      <c r="B51" s="130" t="s">
        <v>206</v>
      </c>
      <c r="C51" s="137"/>
      <c r="D51" s="137"/>
      <c r="E51" s="137"/>
      <c r="F51" s="137"/>
      <c r="G51" s="137"/>
      <c r="H51" s="314"/>
    </row>
    <row r="52" spans="1:13" ht="16.5" thickBot="1">
      <c r="A52" s="330"/>
      <c r="B52" s="137"/>
      <c r="C52" s="137"/>
      <c r="D52" s="137"/>
      <c r="E52" s="331"/>
      <c r="F52" s="331"/>
      <c r="G52" s="331"/>
      <c r="H52" s="314"/>
    </row>
    <row r="53" spans="1:13" ht="17.25" thickBot="1">
      <c r="A53" s="332" t="s">
        <v>4</v>
      </c>
      <c r="B53" s="333" t="s">
        <v>100</v>
      </c>
      <c r="C53" s="251" t="s">
        <v>204</v>
      </c>
      <c r="D53" s="251" t="s">
        <v>205</v>
      </c>
      <c r="E53" s="267" t="s">
        <v>130</v>
      </c>
      <c r="F53" s="208"/>
      <c r="G53" s="510" t="s">
        <v>207</v>
      </c>
      <c r="H53" s="511"/>
      <c r="I53" s="539" t="s">
        <v>213</v>
      </c>
      <c r="J53" s="539" t="s">
        <v>215</v>
      </c>
      <c r="K53" s="269"/>
      <c r="L53" s="202"/>
    </row>
    <row r="54" spans="1:13" ht="15.75">
      <c r="A54" s="506">
        <v>1</v>
      </c>
      <c r="B54" s="321" t="s">
        <v>19</v>
      </c>
      <c r="C54" s="424">
        <f>SUM(C34/2)</f>
        <v>5232.5</v>
      </c>
      <c r="D54" s="424">
        <f>SUM(C34/2)</f>
        <v>5232.5</v>
      </c>
      <c r="E54" s="507">
        <f>SUM(C54:D54)</f>
        <v>10465</v>
      </c>
      <c r="F54" s="509">
        <f>SUM(E54-C34)</f>
        <v>0</v>
      </c>
      <c r="G54" s="512">
        <f>SUM('suma max eco'!M6)</f>
        <v>6300</v>
      </c>
      <c r="H54" s="513">
        <f>SUM(D54-G54)</f>
        <v>-1067.5</v>
      </c>
      <c r="I54" s="334">
        <f>SUM('AN 2022 LA SERV NOV'!P41)</f>
        <v>5357.083333333333</v>
      </c>
      <c r="J54" s="334">
        <f>SUM(D54/I54*100)</f>
        <v>97.674418604651166</v>
      </c>
      <c r="K54" s="334"/>
      <c r="L54" s="202"/>
      <c r="M54" s="244"/>
    </row>
    <row r="55" spans="1:13" ht="15.75">
      <c r="A55" s="506">
        <v>2</v>
      </c>
      <c r="B55" s="321" t="s">
        <v>7</v>
      </c>
      <c r="C55" s="424">
        <f t="shared" ref="C55:C61" si="4">SUM(C35/2)</f>
        <v>4490.5</v>
      </c>
      <c r="D55" s="424">
        <f t="shared" ref="D55:D61" si="5">SUM(C35/2)</f>
        <v>4490.5</v>
      </c>
      <c r="E55" s="507">
        <f t="shared" ref="E55:E61" si="6">SUM(C55:D55)</f>
        <v>8981</v>
      </c>
      <c r="F55" s="509">
        <f t="shared" ref="F55:F61" si="7">SUM(E55-C35)</f>
        <v>0</v>
      </c>
      <c r="G55" s="512">
        <f>SUM('suma max eco'!M7)</f>
        <v>4500</v>
      </c>
      <c r="H55" s="513">
        <f t="shared" ref="H55:H61" si="8">SUM(D55-G55)</f>
        <v>-9.5</v>
      </c>
      <c r="I55" s="334">
        <f>SUM('AN 2022 LA SERV NOV'!P42)</f>
        <v>4486.666666666667</v>
      </c>
      <c r="J55" s="334">
        <f t="shared" ref="J55:J61" si="9">SUM(D55/I55*100)</f>
        <v>100.08543833580981</v>
      </c>
      <c r="K55" s="334"/>
      <c r="L55" s="202"/>
      <c r="M55" s="244"/>
    </row>
    <row r="56" spans="1:13" ht="15.75">
      <c r="A56" s="506">
        <v>3</v>
      </c>
      <c r="B56" s="321" t="s">
        <v>20</v>
      </c>
      <c r="C56" s="424">
        <f t="shared" si="4"/>
        <v>4521.5</v>
      </c>
      <c r="D56" s="424">
        <f t="shared" si="5"/>
        <v>4521.5</v>
      </c>
      <c r="E56" s="507">
        <f t="shared" si="6"/>
        <v>9043</v>
      </c>
      <c r="F56" s="509">
        <f t="shared" si="7"/>
        <v>0</v>
      </c>
      <c r="G56" s="512">
        <f>SUM('suma max eco'!M8)</f>
        <v>6300</v>
      </c>
      <c r="H56" s="513">
        <f t="shared" si="8"/>
        <v>-1778.5</v>
      </c>
      <c r="I56" s="334">
        <f>SUM('AN 2022 LA SERV NOV'!P43)</f>
        <v>5200</v>
      </c>
      <c r="J56" s="334">
        <f t="shared" si="9"/>
        <v>86.95192307692308</v>
      </c>
      <c r="K56" s="334"/>
      <c r="L56" s="202"/>
      <c r="M56" s="244"/>
    </row>
    <row r="57" spans="1:13" ht="15.75">
      <c r="A57" s="506">
        <v>4</v>
      </c>
      <c r="B57" s="321" t="s">
        <v>21</v>
      </c>
      <c r="C57" s="424">
        <f t="shared" si="4"/>
        <v>3006</v>
      </c>
      <c r="D57" s="424">
        <f t="shared" si="5"/>
        <v>3006</v>
      </c>
      <c r="E57" s="507">
        <f t="shared" si="6"/>
        <v>6012</v>
      </c>
      <c r="F57" s="509">
        <f t="shared" si="7"/>
        <v>0</v>
      </c>
      <c r="G57" s="512">
        <f>SUM('suma max eco'!M9)</f>
        <v>7200</v>
      </c>
      <c r="H57" s="513">
        <f t="shared" si="8"/>
        <v>-4194</v>
      </c>
      <c r="I57" s="334">
        <f>SUM('AN 2022 LA SERV NOV'!P44)</f>
        <v>3966.1666666666665</v>
      </c>
      <c r="J57" s="334">
        <f t="shared" si="9"/>
        <v>75.791066100769015</v>
      </c>
      <c r="K57" s="334"/>
      <c r="L57" s="202"/>
      <c r="M57" s="244"/>
    </row>
    <row r="58" spans="1:13" ht="15.75">
      <c r="A58" s="506">
        <v>5</v>
      </c>
      <c r="B58" s="321" t="s">
        <v>120</v>
      </c>
      <c r="C58" s="424">
        <f t="shared" si="4"/>
        <v>4554</v>
      </c>
      <c r="D58" s="424">
        <f t="shared" si="5"/>
        <v>4554</v>
      </c>
      <c r="E58" s="507">
        <f t="shared" si="6"/>
        <v>9108</v>
      </c>
      <c r="F58" s="509">
        <f t="shared" si="7"/>
        <v>0</v>
      </c>
      <c r="G58" s="512">
        <f>SUM('suma max eco'!M10)</f>
        <v>5580</v>
      </c>
      <c r="H58" s="513">
        <f t="shared" si="8"/>
        <v>-1026</v>
      </c>
      <c r="I58" s="334">
        <f>SUM('AN 2022 LA SERV NOV'!P45)</f>
        <v>3405.8333333333335</v>
      </c>
      <c r="J58" s="334">
        <f t="shared" si="9"/>
        <v>133.71176902373378</v>
      </c>
      <c r="K58" s="334"/>
      <c r="L58" s="202"/>
      <c r="M58" s="244"/>
    </row>
    <row r="59" spans="1:13" ht="15.75">
      <c r="A59" s="506">
        <v>6</v>
      </c>
      <c r="B59" s="423" t="s">
        <v>11</v>
      </c>
      <c r="C59" s="424">
        <f t="shared" si="4"/>
        <v>2807</v>
      </c>
      <c r="D59" s="424">
        <f t="shared" si="5"/>
        <v>2807</v>
      </c>
      <c r="E59" s="507">
        <f t="shared" si="6"/>
        <v>5614</v>
      </c>
      <c r="F59" s="509">
        <f t="shared" si="7"/>
        <v>0</v>
      </c>
      <c r="G59" s="512">
        <f>SUM('suma max eco'!M11)</f>
        <v>5400</v>
      </c>
      <c r="H59" s="513">
        <f t="shared" si="8"/>
        <v>-2593</v>
      </c>
      <c r="I59" s="334">
        <f>SUM('AN 2022 LA SERV NOV'!P46)</f>
        <v>1625.25</v>
      </c>
      <c r="J59" s="334">
        <f t="shared" si="9"/>
        <v>172.71189047838794</v>
      </c>
      <c r="K59" s="334"/>
      <c r="L59" s="202"/>
      <c r="M59" s="244"/>
    </row>
    <row r="60" spans="1:13" ht="15.75">
      <c r="A60" s="506">
        <v>7</v>
      </c>
      <c r="B60" s="423" t="s">
        <v>10</v>
      </c>
      <c r="C60" s="424">
        <f t="shared" si="4"/>
        <v>3696.5</v>
      </c>
      <c r="D60" s="424">
        <f t="shared" si="5"/>
        <v>3696.5</v>
      </c>
      <c r="E60" s="507">
        <f t="shared" si="6"/>
        <v>7393</v>
      </c>
      <c r="F60" s="509">
        <f t="shared" si="7"/>
        <v>0</v>
      </c>
      <c r="G60" s="512">
        <f>SUM('suma max eco'!M12)</f>
        <v>3600</v>
      </c>
      <c r="H60" s="513">
        <f t="shared" si="8"/>
        <v>96.5</v>
      </c>
      <c r="I60" s="540">
        <f>SUM('AN 2022 LA SERV NOV'!P47)</f>
        <v>655</v>
      </c>
      <c r="J60" s="540">
        <f t="shared" si="9"/>
        <v>564.35114503816794</v>
      </c>
      <c r="K60" s="334"/>
      <c r="L60" s="202"/>
      <c r="M60" s="244"/>
    </row>
    <row r="61" spans="1:13" ht="16.5" thickBot="1">
      <c r="A61" s="508">
        <v>8</v>
      </c>
      <c r="B61" s="325" t="s">
        <v>92</v>
      </c>
      <c r="C61" s="424">
        <f t="shared" si="4"/>
        <v>2192.5</v>
      </c>
      <c r="D61" s="424">
        <f t="shared" si="5"/>
        <v>2192.5</v>
      </c>
      <c r="E61" s="507">
        <f t="shared" si="6"/>
        <v>4385</v>
      </c>
      <c r="F61" s="509">
        <f t="shared" si="7"/>
        <v>0</v>
      </c>
      <c r="G61" s="514">
        <f>SUM('suma max eco'!M13)</f>
        <v>3600</v>
      </c>
      <c r="H61" s="515">
        <f t="shared" si="8"/>
        <v>-1407.5</v>
      </c>
      <c r="I61" s="540">
        <f>SUM('AN 2022 LA SERV NOV'!P48)</f>
        <v>1078.6666666666667</v>
      </c>
      <c r="J61" s="540">
        <f t="shared" si="9"/>
        <v>203.26019777503089</v>
      </c>
      <c r="K61" s="334"/>
      <c r="L61" s="202"/>
      <c r="M61" s="244"/>
    </row>
    <row r="62" spans="1:13" ht="16.5" thickBot="1">
      <c r="A62" s="335"/>
      <c r="B62" s="335" t="s">
        <v>130</v>
      </c>
      <c r="C62" s="336">
        <f>SUM(C54:C61)</f>
        <v>30500.5</v>
      </c>
      <c r="D62" s="336">
        <f>SUM(D54:D61)</f>
        <v>30500.5</v>
      </c>
      <c r="E62" s="337">
        <f>SUM(E54:E61)</f>
        <v>61001</v>
      </c>
      <c r="F62" s="338"/>
      <c r="G62" s="338"/>
      <c r="H62" s="541" t="s">
        <v>216</v>
      </c>
      <c r="I62" s="541"/>
      <c r="J62" s="541"/>
      <c r="K62" s="338"/>
      <c r="L62" s="202"/>
      <c r="M62" s="244"/>
    </row>
    <row r="63" spans="1:13">
      <c r="D63" s="202"/>
      <c r="E63" s="202"/>
      <c r="H63" s="542" t="s">
        <v>217</v>
      </c>
      <c r="I63" s="542"/>
      <c r="J63" s="542"/>
    </row>
    <row r="64" spans="1:13" s="282" customFormat="1" ht="15.75">
      <c r="D64" s="248"/>
      <c r="E64" s="248"/>
    </row>
    <row r="65" spans="1:12" ht="15.75">
      <c r="A65" s="327"/>
      <c r="B65" s="129" t="s">
        <v>102</v>
      </c>
      <c r="C65" s="338"/>
      <c r="D65" s="338"/>
      <c r="E65" s="338"/>
      <c r="F65" s="338"/>
      <c r="G65" s="338"/>
      <c r="H65" s="338"/>
      <c r="I65" s="271"/>
      <c r="J65" s="244"/>
      <c r="K65" s="244"/>
    </row>
    <row r="66" spans="1:12" ht="15.75">
      <c r="A66" s="327"/>
      <c r="B66" s="128" t="s">
        <v>123</v>
      </c>
      <c r="C66" s="338"/>
      <c r="D66" s="338"/>
      <c r="E66" s="338"/>
      <c r="F66" s="338"/>
      <c r="G66" s="338"/>
      <c r="H66" s="338"/>
      <c r="I66" s="338"/>
      <c r="J66" s="338"/>
      <c r="K66" s="220"/>
    </row>
    <row r="67" spans="1:12" ht="15.75">
      <c r="A67" s="327"/>
      <c r="B67" s="128" t="s">
        <v>2</v>
      </c>
      <c r="C67" s="338"/>
      <c r="D67" s="338"/>
      <c r="E67" s="338"/>
      <c r="F67" s="338"/>
      <c r="G67" s="339"/>
      <c r="H67" s="338"/>
      <c r="I67" s="271"/>
      <c r="J67" s="244"/>
    </row>
    <row r="68" spans="1:12" ht="15.75">
      <c r="A68" s="327"/>
      <c r="B68" s="327"/>
      <c r="C68" s="338"/>
      <c r="D68" s="338"/>
      <c r="E68" s="338"/>
      <c r="F68" s="338"/>
      <c r="G68" s="339"/>
      <c r="H68" s="338"/>
      <c r="I68" s="271"/>
      <c r="J68" s="244"/>
    </row>
    <row r="69" spans="1:12" ht="15.75">
      <c r="A69" s="327"/>
      <c r="B69" s="327"/>
      <c r="C69" s="338"/>
      <c r="D69" s="338"/>
      <c r="E69" s="338"/>
      <c r="F69" s="338"/>
      <c r="G69" s="339"/>
      <c r="H69" s="338"/>
      <c r="I69" s="271"/>
      <c r="J69" s="244"/>
    </row>
    <row r="70" spans="1:12">
      <c r="A70" s="340"/>
      <c r="B70" s="340"/>
      <c r="C70" s="340"/>
      <c r="D70" s="341"/>
      <c r="E70" s="340"/>
      <c r="F70" s="340"/>
      <c r="G70" s="340"/>
      <c r="H70" s="342"/>
      <c r="I70" s="343"/>
      <c r="J70" s="342"/>
      <c r="K70" s="342"/>
      <c r="L70" s="342"/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defaultRowHeight="15.75"/>
  <cols>
    <col min="1" max="1" width="5.85546875" style="349" customWidth="1"/>
    <col min="2" max="2" width="21.7109375" style="349" customWidth="1"/>
    <col min="3" max="3" width="17.7109375" style="349" customWidth="1"/>
    <col min="4" max="4" width="17.140625" style="349" customWidth="1"/>
    <col min="5" max="5" width="13" style="349" customWidth="1"/>
    <col min="6" max="6" width="15.7109375" style="349" customWidth="1"/>
    <col min="7" max="7" width="16.7109375" style="349" customWidth="1"/>
    <col min="8" max="8" width="14.28515625" style="349" customWidth="1"/>
    <col min="9" max="9" width="11.28515625" style="349" bestFit="1" customWidth="1"/>
    <col min="10" max="10" width="9.140625" style="349"/>
    <col min="11" max="11" width="11.28515625" style="349" bestFit="1" customWidth="1"/>
    <col min="12" max="16384" width="9.140625" style="349"/>
  </cols>
  <sheetData>
    <row r="1" spans="1:12" ht="17.25">
      <c r="A1" s="350" t="s">
        <v>0</v>
      </c>
      <c r="B1" s="137"/>
      <c r="C1" s="137"/>
      <c r="D1" s="137"/>
      <c r="E1" s="137"/>
      <c r="F1" s="137"/>
      <c r="G1" s="282"/>
      <c r="H1" s="282"/>
      <c r="I1" s="282"/>
    </row>
    <row r="2" spans="1:12" ht="18">
      <c r="A2" s="351" t="s">
        <v>255</v>
      </c>
      <c r="B2" s="278"/>
      <c r="C2" s="137"/>
      <c r="D2" s="137"/>
      <c r="E2" s="137"/>
      <c r="F2" s="137"/>
      <c r="G2" s="282"/>
      <c r="H2" s="282"/>
      <c r="I2" s="282"/>
    </row>
    <row r="3" spans="1:12">
      <c r="A3" s="128" t="s">
        <v>37</v>
      </c>
      <c r="B3" s="128"/>
      <c r="C3" s="185"/>
      <c r="D3" s="128" t="s">
        <v>98</v>
      </c>
      <c r="E3" s="185"/>
      <c r="F3" s="186"/>
      <c r="G3" s="128"/>
      <c r="H3" s="185"/>
      <c r="I3" s="281"/>
    </row>
    <row r="4" spans="1:12">
      <c r="A4" s="129" t="s">
        <v>196</v>
      </c>
      <c r="B4" s="129"/>
      <c r="C4" s="281"/>
      <c r="D4" s="129" t="s">
        <v>197</v>
      </c>
      <c r="E4" s="183"/>
      <c r="G4" s="129"/>
      <c r="I4" s="281"/>
    </row>
    <row r="5" spans="1:12">
      <c r="A5" s="129"/>
      <c r="B5" s="129"/>
      <c r="C5" s="183"/>
      <c r="D5" s="183"/>
      <c r="E5" s="183"/>
      <c r="F5" s="183"/>
      <c r="G5" s="281"/>
      <c r="I5" s="281"/>
    </row>
    <row r="6" spans="1:12">
      <c r="A6" s="330"/>
      <c r="B6" s="330"/>
      <c r="C6" s="137"/>
      <c r="D6" s="137"/>
      <c r="E6" s="137"/>
      <c r="F6" s="137"/>
      <c r="G6" s="282"/>
      <c r="H6" s="282"/>
      <c r="I6" s="282"/>
    </row>
    <row r="7" spans="1:12">
      <c r="A7" s="282"/>
      <c r="B7" s="282"/>
      <c r="C7" s="282"/>
      <c r="D7" s="282"/>
      <c r="E7" s="282"/>
      <c r="F7" s="282"/>
      <c r="G7" s="282"/>
      <c r="H7" s="282"/>
      <c r="I7" s="282"/>
    </row>
    <row r="8" spans="1:12">
      <c r="A8" s="282"/>
      <c r="B8" s="282"/>
      <c r="C8" s="130" t="s">
        <v>206</v>
      </c>
      <c r="D8" s="329"/>
      <c r="E8" s="329"/>
      <c r="F8" s="282"/>
      <c r="G8" s="282"/>
      <c r="H8" s="137"/>
      <c r="I8" s="282"/>
    </row>
    <row r="9" spans="1:12">
      <c r="A9" s="329"/>
      <c r="B9" s="282"/>
      <c r="C9" s="329" t="s">
        <v>199</v>
      </c>
      <c r="D9" s="282"/>
      <c r="E9" s="329"/>
      <c r="F9" s="282"/>
      <c r="G9" s="282"/>
      <c r="H9" s="137"/>
      <c r="I9" s="282"/>
    </row>
    <row r="10" spans="1:12">
      <c r="A10" s="329"/>
      <c r="B10" s="282"/>
      <c r="C10" s="329"/>
      <c r="D10" s="282"/>
      <c r="E10" s="329"/>
      <c r="F10" s="282"/>
      <c r="G10" s="282"/>
      <c r="H10" s="137"/>
      <c r="I10" s="282"/>
    </row>
    <row r="11" spans="1:12">
      <c r="A11" s="329"/>
      <c r="B11" s="282"/>
      <c r="C11" s="329"/>
      <c r="D11" s="282"/>
      <c r="E11" s="329"/>
      <c r="F11" s="282"/>
      <c r="G11" s="282"/>
      <c r="H11" s="137"/>
      <c r="I11" s="282"/>
    </row>
    <row r="12" spans="1:12" ht="20.25">
      <c r="A12" s="231" t="s">
        <v>200</v>
      </c>
      <c r="B12" s="282"/>
      <c r="C12" s="329"/>
      <c r="D12" s="471">
        <f>SUM('buget ian + feb'!G22)</f>
        <v>162000</v>
      </c>
      <c r="E12" s="329" t="s">
        <v>125</v>
      </c>
      <c r="F12" s="284"/>
      <c r="G12" s="91"/>
      <c r="H12" s="143"/>
      <c r="I12" s="91"/>
      <c r="J12" s="472"/>
      <c r="K12" s="472"/>
      <c r="L12" s="472"/>
    </row>
    <row r="13" spans="1:12">
      <c r="A13" s="329"/>
      <c r="C13" s="329"/>
      <c r="E13" s="473"/>
      <c r="F13" s="474"/>
      <c r="G13" s="474"/>
      <c r="H13" s="475"/>
      <c r="I13" s="472"/>
      <c r="J13" s="472"/>
      <c r="K13" s="472"/>
      <c r="L13" s="472"/>
    </row>
    <row r="14" spans="1:12" ht="16.5" thickBot="1"/>
    <row r="15" spans="1:12" ht="26.25" thickBot="1">
      <c r="A15" s="476" t="s">
        <v>4</v>
      </c>
      <c r="B15" s="477" t="s">
        <v>100</v>
      </c>
      <c r="C15" s="478" t="s">
        <v>160</v>
      </c>
      <c r="D15" s="478" t="s">
        <v>161</v>
      </c>
      <c r="E15" s="478" t="s">
        <v>162</v>
      </c>
      <c r="F15" s="479" t="s">
        <v>163</v>
      </c>
      <c r="G15" s="479" t="s">
        <v>164</v>
      </c>
      <c r="H15" s="480" t="s">
        <v>165</v>
      </c>
    </row>
    <row r="16" spans="1:12" ht="16.5" thickBot="1">
      <c r="A16" s="481">
        <v>1</v>
      </c>
      <c r="B16" s="482" t="s">
        <v>9</v>
      </c>
      <c r="C16" s="483">
        <v>958</v>
      </c>
      <c r="D16" s="484">
        <v>176</v>
      </c>
      <c r="E16" s="484">
        <v>35</v>
      </c>
      <c r="F16" s="485">
        <f>SUM(C16:E16)</f>
        <v>1169</v>
      </c>
      <c r="G16" s="485">
        <v>0</v>
      </c>
      <c r="H16" s="486">
        <f>F16+G16</f>
        <v>1169</v>
      </c>
    </row>
    <row r="17" spans="1:12">
      <c r="A17" s="487"/>
      <c r="B17" s="225"/>
      <c r="C17" s="84"/>
      <c r="D17" s="84"/>
      <c r="E17" s="84"/>
      <c r="F17" s="488"/>
      <c r="G17" s="488"/>
      <c r="H17" s="84"/>
    </row>
    <row r="18" spans="1:12" s="281" customFormat="1" ht="15">
      <c r="A18" s="129" t="s">
        <v>185</v>
      </c>
      <c r="B18" s="183"/>
      <c r="C18" s="183"/>
      <c r="D18" s="183"/>
      <c r="E18" s="183"/>
      <c r="F18" s="183"/>
      <c r="G18" s="377"/>
      <c r="H18" s="378"/>
    </row>
    <row r="19" spans="1:12" s="281" customFormat="1" ht="15">
      <c r="A19" s="129"/>
      <c r="B19" s="183"/>
      <c r="C19" s="183"/>
      <c r="D19" s="183"/>
      <c r="E19" s="183"/>
      <c r="F19" s="183"/>
      <c r="G19" s="377"/>
      <c r="H19" s="378"/>
    </row>
    <row r="20" spans="1:12" s="281" customFormat="1">
      <c r="A20" s="330" t="s">
        <v>186</v>
      </c>
      <c r="B20" s="137"/>
      <c r="C20" s="137"/>
      <c r="D20" s="137"/>
      <c r="E20" s="137"/>
      <c r="F20" s="137"/>
      <c r="G20" s="137"/>
      <c r="H20" s="378"/>
    </row>
    <row r="21" spans="1:12" s="281" customFormat="1">
      <c r="A21" s="330" t="s">
        <v>170</v>
      </c>
      <c r="B21" s="137"/>
      <c r="C21" s="137"/>
      <c r="D21" s="137"/>
      <c r="E21" s="137"/>
      <c r="F21" s="137"/>
      <c r="G21" s="137"/>
      <c r="H21" s="378"/>
    </row>
    <row r="22" spans="1:12" s="281" customFormat="1">
      <c r="A22" s="330" t="s">
        <v>171</v>
      </c>
      <c r="B22" s="137"/>
      <c r="C22" s="137"/>
      <c r="D22" s="137"/>
      <c r="E22" s="137"/>
      <c r="F22" s="137"/>
      <c r="G22" s="137"/>
      <c r="H22" s="378"/>
    </row>
    <row r="23" spans="1:12" s="281" customFormat="1" ht="15">
      <c r="A23" s="129"/>
      <c r="B23" s="183"/>
      <c r="C23" s="379"/>
      <c r="D23" s="130"/>
      <c r="E23" s="130"/>
      <c r="F23" s="130"/>
      <c r="G23" s="130"/>
      <c r="H23" s="378"/>
    </row>
    <row r="24" spans="1:12" s="281" customFormat="1">
      <c r="A24" s="315" t="s">
        <v>142</v>
      </c>
      <c r="B24" s="183"/>
      <c r="C24" s="183"/>
      <c r="D24" s="183"/>
      <c r="E24" s="380"/>
      <c r="F24" s="130"/>
      <c r="G24" s="130"/>
      <c r="H24" s="378"/>
    </row>
    <row r="25" spans="1:12" s="281" customFormat="1" ht="16.5" thickBot="1">
      <c r="A25" s="315"/>
      <c r="B25" s="183"/>
      <c r="C25" s="183"/>
      <c r="D25" s="381"/>
      <c r="E25" s="382"/>
      <c r="F25" s="130"/>
      <c r="G25" s="130"/>
      <c r="H25" s="378"/>
    </row>
    <row r="26" spans="1:12" s="281" customFormat="1" ht="32.25" thickBot="1">
      <c r="A26" s="315"/>
      <c r="B26" s="383" t="s">
        <v>144</v>
      </c>
      <c r="C26" s="384" t="s">
        <v>167</v>
      </c>
      <c r="D26" s="385"/>
      <c r="E26" s="386"/>
      <c r="F26" s="387"/>
      <c r="G26" s="130"/>
      <c r="H26" s="378"/>
    </row>
    <row r="27" spans="1:12" s="281" customFormat="1">
      <c r="A27" s="315"/>
      <c r="B27" s="388" t="s">
        <v>104</v>
      </c>
      <c r="C27" s="389">
        <f>D12</f>
        <v>162000</v>
      </c>
      <c r="D27" s="379"/>
      <c r="E27" s="329"/>
      <c r="F27" s="387"/>
      <c r="G27" s="130"/>
      <c r="H27" s="378"/>
    </row>
    <row r="28" spans="1:12" s="281" customFormat="1" ht="16.5" thickBot="1">
      <c r="A28" s="315"/>
      <c r="B28" s="390" t="s">
        <v>150</v>
      </c>
      <c r="C28" s="391">
        <f>ROUND(C27/H16,2)</f>
        <v>138.58000000000001</v>
      </c>
      <c r="D28" s="338"/>
      <c r="E28" s="329"/>
      <c r="F28" s="130"/>
      <c r="G28" s="130"/>
      <c r="H28" s="378"/>
    </row>
    <row r="29" spans="1:12">
      <c r="A29" s="487"/>
      <c r="B29" s="225"/>
      <c r="C29" s="84"/>
      <c r="D29" s="84"/>
      <c r="E29" s="84"/>
      <c r="F29" s="488"/>
      <c r="G29" s="488"/>
      <c r="H29" s="84"/>
    </row>
    <row r="30" spans="1:12">
      <c r="A30" s="487"/>
      <c r="B30" s="225"/>
      <c r="C30" s="84"/>
      <c r="D30" s="84"/>
      <c r="E30" s="84"/>
      <c r="F30" s="488"/>
      <c r="G30" s="488"/>
      <c r="H30" s="84"/>
    </row>
    <row r="31" spans="1:12">
      <c r="A31" s="487"/>
      <c r="B31" s="130" t="s">
        <v>203</v>
      </c>
      <c r="C31" s="84"/>
      <c r="D31" s="84"/>
      <c r="E31" s="84"/>
      <c r="F31" s="488"/>
      <c r="G31" s="488"/>
      <c r="H31" s="84"/>
      <c r="I31" s="489"/>
    </row>
    <row r="32" spans="1:12" ht="16.5" thickBot="1">
      <c r="A32" s="487"/>
      <c r="B32" s="130"/>
      <c r="C32" s="84"/>
      <c r="F32" s="488"/>
      <c r="G32" s="488"/>
      <c r="H32" s="84"/>
      <c r="I32" s="489"/>
      <c r="J32" s="489"/>
      <c r="K32" s="489"/>
      <c r="L32" s="489"/>
    </row>
    <row r="33" spans="1:12" ht="17.25" thickBot="1">
      <c r="A33" s="490" t="s">
        <v>4</v>
      </c>
      <c r="B33" s="490" t="s">
        <v>100</v>
      </c>
      <c r="C33" s="491" t="s">
        <v>204</v>
      </c>
      <c r="D33" s="492" t="s">
        <v>205</v>
      </c>
      <c r="E33" s="505" t="s">
        <v>130</v>
      </c>
      <c r="F33" s="132" t="s">
        <v>213</v>
      </c>
      <c r="G33" s="132" t="s">
        <v>218</v>
      </c>
      <c r="H33" s="132"/>
      <c r="I33" s="132"/>
      <c r="J33" s="268"/>
      <c r="K33" s="269"/>
      <c r="L33" s="489"/>
    </row>
    <row r="34" spans="1:12" ht="16.5" thickBot="1">
      <c r="A34" s="388">
        <v>1</v>
      </c>
      <c r="B34" s="493" t="s">
        <v>9</v>
      </c>
      <c r="C34" s="494">
        <f>SUM(C27/2)</f>
        <v>81000</v>
      </c>
      <c r="D34" s="494">
        <f>SUM(C27/2)</f>
        <v>81000</v>
      </c>
      <c r="E34" s="495">
        <f>SUM(C34:D34)</f>
        <v>162000</v>
      </c>
      <c r="F34" s="496">
        <f>SUM('AN 2022 LA SERV NOV'!P54)</f>
        <v>75955.5</v>
      </c>
      <c r="G34" s="496">
        <f>SUM(D34/F34*100)</f>
        <v>106.64138870786184</v>
      </c>
      <c r="H34" s="496"/>
      <c r="I34" s="497"/>
      <c r="J34" s="497"/>
      <c r="K34" s="497"/>
      <c r="L34" s="489"/>
    </row>
    <row r="35" spans="1:12" ht="16.5" thickBot="1">
      <c r="A35" s="498"/>
      <c r="B35" s="498" t="s">
        <v>130</v>
      </c>
      <c r="C35" s="499">
        <f t="shared" ref="C35:E35" si="0">SUM(C34)</f>
        <v>81000</v>
      </c>
      <c r="D35" s="499">
        <f t="shared" si="0"/>
        <v>81000</v>
      </c>
      <c r="E35" s="500">
        <f t="shared" si="0"/>
        <v>162000</v>
      </c>
      <c r="F35" s="501"/>
      <c r="G35" s="501"/>
      <c r="H35" s="501"/>
      <c r="I35" s="501"/>
      <c r="J35" s="501"/>
      <c r="K35" s="501"/>
      <c r="L35" s="489"/>
    </row>
    <row r="36" spans="1:12">
      <c r="A36" s="392"/>
      <c r="B36" s="392"/>
      <c r="C36" s="378"/>
      <c r="D36" s="378"/>
      <c r="E36" s="378"/>
      <c r="F36" s="489"/>
      <c r="G36" s="489"/>
      <c r="H36" s="489"/>
      <c r="I36" s="489"/>
      <c r="J36" s="489"/>
      <c r="K36" s="489"/>
      <c r="L36" s="489"/>
    </row>
    <row r="37" spans="1:12">
      <c r="D37" s="489"/>
      <c r="E37" s="489"/>
      <c r="F37" s="489"/>
    </row>
    <row r="38" spans="1:12">
      <c r="A38" s="129" t="s">
        <v>102</v>
      </c>
      <c r="C38" s="129"/>
    </row>
    <row r="39" spans="1:12">
      <c r="A39" s="128" t="s">
        <v>123</v>
      </c>
      <c r="B39" s="185"/>
    </row>
    <row r="40" spans="1:12">
      <c r="A40" s="129" t="s">
        <v>198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J29" sqref="J29"/>
    </sheetView>
  </sheetViews>
  <sheetFormatPr defaultRowHeight="15"/>
  <cols>
    <col min="1" max="1" width="5.28515625" style="281" customWidth="1"/>
    <col min="2" max="2" width="22" style="281" customWidth="1"/>
    <col min="3" max="3" width="22.140625" style="281" customWidth="1"/>
    <col min="4" max="4" width="14.140625" style="281" customWidth="1"/>
    <col min="5" max="5" width="14.85546875" style="281" customWidth="1"/>
    <col min="6" max="6" width="12.28515625" style="281" bestFit="1" customWidth="1"/>
    <col min="7" max="7" width="13.7109375" style="281" customWidth="1"/>
    <col min="8" max="8" width="14.140625" style="281" customWidth="1"/>
    <col min="9" max="9" width="12.42578125" style="281" customWidth="1"/>
    <col min="10" max="10" width="11" style="281" customWidth="1"/>
    <col min="11" max="11" width="12.85546875" style="281" customWidth="1"/>
    <col min="12" max="12" width="10.140625" style="281" bestFit="1" customWidth="1"/>
    <col min="13" max="13" width="9.85546875" style="281" bestFit="1" customWidth="1"/>
    <col min="14" max="16384" width="9.140625" style="281"/>
  </cols>
  <sheetData>
    <row r="1" spans="1:14" ht="17.25">
      <c r="A1" s="350" t="s">
        <v>0</v>
      </c>
      <c r="B1" s="183"/>
      <c r="C1" s="183"/>
      <c r="D1" s="183"/>
      <c r="E1" s="183"/>
      <c r="F1" s="183"/>
      <c r="I1" s="183"/>
      <c r="J1" s="183"/>
      <c r="K1" s="183"/>
      <c r="L1" s="183"/>
      <c r="M1" s="183"/>
      <c r="N1" s="183"/>
    </row>
    <row r="2" spans="1:14" ht="18">
      <c r="A2" s="351" t="s">
        <v>255</v>
      </c>
      <c r="B2" s="127"/>
      <c r="C2" s="183"/>
      <c r="D2" s="183"/>
      <c r="E2" s="183"/>
      <c r="F2" s="183"/>
      <c r="I2" s="183"/>
      <c r="J2" s="183"/>
      <c r="K2" s="183"/>
      <c r="L2" s="183"/>
      <c r="M2" s="183"/>
      <c r="N2" s="183"/>
    </row>
    <row r="3" spans="1:14">
      <c r="A3" s="128" t="s">
        <v>37</v>
      </c>
      <c r="B3" s="128"/>
      <c r="C3" s="185"/>
      <c r="D3" s="128" t="s">
        <v>98</v>
      </c>
      <c r="E3" s="185"/>
      <c r="F3" s="186"/>
      <c r="H3" s="128"/>
      <c r="J3" s="183"/>
      <c r="K3" s="183"/>
      <c r="L3" s="183"/>
      <c r="M3" s="183"/>
      <c r="N3" s="183"/>
    </row>
    <row r="4" spans="1:14">
      <c r="A4" s="128" t="s">
        <v>1</v>
      </c>
      <c r="B4" s="128"/>
      <c r="C4" s="185"/>
      <c r="D4" s="128" t="s">
        <v>99</v>
      </c>
      <c r="E4" s="185"/>
      <c r="F4" s="186"/>
      <c r="H4" s="128"/>
      <c r="J4" s="183"/>
      <c r="K4" s="183"/>
      <c r="L4" s="183"/>
      <c r="M4" s="183"/>
      <c r="N4" s="183"/>
    </row>
    <row r="5" spans="1:14">
      <c r="A5" s="129"/>
      <c r="B5" s="129"/>
      <c r="C5" s="183"/>
      <c r="D5" s="183"/>
      <c r="E5" s="129"/>
      <c r="F5" s="183"/>
      <c r="G5" s="183"/>
      <c r="I5" s="129"/>
      <c r="J5" s="183"/>
      <c r="K5" s="183"/>
      <c r="L5" s="183"/>
      <c r="M5" s="183"/>
      <c r="N5" s="183"/>
    </row>
    <row r="6" spans="1:14">
      <c r="I6" s="183"/>
      <c r="J6" s="183"/>
      <c r="K6" s="183"/>
      <c r="L6" s="183"/>
      <c r="M6" s="183"/>
      <c r="N6" s="183"/>
    </row>
    <row r="7" spans="1:14">
      <c r="C7" s="130" t="s">
        <v>201</v>
      </c>
      <c r="D7" s="130"/>
      <c r="E7" s="130"/>
      <c r="H7" s="183"/>
      <c r="I7" s="183"/>
      <c r="J7" s="183"/>
      <c r="K7" s="183"/>
      <c r="L7" s="183"/>
      <c r="M7" s="183"/>
      <c r="N7" s="183"/>
    </row>
    <row r="8" spans="1:14">
      <c r="A8" s="1"/>
      <c r="B8" s="359"/>
      <c r="C8" s="1" t="s">
        <v>182</v>
      </c>
      <c r="D8" s="359"/>
      <c r="E8" s="1"/>
      <c r="H8" s="183"/>
      <c r="I8" s="183"/>
      <c r="J8" s="183"/>
      <c r="K8" s="183"/>
      <c r="L8" s="183"/>
      <c r="M8" s="183"/>
      <c r="N8" s="183"/>
    </row>
    <row r="9" spans="1:14">
      <c r="A9" s="1"/>
      <c r="B9" s="359"/>
      <c r="C9" s="1"/>
      <c r="D9" s="1"/>
      <c r="E9" s="1"/>
      <c r="H9" s="183"/>
      <c r="K9" s="183"/>
      <c r="L9" s="183"/>
      <c r="M9" s="183"/>
      <c r="N9" s="183"/>
    </row>
    <row r="10" spans="1:14" ht="15.75">
      <c r="A10" s="360" t="s">
        <v>183</v>
      </c>
      <c r="B10" s="360"/>
      <c r="C10" s="131">
        <f>SUM('buget ian + feb'!G23)</f>
        <v>48000</v>
      </c>
      <c r="D10" s="1" t="s">
        <v>159</v>
      </c>
      <c r="E10" s="359"/>
      <c r="F10" s="284"/>
      <c r="G10" s="226"/>
      <c r="H10" s="224"/>
      <c r="I10" s="224"/>
      <c r="J10" s="224"/>
      <c r="K10" s="224"/>
      <c r="L10" s="183"/>
      <c r="M10" s="183"/>
      <c r="N10" s="183"/>
    </row>
    <row r="11" spans="1:14" ht="15.75" thickBot="1">
      <c r="A11" s="190"/>
      <c r="B11" s="190"/>
      <c r="C11" s="1"/>
      <c r="D11" s="1"/>
      <c r="H11" s="183"/>
      <c r="I11" s="183"/>
      <c r="J11" s="183"/>
      <c r="K11" s="183"/>
      <c r="L11" s="183"/>
      <c r="M11" s="183"/>
      <c r="N11" s="183"/>
    </row>
    <row r="12" spans="1:14" ht="26.25" thickBot="1">
      <c r="A12" s="361" t="s">
        <v>4</v>
      </c>
      <c r="B12" s="362" t="s">
        <v>100</v>
      </c>
      <c r="C12" s="363" t="s">
        <v>160</v>
      </c>
      <c r="D12" s="363" t="s">
        <v>161</v>
      </c>
      <c r="E12" s="363" t="s">
        <v>162</v>
      </c>
      <c r="F12" s="364" t="s">
        <v>163</v>
      </c>
      <c r="G12" s="364" t="s">
        <v>164</v>
      </c>
      <c r="H12" s="365" t="s">
        <v>165</v>
      </c>
      <c r="I12" s="366"/>
      <c r="J12" s="354"/>
    </row>
    <row r="13" spans="1:14" ht="35.25" customHeight="1">
      <c r="A13" s="367">
        <v>1</v>
      </c>
      <c r="B13" s="729" t="s">
        <v>254</v>
      </c>
      <c r="C13" s="368">
        <v>146</v>
      </c>
      <c r="D13" s="368">
        <v>70</v>
      </c>
      <c r="E13" s="368">
        <v>35</v>
      </c>
      <c r="F13" s="369">
        <f>SUM(C13:E13)</f>
        <v>251</v>
      </c>
      <c r="G13" s="370">
        <v>0</v>
      </c>
      <c r="H13" s="369">
        <f>F13+G13</f>
        <v>251</v>
      </c>
      <c r="I13" s="354"/>
      <c r="J13" s="354"/>
    </row>
    <row r="14" spans="1:14" ht="18" customHeight="1" thickBot="1">
      <c r="A14" s="371">
        <v>2</v>
      </c>
      <c r="B14" s="372" t="s">
        <v>15</v>
      </c>
      <c r="C14" s="373">
        <v>40</v>
      </c>
      <c r="D14" s="373">
        <v>64</v>
      </c>
      <c r="E14" s="373">
        <v>17</v>
      </c>
      <c r="F14" s="369">
        <f t="shared" ref="F14" si="0">SUM(C14:E14)</f>
        <v>121</v>
      </c>
      <c r="G14" s="374">
        <v>0</v>
      </c>
      <c r="H14" s="369">
        <f t="shared" ref="H14" si="1">F14+G14</f>
        <v>121</v>
      </c>
      <c r="I14" s="354"/>
      <c r="J14" s="354"/>
    </row>
    <row r="15" spans="1:14" ht="18" customHeight="1" thickBot="1">
      <c r="A15" s="375"/>
      <c r="B15" s="213" t="s">
        <v>184</v>
      </c>
      <c r="C15" s="214">
        <f>SUM(C11:C14)</f>
        <v>186</v>
      </c>
      <c r="D15" s="214">
        <f>SUM(D13:D14)</f>
        <v>134</v>
      </c>
      <c r="E15" s="214">
        <f>SUM(E13:E14)</f>
        <v>52</v>
      </c>
      <c r="F15" s="214">
        <f>SUM(F13:F14)</f>
        <v>372</v>
      </c>
      <c r="G15" s="214">
        <f>SUM(G11:G14)</f>
        <v>0</v>
      </c>
      <c r="H15" s="214">
        <f>SUM(H13:H14)</f>
        <v>372</v>
      </c>
      <c r="I15" s="376"/>
      <c r="J15" s="354"/>
    </row>
    <row r="16" spans="1:14">
      <c r="I16" s="354"/>
      <c r="J16" s="354"/>
    </row>
    <row r="17" spans="1:10">
      <c r="I17" s="354"/>
      <c r="J17" s="354"/>
    </row>
    <row r="18" spans="1:10">
      <c r="A18" s="129" t="s">
        <v>185</v>
      </c>
      <c r="B18" s="183"/>
      <c r="C18" s="183"/>
      <c r="D18" s="183"/>
      <c r="E18" s="183"/>
      <c r="F18" s="183"/>
      <c r="G18" s="377">
        <f>C10</f>
        <v>48000</v>
      </c>
      <c r="H18" s="378" t="s">
        <v>101</v>
      </c>
    </row>
    <row r="19" spans="1:10">
      <c r="A19" s="129"/>
      <c r="B19" s="183"/>
      <c r="C19" s="183"/>
      <c r="D19" s="183"/>
      <c r="E19" s="183"/>
      <c r="F19" s="183"/>
      <c r="G19" s="377"/>
      <c r="H19" s="378"/>
    </row>
    <row r="20" spans="1:10" ht="15.75">
      <c r="A20" s="330" t="s">
        <v>186</v>
      </c>
      <c r="B20" s="137"/>
      <c r="C20" s="137"/>
      <c r="D20" s="137"/>
      <c r="E20" s="137"/>
      <c r="F20" s="137"/>
      <c r="G20" s="137"/>
      <c r="H20" s="378"/>
    </row>
    <row r="21" spans="1:10" ht="15.75">
      <c r="A21" s="330" t="s">
        <v>170</v>
      </c>
      <c r="B21" s="137"/>
      <c r="C21" s="137"/>
      <c r="D21" s="137"/>
      <c r="E21" s="137"/>
      <c r="F21" s="137"/>
      <c r="G21" s="137"/>
      <c r="H21" s="378"/>
    </row>
    <row r="22" spans="1:10" ht="15.75">
      <c r="A22" s="330" t="s">
        <v>171</v>
      </c>
      <c r="B22" s="137"/>
      <c r="C22" s="137"/>
      <c r="D22" s="137"/>
      <c r="E22" s="137"/>
      <c r="F22" s="137"/>
      <c r="G22" s="137"/>
      <c r="H22" s="378"/>
    </row>
    <row r="23" spans="1:10">
      <c r="A23" s="129"/>
      <c r="B23" s="183"/>
      <c r="C23" s="379"/>
      <c r="D23" s="130"/>
      <c r="E23" s="130"/>
      <c r="F23" s="130"/>
      <c r="G23" s="130"/>
      <c r="H23" s="378"/>
    </row>
    <row r="24" spans="1:10" ht="15.75">
      <c r="A24" s="315" t="s">
        <v>142</v>
      </c>
      <c r="B24" s="183"/>
      <c r="C24" s="183"/>
      <c r="D24" s="183"/>
      <c r="E24" s="380"/>
      <c r="F24" s="130"/>
      <c r="G24" s="130"/>
      <c r="H24" s="378"/>
    </row>
    <row r="25" spans="1:10" ht="16.5" thickBot="1">
      <c r="A25" s="315"/>
      <c r="B25" s="183"/>
      <c r="C25" s="183"/>
      <c r="D25" s="381"/>
      <c r="E25" s="382"/>
      <c r="F25" s="130"/>
      <c r="G25" s="130"/>
      <c r="H25" s="378"/>
    </row>
    <row r="26" spans="1:10" ht="16.5" thickBot="1">
      <c r="A26" s="315"/>
      <c r="B26" s="383" t="s">
        <v>144</v>
      </c>
      <c r="C26" s="384" t="s">
        <v>167</v>
      </c>
      <c r="D26" s="385"/>
      <c r="E26" s="386"/>
      <c r="F26" s="387"/>
      <c r="G26" s="130"/>
      <c r="H26" s="378"/>
    </row>
    <row r="27" spans="1:10" ht="15.75">
      <c r="A27" s="315"/>
      <c r="B27" s="388" t="s">
        <v>149</v>
      </c>
      <c r="C27" s="389">
        <f>G18</f>
        <v>48000</v>
      </c>
      <c r="D27" s="379"/>
      <c r="E27" s="329"/>
      <c r="F27" s="387"/>
      <c r="G27" s="130"/>
      <c r="H27" s="378"/>
    </row>
    <row r="28" spans="1:10" ht="16.5" thickBot="1">
      <c r="A28" s="315"/>
      <c r="B28" s="390" t="s">
        <v>150</v>
      </c>
      <c r="C28" s="391">
        <f>ROUND(C27/F15,4)</f>
        <v>129.03229999999999</v>
      </c>
      <c r="D28" s="338"/>
      <c r="E28" s="329"/>
      <c r="F28" s="130"/>
      <c r="G28" s="130"/>
      <c r="H28" s="378"/>
    </row>
    <row r="29" spans="1:10">
      <c r="A29" s="392"/>
      <c r="B29" s="392"/>
      <c r="C29" s="379"/>
      <c r="D29" s="130"/>
      <c r="E29" s="130"/>
      <c r="F29" s="130"/>
      <c r="G29" s="130"/>
      <c r="H29" s="378"/>
    </row>
    <row r="30" spans="1:10" ht="15.75" thickBot="1">
      <c r="A30" s="392"/>
      <c r="B30" s="392"/>
      <c r="C30" s="379"/>
      <c r="D30" s="130"/>
      <c r="E30" s="130"/>
      <c r="F30" s="130"/>
      <c r="G30" s="130"/>
      <c r="H30" s="378"/>
    </row>
    <row r="31" spans="1:10" ht="16.5" thickBot="1">
      <c r="A31" s="393" t="s">
        <v>4</v>
      </c>
      <c r="B31" s="394" t="s">
        <v>100</v>
      </c>
      <c r="C31" s="200" t="s">
        <v>168</v>
      </c>
      <c r="E31" s="130"/>
      <c r="F31" s="130"/>
      <c r="G31" s="130"/>
      <c r="H31" s="378"/>
    </row>
    <row r="32" spans="1:10" ht="16.5">
      <c r="A32" s="395">
        <v>1</v>
      </c>
      <c r="B32" s="396" t="s">
        <v>14</v>
      </c>
      <c r="C32" s="397">
        <v>32387</v>
      </c>
      <c r="D32" s="130"/>
      <c r="E32" s="130"/>
      <c r="F32" s="130"/>
      <c r="G32" s="130"/>
      <c r="H32" s="378"/>
    </row>
    <row r="33" spans="1:13" ht="17.25" thickBot="1">
      <c r="A33" s="32">
        <v>2</v>
      </c>
      <c r="B33" s="31" t="s">
        <v>15</v>
      </c>
      <c r="C33" s="397">
        <v>15613</v>
      </c>
      <c r="D33" s="130"/>
      <c r="E33" s="130"/>
      <c r="F33" s="130"/>
      <c r="G33" s="130"/>
      <c r="H33" s="378"/>
    </row>
    <row r="34" spans="1:13" ht="16.5" thickBot="1">
      <c r="A34" s="375"/>
      <c r="B34" s="262" t="s">
        <v>184</v>
      </c>
      <c r="C34" s="398">
        <f>SUM(C32:C33)</f>
        <v>48000</v>
      </c>
      <c r="D34" s="399" t="s">
        <v>141</v>
      </c>
      <c r="E34" s="400" t="str">
        <f>IF(C34&lt;&gt;C10,"eroare","ok")</f>
        <v>ok</v>
      </c>
      <c r="F34" s="130">
        <f>C34-G18</f>
        <v>0</v>
      </c>
      <c r="G34" s="130"/>
      <c r="H34" s="378"/>
    </row>
    <row r="35" spans="1:13">
      <c r="A35" s="392"/>
      <c r="B35" s="392"/>
      <c r="C35" s="379"/>
      <c r="D35" s="130"/>
      <c r="E35" s="130"/>
      <c r="F35" s="130"/>
      <c r="G35" s="130"/>
      <c r="H35" s="378"/>
    </row>
    <row r="36" spans="1:13">
      <c r="A36" s="130" t="s">
        <v>187</v>
      </c>
      <c r="B36" s="401"/>
      <c r="C36" s="183"/>
      <c r="D36" s="183"/>
      <c r="E36" s="183"/>
      <c r="F36" s="183"/>
      <c r="G36" s="183"/>
      <c r="H36" s="378"/>
    </row>
    <row r="37" spans="1:13" ht="15.75" thickBot="1">
      <c r="A37" s="183"/>
      <c r="B37" s="183"/>
      <c r="C37" s="183"/>
      <c r="D37" s="381"/>
      <c r="E37" s="381"/>
      <c r="F37" s="381"/>
      <c r="G37" s="381"/>
      <c r="H37" s="378"/>
      <c r="I37" s="354"/>
      <c r="J37" s="354"/>
      <c r="K37" s="354"/>
      <c r="L37" s="354"/>
    </row>
    <row r="38" spans="1:13" ht="17.25" thickBot="1">
      <c r="A38" s="402" t="s">
        <v>4</v>
      </c>
      <c r="B38" s="402" t="s">
        <v>100</v>
      </c>
      <c r="C38" s="502">
        <v>44927</v>
      </c>
      <c r="D38" s="503">
        <v>44958</v>
      </c>
      <c r="E38" s="403" t="s">
        <v>219</v>
      </c>
      <c r="F38" s="132" t="s">
        <v>220</v>
      </c>
      <c r="G38" s="132" t="s">
        <v>215</v>
      </c>
      <c r="H38" s="132"/>
      <c r="I38" s="132"/>
      <c r="J38" s="268"/>
      <c r="K38" s="404"/>
      <c r="L38" s="354"/>
    </row>
    <row r="39" spans="1:13" ht="16.5">
      <c r="A39" s="405">
        <v>1</v>
      </c>
      <c r="B39" s="406" t="s">
        <v>14</v>
      </c>
      <c r="C39" s="397">
        <f>SUM(C32/2)</f>
        <v>16193.5</v>
      </c>
      <c r="D39" s="397">
        <f>SUM(C39)</f>
        <v>16193.5</v>
      </c>
      <c r="E39" s="407">
        <f>SUM(C39:D39)</f>
        <v>32387</v>
      </c>
      <c r="F39" s="379">
        <f>SUM('AN 2022 LA SERV NOV'!P61)</f>
        <v>9773.2333333333336</v>
      </c>
      <c r="G39" s="379">
        <f>SUM(D39/F39*100)</f>
        <v>165.69235019457906</v>
      </c>
      <c r="H39" s="379"/>
      <c r="I39" s="379"/>
      <c r="J39" s="379"/>
      <c r="K39" s="249"/>
      <c r="L39" s="249"/>
      <c r="M39" s="408"/>
    </row>
    <row r="40" spans="1:13" ht="17.25" thickBot="1">
      <c r="A40" s="409">
        <v>2</v>
      </c>
      <c r="B40" s="410" t="s">
        <v>15</v>
      </c>
      <c r="C40" s="397">
        <f>SUM(C33/2)</f>
        <v>7806.5</v>
      </c>
      <c r="D40" s="397">
        <f>SUM(C40)</f>
        <v>7806.5</v>
      </c>
      <c r="E40" s="407">
        <f t="shared" ref="E40" si="2">SUM(C40:D40)</f>
        <v>15613</v>
      </c>
      <c r="F40" s="379">
        <f>SUM('AN 2022 LA SERV NOV'!P62)</f>
        <v>4728.166666666667</v>
      </c>
      <c r="G40" s="379">
        <f>SUM(D40/F40*100)</f>
        <v>165.10627797948462</v>
      </c>
      <c r="H40" s="411" t="s">
        <v>102</v>
      </c>
      <c r="I40" s="379"/>
      <c r="J40" s="379"/>
      <c r="K40" s="249"/>
      <c r="L40" s="249"/>
      <c r="M40" s="408"/>
    </row>
    <row r="41" spans="1:13" ht="15.75" thickBot="1">
      <c r="A41" s="412"/>
      <c r="B41" s="412" t="s">
        <v>130</v>
      </c>
      <c r="C41" s="413">
        <f>SUM(C39:C40)</f>
        <v>24000</v>
      </c>
      <c r="D41" s="413">
        <f>SUM(D39:D40)</f>
        <v>24000</v>
      </c>
      <c r="E41" s="414">
        <f>SUM(E39:E40)</f>
        <v>48000</v>
      </c>
      <c r="F41" s="130"/>
      <c r="G41" s="130"/>
      <c r="H41" s="128" t="s">
        <v>123</v>
      </c>
      <c r="J41" s="130"/>
      <c r="K41" s="130"/>
      <c r="L41" s="249"/>
      <c r="M41" s="408"/>
    </row>
    <row r="42" spans="1:13">
      <c r="A42" s="392"/>
      <c r="B42" s="392"/>
      <c r="C42" s="130"/>
      <c r="D42" s="130"/>
      <c r="E42" s="130"/>
      <c r="F42" s="130"/>
      <c r="G42" s="130"/>
      <c r="H42" s="128" t="s">
        <v>2</v>
      </c>
      <c r="J42" s="130"/>
      <c r="K42" s="130"/>
      <c r="L42" s="249"/>
      <c r="M42" s="408"/>
    </row>
    <row r="43" spans="1:13">
      <c r="B43" s="411"/>
      <c r="C43" s="408"/>
      <c r="D43" s="408"/>
      <c r="E43" s="408"/>
      <c r="F43" s="408"/>
      <c r="G43" s="249"/>
      <c r="H43" s="249"/>
      <c r="I43" s="249"/>
      <c r="J43" s="249"/>
      <c r="K43" s="249"/>
      <c r="L43" s="354"/>
    </row>
    <row r="44" spans="1:13">
      <c r="B44" s="411"/>
      <c r="C44" s="415"/>
      <c r="D44" s="408"/>
      <c r="H44" s="408"/>
      <c r="K44" s="408"/>
    </row>
    <row r="45" spans="1:13">
      <c r="C45" s="408"/>
      <c r="D45" s="408"/>
      <c r="E45" s="408"/>
      <c r="F45" s="408"/>
      <c r="G45" s="408"/>
      <c r="H45" s="408"/>
      <c r="I45" s="408"/>
      <c r="J45" s="408"/>
    </row>
    <row r="46" spans="1:13">
      <c r="A46" s="416"/>
      <c r="B46" s="401"/>
      <c r="D46" s="408"/>
    </row>
    <row r="47" spans="1:13">
      <c r="C47" s="408"/>
      <c r="D47" s="408"/>
      <c r="E47" s="408"/>
      <c r="F47" s="408"/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opLeftCell="A49" workbookViewId="0">
      <selection activeCell="T18" sqref="T18"/>
    </sheetView>
  </sheetViews>
  <sheetFormatPr defaultRowHeight="12.75"/>
  <cols>
    <col min="1" max="1" width="7" style="582" customWidth="1"/>
    <col min="2" max="2" width="18.85546875" style="582" customWidth="1"/>
    <col min="3" max="3" width="13.140625" style="582" customWidth="1"/>
    <col min="4" max="14" width="12" style="582" customWidth="1"/>
    <col min="15" max="15" width="13.28515625" style="582" bestFit="1" customWidth="1"/>
    <col min="16" max="16" width="13" style="583" customWidth="1"/>
    <col min="17" max="17" width="9.28515625" style="583" customWidth="1"/>
    <col min="18" max="16384" width="9.140625" style="582"/>
  </cols>
  <sheetData>
    <row r="1" spans="1:18">
      <c r="A1" s="88" t="s">
        <v>0</v>
      </c>
    </row>
    <row r="2" spans="1:18">
      <c r="A2" s="584" t="s">
        <v>245</v>
      </c>
    </row>
    <row r="3" spans="1:18">
      <c r="A3" s="88" t="s">
        <v>37</v>
      </c>
      <c r="B3" s="88"/>
      <c r="E3" s="88" t="s">
        <v>69</v>
      </c>
      <c r="K3" s="88" t="s">
        <v>38</v>
      </c>
    </row>
    <row r="4" spans="1:18">
      <c r="A4" s="88" t="s">
        <v>1</v>
      </c>
      <c r="B4" s="88"/>
      <c r="E4" s="88" t="s">
        <v>70</v>
      </c>
      <c r="K4" s="88" t="s">
        <v>2</v>
      </c>
    </row>
    <row r="5" spans="1:18">
      <c r="A5" s="88"/>
      <c r="B5" s="88"/>
      <c r="E5" s="88"/>
      <c r="K5" s="88"/>
    </row>
    <row r="6" spans="1:18">
      <c r="A6" s="88"/>
      <c r="B6" s="88"/>
      <c r="C6" s="88"/>
    </row>
    <row r="7" spans="1:18">
      <c r="A7" s="88"/>
      <c r="D7" s="88" t="s">
        <v>57</v>
      </c>
    </row>
    <row r="8" spans="1:18">
      <c r="A8" s="585"/>
      <c r="B8" s="585"/>
      <c r="C8" s="585" t="s">
        <v>246</v>
      </c>
    </row>
    <row r="9" spans="1:18">
      <c r="A9" s="585"/>
    </row>
    <row r="10" spans="1:18" ht="14.25" thickBot="1">
      <c r="A10" s="586" t="s">
        <v>3</v>
      </c>
      <c r="B10" s="587"/>
      <c r="C10" s="587"/>
    </row>
    <row r="11" spans="1:18" ht="26.25" thickBot="1">
      <c r="A11" s="588" t="s">
        <v>4</v>
      </c>
      <c r="B11" s="588" t="s">
        <v>5</v>
      </c>
      <c r="C11" s="589" t="s">
        <v>55</v>
      </c>
      <c r="D11" s="589" t="s">
        <v>56</v>
      </c>
      <c r="E11" s="590" t="s">
        <v>66</v>
      </c>
      <c r="F11" s="590" t="s">
        <v>68</v>
      </c>
      <c r="G11" s="590" t="s">
        <v>71</v>
      </c>
      <c r="H11" s="590" t="s">
        <v>72</v>
      </c>
      <c r="I11" s="590" t="s">
        <v>73</v>
      </c>
      <c r="J11" s="590" t="s">
        <v>78</v>
      </c>
      <c r="K11" s="590" t="s">
        <v>77</v>
      </c>
      <c r="L11" s="590" t="s">
        <v>74</v>
      </c>
      <c r="M11" s="590" t="s">
        <v>75</v>
      </c>
      <c r="N11" s="590" t="s">
        <v>76</v>
      </c>
      <c r="O11" s="590" t="s">
        <v>54</v>
      </c>
      <c r="P11" s="591" t="s">
        <v>247</v>
      </c>
      <c r="Q11" s="592" t="s">
        <v>248</v>
      </c>
    </row>
    <row r="12" spans="1:18">
      <c r="A12" s="593">
        <v>1</v>
      </c>
      <c r="B12" s="594" t="s">
        <v>6</v>
      </c>
      <c r="C12" s="595">
        <v>71174.98</v>
      </c>
      <c r="D12" s="595">
        <v>63164.43</v>
      </c>
      <c r="E12" s="595">
        <v>65599.13</v>
      </c>
      <c r="F12" s="595">
        <v>64603.92</v>
      </c>
      <c r="G12" s="595">
        <v>66015.87</v>
      </c>
      <c r="H12" s="595">
        <v>64780.89</v>
      </c>
      <c r="I12" s="595">
        <v>64235.53</v>
      </c>
      <c r="J12" s="595">
        <v>64288.52</v>
      </c>
      <c r="K12" s="595">
        <v>71694.490000000005</v>
      </c>
      <c r="L12" s="595">
        <v>72604.12</v>
      </c>
      <c r="M12" s="595">
        <v>76265.279999999999</v>
      </c>
      <c r="N12" s="595">
        <v>65499</v>
      </c>
      <c r="O12" s="596">
        <f>SUM(C12:N12)</f>
        <v>809926.16</v>
      </c>
      <c r="P12" s="597">
        <v>809926.16</v>
      </c>
      <c r="Q12" s="598">
        <f>SUM(O12-P12)</f>
        <v>0</v>
      </c>
    </row>
    <row r="13" spans="1:18">
      <c r="A13" s="599"/>
      <c r="B13" s="600" t="s">
        <v>7</v>
      </c>
      <c r="C13" s="601">
        <v>39856.230000000003</v>
      </c>
      <c r="D13" s="601">
        <v>37411.1</v>
      </c>
      <c r="E13" s="601">
        <v>32574.74</v>
      </c>
      <c r="F13" s="601">
        <v>30118.080000000002</v>
      </c>
      <c r="G13" s="601">
        <v>34115.22</v>
      </c>
      <c r="H13" s="601">
        <v>27057.37</v>
      </c>
      <c r="I13" s="601">
        <v>29961.47</v>
      </c>
      <c r="J13" s="601"/>
      <c r="K13" s="602"/>
      <c r="L13" s="602"/>
      <c r="N13" s="602"/>
      <c r="O13" s="603">
        <f t="shared" ref="O13:O21" si="0">SUM(C13:N13)</f>
        <v>231094.21000000002</v>
      </c>
      <c r="P13" s="597">
        <f>SUM('[1]contract  = suplim dec '!$O$13)</f>
        <v>231094.21000000002</v>
      </c>
      <c r="Q13" s="598">
        <f t="shared" ref="Q13:Q22" si="1">SUM(O13-P13)</f>
        <v>0</v>
      </c>
    </row>
    <row r="14" spans="1:18">
      <c r="A14" s="604">
        <v>2</v>
      </c>
      <c r="B14" s="605" t="s">
        <v>8</v>
      </c>
      <c r="C14" s="606">
        <v>59504.2</v>
      </c>
      <c r="D14" s="606">
        <v>50798.07</v>
      </c>
      <c r="E14" s="606">
        <v>54515.69</v>
      </c>
      <c r="F14" s="606">
        <v>51138.46</v>
      </c>
      <c r="G14" s="606">
        <v>57750.39</v>
      </c>
      <c r="H14" s="606">
        <v>45940.22</v>
      </c>
      <c r="I14" s="606">
        <v>57449.24</v>
      </c>
      <c r="J14" s="606">
        <v>53669.72</v>
      </c>
      <c r="K14" s="606">
        <v>52441.65</v>
      </c>
      <c r="L14" s="607">
        <v>63708.91</v>
      </c>
      <c r="M14" s="607">
        <v>62836.91</v>
      </c>
      <c r="N14" s="607">
        <v>57702.51</v>
      </c>
      <c r="O14" s="608">
        <f t="shared" si="0"/>
        <v>667455.97000000009</v>
      </c>
      <c r="P14" s="609">
        <v>667455.97</v>
      </c>
      <c r="Q14" s="610">
        <f t="shared" si="1"/>
        <v>1.1641532182693481E-10</v>
      </c>
      <c r="R14" s="611"/>
    </row>
    <row r="15" spans="1:18">
      <c r="A15" s="612">
        <v>3</v>
      </c>
      <c r="B15" s="613" t="s">
        <v>47</v>
      </c>
      <c r="C15" s="614">
        <v>64420.76</v>
      </c>
      <c r="D15" s="614">
        <v>66679.759999999995</v>
      </c>
      <c r="E15" s="614">
        <v>64928.73</v>
      </c>
      <c r="F15" s="614">
        <v>67605.570000000007</v>
      </c>
      <c r="G15" s="614">
        <v>69265.58</v>
      </c>
      <c r="H15" s="614">
        <v>67718.7</v>
      </c>
      <c r="I15" s="614">
        <v>75910.98</v>
      </c>
      <c r="J15" s="614">
        <v>70815.039999999994</v>
      </c>
      <c r="K15" s="614">
        <v>69415.39</v>
      </c>
      <c r="L15" s="615">
        <v>84298.68</v>
      </c>
      <c r="M15" s="615">
        <v>82629.78</v>
      </c>
      <c r="N15" s="615">
        <v>85060.81</v>
      </c>
      <c r="O15" s="616">
        <f t="shared" si="0"/>
        <v>868749.78</v>
      </c>
      <c r="P15" s="617">
        <v>863749.78</v>
      </c>
      <c r="Q15" s="618">
        <f t="shared" si="1"/>
        <v>5000</v>
      </c>
      <c r="R15" s="611"/>
    </row>
    <row r="16" spans="1:18">
      <c r="A16" s="593">
        <v>4</v>
      </c>
      <c r="B16" s="619" t="s">
        <v>48</v>
      </c>
      <c r="C16" s="620">
        <v>67870.53</v>
      </c>
      <c r="D16" s="620">
        <v>70265</v>
      </c>
      <c r="E16" s="620">
        <v>68385.45</v>
      </c>
      <c r="F16" s="620">
        <v>68958.55</v>
      </c>
      <c r="G16" s="620">
        <v>70642.17</v>
      </c>
      <c r="H16" s="620">
        <v>68553.73</v>
      </c>
      <c r="I16" s="620">
        <v>70428.990000000005</v>
      </c>
      <c r="J16" s="620">
        <v>72708.59</v>
      </c>
      <c r="K16" s="620">
        <v>77519.350000000006</v>
      </c>
      <c r="L16" s="595">
        <v>82306.55</v>
      </c>
      <c r="M16" s="595">
        <v>85439.39</v>
      </c>
      <c r="N16" s="595">
        <v>77773.06</v>
      </c>
      <c r="O16" s="596">
        <f t="shared" si="0"/>
        <v>880851.35999999987</v>
      </c>
      <c r="P16" s="597">
        <v>880851.36</v>
      </c>
      <c r="Q16" s="598">
        <f t="shared" si="1"/>
        <v>-1.1641532182693481E-10</v>
      </c>
      <c r="R16" s="611"/>
    </row>
    <row r="17" spans="1:18">
      <c r="A17" s="621">
        <v>5</v>
      </c>
      <c r="B17" s="605" t="s">
        <v>49</v>
      </c>
      <c r="C17" s="606">
        <v>52920.33</v>
      </c>
      <c r="D17" s="606">
        <v>54612.98</v>
      </c>
      <c r="E17" s="606">
        <v>53342.17</v>
      </c>
      <c r="F17" s="606">
        <v>51927.23</v>
      </c>
      <c r="G17" s="606">
        <v>58418.89</v>
      </c>
      <c r="H17" s="606">
        <v>46826.12</v>
      </c>
      <c r="I17" s="606">
        <v>56011.54</v>
      </c>
      <c r="J17" s="606">
        <v>51776.58</v>
      </c>
      <c r="K17" s="606">
        <v>58205.84</v>
      </c>
      <c r="L17" s="607">
        <v>64707.55</v>
      </c>
      <c r="M17" s="607">
        <v>63701.46</v>
      </c>
      <c r="N17" s="607">
        <v>67626.86</v>
      </c>
      <c r="O17" s="608">
        <f t="shared" si="0"/>
        <v>680077.54999999993</v>
      </c>
      <c r="P17" s="609">
        <v>680077.55</v>
      </c>
      <c r="Q17" s="610">
        <f t="shared" si="1"/>
        <v>-1.1641532182693481E-10</v>
      </c>
      <c r="R17" s="611"/>
    </row>
    <row r="18" spans="1:18">
      <c r="A18" s="593">
        <v>6</v>
      </c>
      <c r="B18" s="619" t="s">
        <v>41</v>
      </c>
      <c r="C18" s="620">
        <v>50702.38</v>
      </c>
      <c r="D18" s="620">
        <v>47502.84</v>
      </c>
      <c r="E18" s="620">
        <v>42166.98</v>
      </c>
      <c r="F18" s="620">
        <v>50893.08</v>
      </c>
      <c r="G18" s="620">
        <v>48746.63</v>
      </c>
      <c r="H18" s="620">
        <v>48706.58</v>
      </c>
      <c r="I18" s="620">
        <v>48406.44</v>
      </c>
      <c r="J18" s="620">
        <v>48998.1</v>
      </c>
      <c r="K18" s="620">
        <v>55159.86</v>
      </c>
      <c r="L18" s="595">
        <v>55877.24</v>
      </c>
      <c r="M18" s="595">
        <v>65822.86</v>
      </c>
      <c r="N18" s="595">
        <v>48988</v>
      </c>
      <c r="O18" s="596">
        <f t="shared" si="0"/>
        <v>611970.99</v>
      </c>
      <c r="P18" s="597">
        <v>611970.99</v>
      </c>
      <c r="Q18" s="598">
        <f t="shared" si="1"/>
        <v>0</v>
      </c>
    </row>
    <row r="19" spans="1:18">
      <c r="A19" s="621">
        <v>7</v>
      </c>
      <c r="B19" s="605" t="s">
        <v>9</v>
      </c>
      <c r="C19" s="606">
        <v>49795.15</v>
      </c>
      <c r="D19" s="606">
        <v>49866.5</v>
      </c>
      <c r="E19" s="606">
        <v>50115.98</v>
      </c>
      <c r="F19" s="606">
        <v>52041.2</v>
      </c>
      <c r="G19" s="606">
        <v>53741.71</v>
      </c>
      <c r="H19" s="606">
        <v>53725.83</v>
      </c>
      <c r="I19" s="606">
        <v>53245.41</v>
      </c>
      <c r="J19" s="606">
        <v>52780.04</v>
      </c>
      <c r="K19" s="606">
        <v>57894.09</v>
      </c>
      <c r="L19" s="607">
        <v>56134.59</v>
      </c>
      <c r="M19" s="607">
        <v>50097.35</v>
      </c>
      <c r="N19" s="607">
        <v>51714</v>
      </c>
      <c r="O19" s="608">
        <f t="shared" si="0"/>
        <v>631151.85</v>
      </c>
      <c r="P19" s="609">
        <v>631151.85</v>
      </c>
      <c r="Q19" s="610">
        <f t="shared" si="1"/>
        <v>0</v>
      </c>
    </row>
    <row r="20" spans="1:18">
      <c r="A20" s="593">
        <v>8</v>
      </c>
      <c r="B20" s="619" t="s">
        <v>10</v>
      </c>
      <c r="C20" s="620">
        <v>20275.099999999999</v>
      </c>
      <c r="D20" s="620">
        <v>22027.84</v>
      </c>
      <c r="E20" s="620">
        <v>19845.650000000001</v>
      </c>
      <c r="F20" s="620">
        <v>22269.45</v>
      </c>
      <c r="G20" s="620">
        <v>24954.07</v>
      </c>
      <c r="H20" s="620">
        <v>19976.52</v>
      </c>
      <c r="I20" s="620">
        <v>21544.74</v>
      </c>
      <c r="J20" s="620">
        <v>22225.58</v>
      </c>
      <c r="K20" s="620">
        <v>22845.11</v>
      </c>
      <c r="L20" s="595">
        <v>24705.599999999999</v>
      </c>
      <c r="M20" s="595">
        <v>24353.69</v>
      </c>
      <c r="N20" s="595">
        <v>31163</v>
      </c>
      <c r="O20" s="596">
        <f t="shared" si="0"/>
        <v>276186.34999999998</v>
      </c>
      <c r="P20" s="597">
        <v>276186.34999999998</v>
      </c>
      <c r="Q20" s="598">
        <f t="shared" si="1"/>
        <v>0</v>
      </c>
    </row>
    <row r="21" spans="1:18" ht="13.5" thickBot="1">
      <c r="A21" s="621">
        <v>9</v>
      </c>
      <c r="B21" s="622" t="s">
        <v>11</v>
      </c>
      <c r="C21" s="623">
        <v>16553.03</v>
      </c>
      <c r="D21" s="623">
        <v>28478.13</v>
      </c>
      <c r="E21" s="623">
        <v>28740.98</v>
      </c>
      <c r="F21" s="623">
        <v>25101.45</v>
      </c>
      <c r="G21" s="623">
        <v>30320.13</v>
      </c>
      <c r="H21" s="623">
        <v>22842.32</v>
      </c>
      <c r="I21" s="623">
        <v>21554.33</v>
      </c>
      <c r="J21" s="623">
        <v>28856.89</v>
      </c>
      <c r="K21" s="623">
        <v>24470.93</v>
      </c>
      <c r="L21" s="624">
        <v>21010.91</v>
      </c>
      <c r="M21" s="607">
        <v>26943.83</v>
      </c>
      <c r="N21" s="624">
        <v>33142.47</v>
      </c>
      <c r="O21" s="608">
        <f t="shared" si="0"/>
        <v>308015.40000000002</v>
      </c>
      <c r="P21" s="609">
        <v>308015.40000000002</v>
      </c>
      <c r="Q21" s="610">
        <f t="shared" si="1"/>
        <v>0</v>
      </c>
    </row>
    <row r="22" spans="1:18" ht="13.5" thickBot="1">
      <c r="A22" s="625"/>
      <c r="B22" s="625" t="s">
        <v>12</v>
      </c>
      <c r="C22" s="626">
        <f>SUM(C12:C21)</f>
        <v>493072.68999999994</v>
      </c>
      <c r="D22" s="627">
        <f t="shared" ref="D22:O22" si="2">SUM(D12:D21)</f>
        <v>490806.64999999997</v>
      </c>
      <c r="E22" s="627">
        <f t="shared" si="2"/>
        <v>480215.49999999994</v>
      </c>
      <c r="F22" s="627">
        <f t="shared" si="2"/>
        <v>484656.99000000005</v>
      </c>
      <c r="G22" s="627">
        <f t="shared" si="2"/>
        <v>513970.66000000003</v>
      </c>
      <c r="H22" s="627">
        <f t="shared" si="2"/>
        <v>466128.28</v>
      </c>
      <c r="I22" s="627">
        <f t="shared" si="2"/>
        <v>498748.67</v>
      </c>
      <c r="J22" s="627">
        <f t="shared" si="2"/>
        <v>466119.05999999994</v>
      </c>
      <c r="K22" s="627">
        <f t="shared" si="2"/>
        <v>489646.7099999999</v>
      </c>
      <c r="L22" s="627">
        <f t="shared" si="2"/>
        <v>525354.15</v>
      </c>
      <c r="M22" s="627">
        <f t="shared" si="2"/>
        <v>538090.54999999993</v>
      </c>
      <c r="N22" s="627">
        <f t="shared" si="2"/>
        <v>518669.70999999996</v>
      </c>
      <c r="O22" s="628">
        <f t="shared" si="2"/>
        <v>5965479.6199999992</v>
      </c>
      <c r="P22" s="597">
        <f>SUM(P12:P21)</f>
        <v>5960479.6200000001</v>
      </c>
      <c r="Q22" s="598">
        <f t="shared" si="1"/>
        <v>4999.9999999990687</v>
      </c>
    </row>
    <row r="23" spans="1:18">
      <c r="A23" s="629"/>
      <c r="B23" s="629"/>
      <c r="C23" s="585"/>
      <c r="D23" s="585"/>
      <c r="E23" s="585"/>
      <c r="F23" s="585"/>
      <c r="G23" s="585"/>
      <c r="H23" s="585"/>
      <c r="J23" s="585"/>
      <c r="K23" s="585"/>
      <c r="L23" s="585"/>
      <c r="M23" s="585"/>
      <c r="N23" s="585"/>
      <c r="O23" s="585"/>
      <c r="P23" s="630"/>
      <c r="Q23" s="598"/>
    </row>
    <row r="24" spans="1:18" ht="14.25" thickBot="1">
      <c r="A24" s="586" t="s">
        <v>60</v>
      </c>
      <c r="B24" s="587"/>
      <c r="C24" s="631"/>
      <c r="P24" s="630"/>
      <c r="Q24" s="632"/>
    </row>
    <row r="25" spans="1:18" ht="13.5" thickBot="1">
      <c r="A25" s="588" t="s">
        <v>4</v>
      </c>
      <c r="B25" s="588" t="s">
        <v>5</v>
      </c>
      <c r="C25" s="589" t="s">
        <v>55</v>
      </c>
      <c r="D25" s="589" t="s">
        <v>56</v>
      </c>
      <c r="E25" s="590" t="s">
        <v>66</v>
      </c>
      <c r="F25" s="590" t="s">
        <v>68</v>
      </c>
      <c r="G25" s="590" t="s">
        <v>71</v>
      </c>
      <c r="H25" s="590" t="s">
        <v>72</v>
      </c>
      <c r="I25" s="590" t="s">
        <v>73</v>
      </c>
      <c r="J25" s="590" t="s">
        <v>78</v>
      </c>
      <c r="K25" s="590" t="s">
        <v>77</v>
      </c>
      <c r="L25" s="590" t="s">
        <v>74</v>
      </c>
      <c r="M25" s="590" t="s">
        <v>75</v>
      </c>
      <c r="N25" s="590" t="s">
        <v>76</v>
      </c>
      <c r="O25" s="590" t="s">
        <v>54</v>
      </c>
      <c r="P25" s="630"/>
      <c r="Q25" s="632"/>
    </row>
    <row r="26" spans="1:18">
      <c r="A26" s="633">
        <v>1</v>
      </c>
      <c r="B26" s="633" t="s">
        <v>8</v>
      </c>
      <c r="C26" s="595">
        <v>957.94</v>
      </c>
      <c r="D26" s="595">
        <v>3351.51</v>
      </c>
      <c r="E26" s="595">
        <v>1038.83</v>
      </c>
      <c r="F26" s="595">
        <v>1312.73</v>
      </c>
      <c r="G26" s="595">
        <v>2205.21</v>
      </c>
      <c r="H26" s="595">
        <v>4335.8900000000003</v>
      </c>
      <c r="I26" s="595">
        <v>10929.65</v>
      </c>
      <c r="J26" s="595">
        <v>19073.099999999999</v>
      </c>
      <c r="K26" s="595">
        <v>18673.849999999999</v>
      </c>
      <c r="L26" s="595">
        <v>19000.009999999998</v>
      </c>
      <c r="M26" s="595">
        <v>23787.45</v>
      </c>
      <c r="N26" s="595"/>
      <c r="O26" s="596">
        <f>SUM(C26:N26)</f>
        <v>104666.17</v>
      </c>
      <c r="P26" s="630">
        <v>104666.17</v>
      </c>
      <c r="Q26" s="598">
        <f>SUM(O26-P26)</f>
        <v>0</v>
      </c>
    </row>
    <row r="27" spans="1:18">
      <c r="A27" s="163">
        <v>2</v>
      </c>
      <c r="B27" s="163" t="s">
        <v>59</v>
      </c>
      <c r="C27" s="620">
        <v>164.06</v>
      </c>
      <c r="D27" s="620">
        <v>763.62</v>
      </c>
      <c r="E27" s="620">
        <v>788.74</v>
      </c>
      <c r="F27" s="620"/>
      <c r="G27" s="595"/>
      <c r="H27" s="595">
        <v>940.28</v>
      </c>
      <c r="I27" s="595">
        <v>749.41</v>
      </c>
      <c r="J27" s="595">
        <v>791.33</v>
      </c>
      <c r="K27" s="595">
        <v>1072.42</v>
      </c>
      <c r="L27" s="595">
        <v>622.70000000000005</v>
      </c>
      <c r="M27" s="595">
        <v>636.62</v>
      </c>
      <c r="N27" s="595"/>
      <c r="O27" s="596">
        <f t="shared" ref="O27:O30" si="3">SUM(C27:N27)</f>
        <v>6529.1799999999994</v>
      </c>
      <c r="P27" s="630">
        <v>6529.18</v>
      </c>
      <c r="Q27" s="598">
        <f t="shared" ref="Q27:Q31" si="4">SUM(O27-P27)</f>
        <v>-9.0949470177292824E-13</v>
      </c>
    </row>
    <row r="28" spans="1:18">
      <c r="A28" s="163">
        <v>3</v>
      </c>
      <c r="B28" s="163" t="s">
        <v>58</v>
      </c>
      <c r="C28" s="620">
        <v>8866.74</v>
      </c>
      <c r="D28" s="620">
        <v>9481.02</v>
      </c>
      <c r="E28" s="620">
        <v>7632.56</v>
      </c>
      <c r="F28" s="620">
        <v>3399.04</v>
      </c>
      <c r="G28" s="620">
        <v>8076.23</v>
      </c>
      <c r="H28" s="620">
        <v>5729.15</v>
      </c>
      <c r="I28" s="620">
        <v>7573.18</v>
      </c>
      <c r="J28" s="620">
        <v>9348.66</v>
      </c>
      <c r="K28" s="620">
        <v>11887.89</v>
      </c>
      <c r="L28" s="620">
        <v>8880.0400000000009</v>
      </c>
      <c r="M28" s="620">
        <v>8873.24</v>
      </c>
      <c r="N28" s="620"/>
      <c r="O28" s="596">
        <f t="shared" si="3"/>
        <v>89747.750000000015</v>
      </c>
      <c r="P28" s="630">
        <v>89747.75</v>
      </c>
      <c r="Q28" s="598">
        <f t="shared" si="4"/>
        <v>1.4551915228366852E-11</v>
      </c>
    </row>
    <row r="29" spans="1:18">
      <c r="A29" s="163">
        <v>4</v>
      </c>
      <c r="B29" s="163" t="s">
        <v>41</v>
      </c>
      <c r="C29" s="620">
        <v>0</v>
      </c>
      <c r="D29" s="620">
        <v>661.17</v>
      </c>
      <c r="E29" s="620">
        <v>1107.1500000000001</v>
      </c>
      <c r="F29" s="620"/>
      <c r="G29" s="620"/>
      <c r="H29" s="620"/>
      <c r="I29" s="620"/>
      <c r="J29" s="620">
        <v>411.11</v>
      </c>
      <c r="K29" s="620">
        <v>0</v>
      </c>
      <c r="L29" s="620">
        <v>448.62</v>
      </c>
      <c r="M29" s="620"/>
      <c r="N29" s="620"/>
      <c r="O29" s="596">
        <f t="shared" si="3"/>
        <v>2628.05</v>
      </c>
      <c r="P29" s="630">
        <v>2628.05</v>
      </c>
      <c r="Q29" s="598">
        <f t="shared" si="4"/>
        <v>0</v>
      </c>
    </row>
    <row r="30" spans="1:18" ht="13.5" thickBot="1">
      <c r="A30" s="634">
        <v>9</v>
      </c>
      <c r="B30" s="634" t="s">
        <v>10</v>
      </c>
      <c r="C30" s="635"/>
      <c r="D30" s="635"/>
      <c r="E30" s="635"/>
      <c r="F30" s="635"/>
      <c r="G30" s="635">
        <v>48.09</v>
      </c>
      <c r="H30" s="635"/>
      <c r="I30" s="635"/>
      <c r="J30" s="635"/>
      <c r="K30" s="635">
        <v>0</v>
      </c>
      <c r="L30" s="635"/>
      <c r="M30" s="635"/>
      <c r="N30" s="635"/>
      <c r="O30" s="596">
        <f t="shared" si="3"/>
        <v>48.09</v>
      </c>
      <c r="P30" s="630">
        <v>48.09</v>
      </c>
      <c r="Q30" s="598">
        <f t="shared" si="4"/>
        <v>0</v>
      </c>
    </row>
    <row r="31" spans="1:18" ht="13.5" thickBot="1">
      <c r="A31" s="625"/>
      <c r="B31" s="625" t="s">
        <v>12</v>
      </c>
      <c r="C31" s="636">
        <f>SUM(C26:C30)</f>
        <v>9988.74</v>
      </c>
      <c r="D31" s="636">
        <f t="shared" ref="D31:O31" si="5">SUM(D26:D30)</f>
        <v>14257.320000000002</v>
      </c>
      <c r="E31" s="636">
        <f t="shared" si="5"/>
        <v>10567.28</v>
      </c>
      <c r="F31" s="636">
        <f t="shared" si="5"/>
        <v>4711.7700000000004</v>
      </c>
      <c r="G31" s="636">
        <f t="shared" si="5"/>
        <v>10329.529999999999</v>
      </c>
      <c r="H31" s="636">
        <f t="shared" si="5"/>
        <v>11005.32</v>
      </c>
      <c r="I31" s="636">
        <f t="shared" si="5"/>
        <v>19252.239999999998</v>
      </c>
      <c r="J31" s="636">
        <f t="shared" si="5"/>
        <v>29624.2</v>
      </c>
      <c r="K31" s="636">
        <f t="shared" si="5"/>
        <v>31634.159999999996</v>
      </c>
      <c r="L31" s="636">
        <f t="shared" si="5"/>
        <v>28951.37</v>
      </c>
      <c r="M31" s="636">
        <f t="shared" si="5"/>
        <v>33297.31</v>
      </c>
      <c r="N31" s="636">
        <f t="shared" si="5"/>
        <v>0</v>
      </c>
      <c r="O31" s="637">
        <f t="shared" si="5"/>
        <v>203619.24</v>
      </c>
      <c r="P31" s="630">
        <f>SUM(P26:P30)</f>
        <v>203619.24</v>
      </c>
      <c r="Q31" s="598">
        <f t="shared" si="4"/>
        <v>0</v>
      </c>
    </row>
    <row r="32" spans="1:18">
      <c r="A32" s="629"/>
      <c r="B32" s="629"/>
      <c r="C32" s="585"/>
      <c r="F32" s="611"/>
      <c r="G32" s="585"/>
      <c r="H32" s="585"/>
      <c r="J32" s="585"/>
      <c r="K32" s="638"/>
      <c r="L32" s="611"/>
      <c r="M32" s="585"/>
      <c r="N32" s="585"/>
      <c r="P32" s="630"/>
      <c r="Q32" s="632"/>
    </row>
    <row r="33" spans="1:17" ht="13.5" thickBot="1">
      <c r="A33" s="639" t="s">
        <v>13</v>
      </c>
      <c r="B33" s="639"/>
      <c r="C33" s="639"/>
      <c r="G33" s="611"/>
      <c r="P33" s="630"/>
      <c r="Q33" s="632"/>
    </row>
    <row r="34" spans="1:17" ht="13.5" thickBot="1">
      <c r="A34" s="640" t="s">
        <v>4</v>
      </c>
      <c r="B34" s="590" t="s">
        <v>5</v>
      </c>
      <c r="C34" s="589" t="s">
        <v>55</v>
      </c>
      <c r="D34" s="589" t="s">
        <v>56</v>
      </c>
      <c r="E34" s="590" t="s">
        <v>66</v>
      </c>
      <c r="F34" s="590" t="s">
        <v>68</v>
      </c>
      <c r="G34" s="590" t="s">
        <v>71</v>
      </c>
      <c r="H34" s="590" t="s">
        <v>72</v>
      </c>
      <c r="I34" s="590" t="s">
        <v>73</v>
      </c>
      <c r="J34" s="590" t="s">
        <v>78</v>
      </c>
      <c r="K34" s="590" t="s">
        <v>77</v>
      </c>
      <c r="L34" s="590" t="s">
        <v>74</v>
      </c>
      <c r="M34" s="590" t="s">
        <v>75</v>
      </c>
      <c r="N34" s="590" t="s">
        <v>76</v>
      </c>
      <c r="O34" s="590" t="s">
        <v>54</v>
      </c>
      <c r="P34" s="630"/>
      <c r="Q34" s="632"/>
    </row>
    <row r="35" spans="1:17">
      <c r="A35" s="633">
        <v>1</v>
      </c>
      <c r="B35" s="594" t="s">
        <v>14</v>
      </c>
      <c r="C35" s="595">
        <v>1400</v>
      </c>
      <c r="D35" s="595">
        <v>1160</v>
      </c>
      <c r="E35" s="595">
        <v>1800</v>
      </c>
      <c r="F35" s="595">
        <v>920</v>
      </c>
      <c r="G35" s="595">
        <v>1600</v>
      </c>
      <c r="H35" s="595">
        <v>1800</v>
      </c>
      <c r="I35" s="595">
        <v>1840</v>
      </c>
      <c r="J35" s="595">
        <v>1240</v>
      </c>
      <c r="K35" s="595">
        <v>1840</v>
      </c>
      <c r="L35" s="595">
        <v>2080</v>
      </c>
      <c r="M35" s="595">
        <v>1400</v>
      </c>
      <c r="N35" s="595">
        <v>2299</v>
      </c>
      <c r="O35" s="596">
        <f t="shared" ref="O35:O36" si="6">SUM(C35:N35)</f>
        <v>19379</v>
      </c>
      <c r="P35" s="630">
        <v>19379</v>
      </c>
      <c r="Q35" s="598">
        <f>SUM(O35-P35)</f>
        <v>0</v>
      </c>
    </row>
    <row r="36" spans="1:17" ht="13.5" thickBot="1">
      <c r="A36" s="634">
        <v>2</v>
      </c>
      <c r="B36" s="619" t="s">
        <v>15</v>
      </c>
      <c r="C36" s="635">
        <v>440</v>
      </c>
      <c r="D36" s="635">
        <v>480</v>
      </c>
      <c r="E36" s="635">
        <v>480</v>
      </c>
      <c r="F36" s="595">
        <v>440</v>
      </c>
      <c r="G36" s="595">
        <v>680</v>
      </c>
      <c r="H36" s="635">
        <v>360</v>
      </c>
      <c r="I36" s="635">
        <v>400</v>
      </c>
      <c r="J36" s="635">
        <v>520</v>
      </c>
      <c r="K36" s="595">
        <v>520</v>
      </c>
      <c r="L36" s="595">
        <v>680</v>
      </c>
      <c r="M36" s="595">
        <v>920</v>
      </c>
      <c r="N36" s="595">
        <v>1661</v>
      </c>
      <c r="O36" s="596">
        <f t="shared" si="6"/>
        <v>7581</v>
      </c>
      <c r="P36" s="630">
        <v>7581</v>
      </c>
      <c r="Q36" s="598">
        <f t="shared" ref="Q36:Q37" si="7">SUM(O36-P36)</f>
        <v>0</v>
      </c>
    </row>
    <row r="37" spans="1:17" ht="13.5" thickBot="1">
      <c r="A37" s="641"/>
      <c r="B37" s="642" t="s">
        <v>16</v>
      </c>
      <c r="C37" s="626">
        <f>SUM(C35:C36)</f>
        <v>1840</v>
      </c>
      <c r="D37" s="626">
        <f t="shared" ref="D37:O37" si="8">SUM(D35:D36)</f>
        <v>1640</v>
      </c>
      <c r="E37" s="626">
        <f t="shared" si="8"/>
        <v>2280</v>
      </c>
      <c r="F37" s="626">
        <f t="shared" si="8"/>
        <v>1360</v>
      </c>
      <c r="G37" s="626">
        <f t="shared" si="8"/>
        <v>2280</v>
      </c>
      <c r="H37" s="626">
        <f t="shared" si="8"/>
        <v>2160</v>
      </c>
      <c r="I37" s="626">
        <f t="shared" si="8"/>
        <v>2240</v>
      </c>
      <c r="J37" s="626">
        <f t="shared" si="8"/>
        <v>1760</v>
      </c>
      <c r="K37" s="626">
        <f t="shared" si="8"/>
        <v>2360</v>
      </c>
      <c r="L37" s="626">
        <f t="shared" si="8"/>
        <v>2760</v>
      </c>
      <c r="M37" s="626">
        <f t="shared" si="8"/>
        <v>2320</v>
      </c>
      <c r="N37" s="626">
        <f t="shared" si="8"/>
        <v>3960</v>
      </c>
      <c r="O37" s="637">
        <f t="shared" si="8"/>
        <v>26960</v>
      </c>
      <c r="P37" s="630">
        <f>SUM(P35:P36)</f>
        <v>26960</v>
      </c>
      <c r="Q37" s="598">
        <f t="shared" si="7"/>
        <v>0</v>
      </c>
    </row>
    <row r="38" spans="1:17">
      <c r="A38" s="629"/>
      <c r="B38" s="629"/>
      <c r="C38" s="629"/>
      <c r="G38" s="585" t="s">
        <v>86</v>
      </c>
      <c r="H38" s="585">
        <f>SUM(C37:H37)</f>
        <v>11560</v>
      </c>
      <c r="J38" s="585" t="s">
        <v>82</v>
      </c>
      <c r="K38" s="585">
        <f>SUM(I37:K37)</f>
        <v>6360</v>
      </c>
      <c r="M38" s="585" t="s">
        <v>81</v>
      </c>
      <c r="N38" s="585">
        <f>SUM(L37:N37)</f>
        <v>9040</v>
      </c>
      <c r="P38" s="630"/>
      <c r="Q38" s="632"/>
    </row>
    <row r="39" spans="1:17" ht="13.5" thickBot="1">
      <c r="A39" s="639" t="s">
        <v>17</v>
      </c>
      <c r="B39" s="639"/>
      <c r="C39" s="629"/>
      <c r="P39" s="630"/>
      <c r="Q39" s="632"/>
    </row>
    <row r="40" spans="1:17" ht="13.5" thickBot="1">
      <c r="A40" s="640" t="s">
        <v>4</v>
      </c>
      <c r="B40" s="590" t="s">
        <v>18</v>
      </c>
      <c r="C40" s="589" t="s">
        <v>55</v>
      </c>
      <c r="D40" s="589" t="s">
        <v>56</v>
      </c>
      <c r="E40" s="590" t="s">
        <v>66</v>
      </c>
      <c r="F40" s="590" t="s">
        <v>68</v>
      </c>
      <c r="G40" s="590" t="s">
        <v>71</v>
      </c>
      <c r="H40" s="590" t="s">
        <v>72</v>
      </c>
      <c r="I40" s="590" t="s">
        <v>73</v>
      </c>
      <c r="J40" s="590" t="s">
        <v>78</v>
      </c>
      <c r="K40" s="590" t="s">
        <v>77</v>
      </c>
      <c r="L40" s="590" t="s">
        <v>74</v>
      </c>
      <c r="M40" s="590" t="s">
        <v>75</v>
      </c>
      <c r="N40" s="590" t="s">
        <v>76</v>
      </c>
      <c r="O40" s="590" t="s">
        <v>54</v>
      </c>
      <c r="P40" s="630"/>
      <c r="Q40" s="632"/>
    </row>
    <row r="41" spans="1:17">
      <c r="A41" s="593">
        <v>1</v>
      </c>
      <c r="B41" s="594" t="s">
        <v>19</v>
      </c>
      <c r="C41" s="595">
        <v>5280</v>
      </c>
      <c r="D41" s="643">
        <v>5860</v>
      </c>
      <c r="E41" s="643">
        <v>6660</v>
      </c>
      <c r="F41" s="643">
        <v>4040</v>
      </c>
      <c r="G41" s="595">
        <v>5480</v>
      </c>
      <c r="H41" s="643">
        <v>4740</v>
      </c>
      <c r="I41" s="643">
        <v>5460</v>
      </c>
      <c r="J41" s="643">
        <v>5460</v>
      </c>
      <c r="K41" s="595">
        <v>6000</v>
      </c>
      <c r="L41" s="595">
        <v>5520</v>
      </c>
      <c r="M41" s="595">
        <v>4960</v>
      </c>
      <c r="N41" s="595">
        <v>4825</v>
      </c>
      <c r="O41" s="596">
        <f t="shared" ref="O41:O49" si="9">SUM(C41:N41)</f>
        <v>64285</v>
      </c>
      <c r="P41" s="630">
        <v>64285</v>
      </c>
      <c r="Q41" s="598">
        <f>SUM(O41-P41)</f>
        <v>0</v>
      </c>
    </row>
    <row r="42" spans="1:17">
      <c r="A42" s="163">
        <v>2</v>
      </c>
      <c r="B42" s="619" t="s">
        <v>7</v>
      </c>
      <c r="C42" s="620">
        <v>4420</v>
      </c>
      <c r="D42" s="620">
        <v>4500</v>
      </c>
      <c r="E42" s="620">
        <v>4420</v>
      </c>
      <c r="F42" s="620">
        <v>4500</v>
      </c>
      <c r="G42" s="595">
        <v>4500</v>
      </c>
      <c r="H42" s="620">
        <v>4500</v>
      </c>
      <c r="I42" s="620">
        <v>4500</v>
      </c>
      <c r="J42" s="620">
        <v>4500</v>
      </c>
      <c r="K42" s="595">
        <v>4500</v>
      </c>
      <c r="L42" s="595">
        <v>4500</v>
      </c>
      <c r="M42" s="595">
        <v>4500</v>
      </c>
      <c r="N42" s="595">
        <v>4500</v>
      </c>
      <c r="O42" s="596">
        <f t="shared" si="9"/>
        <v>53840</v>
      </c>
      <c r="P42" s="630">
        <v>53840</v>
      </c>
      <c r="Q42" s="598">
        <f t="shared" ref="Q42:Q50" si="10">SUM(O42-P42)</f>
        <v>0</v>
      </c>
    </row>
    <row r="43" spans="1:17">
      <c r="A43" s="593">
        <v>3</v>
      </c>
      <c r="B43" s="619" t="s">
        <v>20</v>
      </c>
      <c r="C43" s="620">
        <v>4280</v>
      </c>
      <c r="D43" s="620">
        <v>4760</v>
      </c>
      <c r="E43" s="620">
        <v>3880</v>
      </c>
      <c r="F43" s="620">
        <v>4380</v>
      </c>
      <c r="G43" s="595">
        <v>6280</v>
      </c>
      <c r="H43" s="620">
        <v>5360</v>
      </c>
      <c r="I43" s="620">
        <v>6100</v>
      </c>
      <c r="J43" s="620">
        <v>4740</v>
      </c>
      <c r="K43" s="595">
        <v>5700</v>
      </c>
      <c r="L43" s="595">
        <v>5600</v>
      </c>
      <c r="M43" s="595">
        <v>5020</v>
      </c>
      <c r="N43" s="595">
        <v>6300</v>
      </c>
      <c r="O43" s="596">
        <f t="shared" si="9"/>
        <v>62400</v>
      </c>
      <c r="P43" s="630">
        <v>62400</v>
      </c>
      <c r="Q43" s="598">
        <f t="shared" si="10"/>
        <v>0</v>
      </c>
    </row>
    <row r="44" spans="1:17">
      <c r="A44" s="163">
        <v>4</v>
      </c>
      <c r="B44" s="619" t="s">
        <v>21</v>
      </c>
      <c r="C44" s="620">
        <v>2940</v>
      </c>
      <c r="D44" s="620">
        <v>3300</v>
      </c>
      <c r="E44" s="620">
        <v>4200</v>
      </c>
      <c r="F44" s="620">
        <v>3420</v>
      </c>
      <c r="G44" s="595">
        <v>3120</v>
      </c>
      <c r="H44" s="620">
        <v>3600</v>
      </c>
      <c r="I44" s="620">
        <v>4560</v>
      </c>
      <c r="J44" s="620">
        <v>5640</v>
      </c>
      <c r="K44" s="595">
        <v>3840</v>
      </c>
      <c r="L44" s="595">
        <v>3780</v>
      </c>
      <c r="M44" s="595">
        <v>6420</v>
      </c>
      <c r="N44" s="595">
        <v>2774</v>
      </c>
      <c r="O44" s="596">
        <f t="shared" si="9"/>
        <v>47594</v>
      </c>
      <c r="P44" s="630">
        <v>47594</v>
      </c>
      <c r="Q44" s="598">
        <f t="shared" si="10"/>
        <v>0</v>
      </c>
    </row>
    <row r="45" spans="1:17">
      <c r="A45" s="593">
        <v>5</v>
      </c>
      <c r="B45" s="619" t="s">
        <v>15</v>
      </c>
      <c r="C45" s="620">
        <v>2980</v>
      </c>
      <c r="D45" s="620">
        <v>2490</v>
      </c>
      <c r="E45" s="620">
        <v>3070</v>
      </c>
      <c r="F45" s="620">
        <v>3420</v>
      </c>
      <c r="G45" s="595">
        <v>3160</v>
      </c>
      <c r="H45" s="620">
        <v>3680</v>
      </c>
      <c r="I45" s="620">
        <v>3410</v>
      </c>
      <c r="J45" s="620">
        <v>3690</v>
      </c>
      <c r="K45" s="595">
        <v>4490</v>
      </c>
      <c r="L45" s="595">
        <v>4490</v>
      </c>
      <c r="M45" s="595">
        <v>2700</v>
      </c>
      <c r="N45" s="595">
        <v>3290</v>
      </c>
      <c r="O45" s="596">
        <f t="shared" si="9"/>
        <v>40870</v>
      </c>
      <c r="P45" s="630">
        <v>40870</v>
      </c>
      <c r="Q45" s="598">
        <f t="shared" si="10"/>
        <v>0</v>
      </c>
    </row>
    <row r="46" spans="1:17">
      <c r="A46" s="163">
        <v>6</v>
      </c>
      <c r="B46" s="619" t="s">
        <v>45</v>
      </c>
      <c r="C46" s="620">
        <v>1380</v>
      </c>
      <c r="D46" s="620">
        <v>1020</v>
      </c>
      <c r="E46" s="620">
        <v>1320</v>
      </c>
      <c r="F46" s="620">
        <v>1080</v>
      </c>
      <c r="G46" s="595">
        <v>1740</v>
      </c>
      <c r="H46" s="620">
        <v>1200</v>
      </c>
      <c r="I46" s="620">
        <v>1020</v>
      </c>
      <c r="J46" s="620">
        <v>2040</v>
      </c>
      <c r="K46" s="595">
        <v>2040</v>
      </c>
      <c r="L46" s="595">
        <v>1440</v>
      </c>
      <c r="M46" s="595">
        <v>2640</v>
      </c>
      <c r="N46" s="595">
        <v>2583</v>
      </c>
      <c r="O46" s="596">
        <f t="shared" si="9"/>
        <v>19503</v>
      </c>
      <c r="P46" s="630">
        <v>19503</v>
      </c>
      <c r="Q46" s="598">
        <f t="shared" si="10"/>
        <v>0</v>
      </c>
    </row>
    <row r="47" spans="1:17">
      <c r="A47" s="644"/>
      <c r="B47" s="645" t="s">
        <v>46</v>
      </c>
      <c r="C47" s="646">
        <v>3180</v>
      </c>
      <c r="D47" s="646">
        <v>2160</v>
      </c>
      <c r="E47" s="646">
        <v>2520</v>
      </c>
      <c r="F47" s="635"/>
      <c r="G47" s="602"/>
      <c r="H47" s="635"/>
      <c r="I47" s="602"/>
      <c r="J47" s="635"/>
      <c r="K47" s="602"/>
      <c r="L47" s="602"/>
      <c r="M47" s="602"/>
      <c r="N47" s="602"/>
      <c r="O47" s="596">
        <f>SUM(C47:N47)</f>
        <v>7860</v>
      </c>
      <c r="P47" s="630">
        <v>7860</v>
      </c>
      <c r="Q47" s="598">
        <f t="shared" si="10"/>
        <v>0</v>
      </c>
    </row>
    <row r="48" spans="1:17">
      <c r="A48" s="593">
        <v>7</v>
      </c>
      <c r="B48" s="619" t="s">
        <v>10</v>
      </c>
      <c r="C48" s="635"/>
      <c r="D48" s="635"/>
      <c r="E48" s="635"/>
      <c r="F48" s="635"/>
      <c r="G48" s="595"/>
      <c r="H48" s="635"/>
      <c r="I48" s="595"/>
      <c r="J48" s="635"/>
      <c r="K48" s="595"/>
      <c r="L48" s="595">
        <v>60</v>
      </c>
      <c r="M48" s="595">
        <v>360</v>
      </c>
      <c r="N48" s="595">
        <v>2816</v>
      </c>
      <c r="O48" s="596">
        <f t="shared" si="9"/>
        <v>3236</v>
      </c>
      <c r="P48" s="630">
        <v>3236</v>
      </c>
      <c r="Q48" s="598">
        <f t="shared" si="10"/>
        <v>0</v>
      </c>
    </row>
    <row r="49" spans="1:18" ht="13.5" thickBot="1">
      <c r="A49" s="163">
        <v>8</v>
      </c>
      <c r="B49" s="619" t="s">
        <v>92</v>
      </c>
      <c r="C49" s="635"/>
      <c r="D49" s="635"/>
      <c r="E49" s="635"/>
      <c r="F49" s="635"/>
      <c r="G49" s="595"/>
      <c r="H49" s="635"/>
      <c r="I49" s="595"/>
      <c r="J49" s="635"/>
      <c r="K49" s="595"/>
      <c r="L49" s="595">
        <v>480</v>
      </c>
      <c r="M49" s="595">
        <v>1740</v>
      </c>
      <c r="N49" s="595">
        <v>3051</v>
      </c>
      <c r="O49" s="596">
        <f t="shared" si="9"/>
        <v>5271</v>
      </c>
      <c r="P49" s="630">
        <v>5271</v>
      </c>
      <c r="Q49" s="598">
        <f t="shared" si="10"/>
        <v>0</v>
      </c>
    </row>
    <row r="50" spans="1:18" ht="13.5" thickBot="1">
      <c r="A50" s="641"/>
      <c r="B50" s="642" t="s">
        <v>22</v>
      </c>
      <c r="C50" s="626">
        <f t="shared" ref="C50:K50" si="11">SUM(C41:C49)</f>
        <v>24460</v>
      </c>
      <c r="D50" s="626">
        <f t="shared" si="11"/>
        <v>24090</v>
      </c>
      <c r="E50" s="626">
        <f t="shared" si="11"/>
        <v>26070</v>
      </c>
      <c r="F50" s="626">
        <f t="shared" si="11"/>
        <v>20840</v>
      </c>
      <c r="G50" s="626">
        <f t="shared" si="11"/>
        <v>24280</v>
      </c>
      <c r="H50" s="626">
        <f t="shared" si="11"/>
        <v>23080</v>
      </c>
      <c r="I50" s="626">
        <f t="shared" si="11"/>
        <v>25050</v>
      </c>
      <c r="J50" s="626">
        <f t="shared" si="11"/>
        <v>26070</v>
      </c>
      <c r="K50" s="626">
        <f t="shared" si="11"/>
        <v>26570</v>
      </c>
      <c r="L50" s="626">
        <f>SUM(L41:L49)</f>
        <v>25870</v>
      </c>
      <c r="M50" s="626">
        <f t="shared" ref="M50:O50" si="12">SUM(M41:M49)</f>
        <v>28340</v>
      </c>
      <c r="N50" s="626">
        <f t="shared" si="12"/>
        <v>30139</v>
      </c>
      <c r="O50" s="637">
        <f t="shared" si="12"/>
        <v>304859</v>
      </c>
      <c r="P50" s="630">
        <f>SUM(P41:P49)</f>
        <v>304859</v>
      </c>
      <c r="Q50" s="598">
        <f t="shared" si="10"/>
        <v>0</v>
      </c>
    </row>
    <row r="51" spans="1:18">
      <c r="A51" s="647"/>
      <c r="B51" s="629"/>
      <c r="C51" s="629"/>
      <c r="G51" s="585"/>
      <c r="H51" s="585"/>
      <c r="J51" s="585"/>
      <c r="K51" s="585"/>
      <c r="M51" s="585"/>
      <c r="N51" s="585"/>
      <c r="P51" s="630"/>
      <c r="Q51" s="632"/>
    </row>
    <row r="52" spans="1:18" ht="13.5" thickBot="1">
      <c r="A52" s="639" t="s">
        <v>23</v>
      </c>
      <c r="B52" s="639"/>
      <c r="C52" s="639"/>
      <c r="D52" s="648"/>
      <c r="P52" s="630"/>
      <c r="Q52" s="632"/>
    </row>
    <row r="53" spans="1:18" ht="13.5" thickBot="1">
      <c r="A53" s="640" t="s">
        <v>4</v>
      </c>
      <c r="B53" s="590" t="s">
        <v>18</v>
      </c>
      <c r="C53" s="589" t="s">
        <v>55</v>
      </c>
      <c r="D53" s="589" t="s">
        <v>56</v>
      </c>
      <c r="E53" s="590" t="s">
        <v>66</v>
      </c>
      <c r="F53" s="590" t="s">
        <v>68</v>
      </c>
      <c r="G53" s="590" t="s">
        <v>71</v>
      </c>
      <c r="H53" s="590" t="s">
        <v>72</v>
      </c>
      <c r="I53" s="590" t="s">
        <v>73</v>
      </c>
      <c r="J53" s="590" t="s">
        <v>78</v>
      </c>
      <c r="K53" s="590" t="s">
        <v>77</v>
      </c>
      <c r="L53" s="590" t="s">
        <v>74</v>
      </c>
      <c r="M53" s="590" t="s">
        <v>75</v>
      </c>
      <c r="N53" s="590" t="s">
        <v>76</v>
      </c>
      <c r="O53" s="590" t="s">
        <v>54</v>
      </c>
      <c r="P53" s="630"/>
      <c r="Q53" s="632"/>
    </row>
    <row r="54" spans="1:18" ht="13.5" thickBot="1">
      <c r="A54" s="649">
        <v>1</v>
      </c>
      <c r="B54" s="650" t="s">
        <v>14</v>
      </c>
      <c r="C54" s="651">
        <v>71780</v>
      </c>
      <c r="D54" s="652">
        <v>74550</v>
      </c>
      <c r="E54" s="652">
        <v>73945</v>
      </c>
      <c r="F54" s="652">
        <v>74125</v>
      </c>
      <c r="G54" s="653">
        <v>77095</v>
      </c>
      <c r="H54" s="653">
        <v>74820</v>
      </c>
      <c r="I54" s="653">
        <v>74850</v>
      </c>
      <c r="J54" s="653">
        <v>74285</v>
      </c>
      <c r="K54" s="654">
        <v>77620</v>
      </c>
      <c r="L54" s="654">
        <v>79640</v>
      </c>
      <c r="M54" s="654">
        <v>80860</v>
      </c>
      <c r="N54" s="654">
        <v>86896</v>
      </c>
      <c r="O54" s="655">
        <f t="shared" ref="O54" si="13">SUM(C54:N54)</f>
        <v>920466</v>
      </c>
      <c r="P54" s="656">
        <v>920466</v>
      </c>
      <c r="Q54" s="610">
        <f>SUM(O54-P54)</f>
        <v>0</v>
      </c>
      <c r="R54" s="611"/>
    </row>
    <row r="55" spans="1:18">
      <c r="A55" s="647"/>
      <c r="B55" s="647"/>
      <c r="C55" s="657"/>
      <c r="D55" s="657"/>
      <c r="E55" s="657"/>
      <c r="F55" s="657"/>
      <c r="G55" s="585"/>
      <c r="H55" s="585"/>
      <c r="I55" s="657"/>
      <c r="J55" s="585"/>
      <c r="K55" s="585"/>
      <c r="L55" s="657"/>
      <c r="M55" s="585"/>
      <c r="N55" s="585"/>
      <c r="O55" s="657"/>
      <c r="P55" s="630"/>
      <c r="Q55" s="632"/>
    </row>
    <row r="56" spans="1:18">
      <c r="A56" s="647"/>
      <c r="B56" s="647"/>
      <c r="C56" s="657"/>
      <c r="D56" s="657"/>
      <c r="E56" s="657"/>
      <c r="F56" s="657"/>
      <c r="G56" s="585"/>
      <c r="H56" s="585"/>
      <c r="I56" s="657"/>
      <c r="J56" s="585"/>
      <c r="K56" s="585"/>
      <c r="L56" s="657"/>
      <c r="M56" s="585"/>
      <c r="N56" s="585"/>
      <c r="O56" s="657"/>
      <c r="P56" s="630"/>
      <c r="Q56" s="632"/>
    </row>
    <row r="57" spans="1:18">
      <c r="A57" s="647"/>
      <c r="B57" s="647"/>
      <c r="C57" s="657"/>
      <c r="D57" s="657"/>
      <c r="E57" s="657"/>
      <c r="F57" s="657"/>
      <c r="G57" s="585"/>
      <c r="H57" s="585"/>
      <c r="I57" s="657"/>
      <c r="J57" s="585"/>
      <c r="K57" s="585"/>
      <c r="L57" s="657"/>
      <c r="M57" s="585"/>
      <c r="N57" s="585"/>
      <c r="O57" s="657"/>
      <c r="P57" s="630"/>
      <c r="Q57" s="632"/>
    </row>
    <row r="58" spans="1:18">
      <c r="A58" s="658"/>
      <c r="B58" s="658"/>
      <c r="C58" s="658"/>
      <c r="P58" s="630"/>
      <c r="Q58" s="632"/>
    </row>
    <row r="59" spans="1:18" ht="13.5" thickBot="1">
      <c r="A59" s="586" t="s">
        <v>39</v>
      </c>
      <c r="B59" s="648"/>
      <c r="P59" s="630"/>
      <c r="Q59" s="632"/>
    </row>
    <row r="60" spans="1:18" ht="13.5" thickBot="1">
      <c r="A60" s="640" t="s">
        <v>4</v>
      </c>
      <c r="B60" s="590" t="s">
        <v>18</v>
      </c>
      <c r="C60" s="640" t="s">
        <v>55</v>
      </c>
      <c r="D60" s="589" t="s">
        <v>56</v>
      </c>
      <c r="E60" s="659" t="s">
        <v>66</v>
      </c>
      <c r="F60" s="588" t="s">
        <v>68</v>
      </c>
      <c r="G60" s="590" t="s">
        <v>79</v>
      </c>
      <c r="H60" s="659" t="s">
        <v>72</v>
      </c>
      <c r="I60" s="588" t="s">
        <v>73</v>
      </c>
      <c r="J60" s="590" t="s">
        <v>78</v>
      </c>
      <c r="K60" s="659" t="s">
        <v>77</v>
      </c>
      <c r="L60" s="588" t="s">
        <v>74</v>
      </c>
      <c r="M60" s="590" t="s">
        <v>75</v>
      </c>
      <c r="N60" s="659" t="s">
        <v>76</v>
      </c>
      <c r="O60" s="660" t="s">
        <v>54</v>
      </c>
      <c r="P60" s="630"/>
      <c r="Q60" s="632"/>
    </row>
    <row r="61" spans="1:18">
      <c r="A61" s="661">
        <v>1</v>
      </c>
      <c r="B61" s="594" t="s">
        <v>14</v>
      </c>
      <c r="C61" s="662">
        <v>12537</v>
      </c>
      <c r="D61" s="663">
        <v>8383</v>
      </c>
      <c r="E61" s="161">
        <v>7088</v>
      </c>
      <c r="F61" s="662">
        <v>7663</v>
      </c>
      <c r="G61" s="663">
        <v>13237</v>
      </c>
      <c r="H61" s="663">
        <v>8245</v>
      </c>
      <c r="I61" s="663">
        <v>8845</v>
      </c>
      <c r="J61" s="663">
        <v>10626</v>
      </c>
      <c r="K61" s="664">
        <v>9395</v>
      </c>
      <c r="L61" s="662">
        <v>10899</v>
      </c>
      <c r="M61" s="665">
        <v>8574</v>
      </c>
      <c r="N61" s="664">
        <v>11786.8</v>
      </c>
      <c r="O61" s="596">
        <f t="shared" ref="O61:O63" si="14">SUM(C61:N61)</f>
        <v>117278.8</v>
      </c>
      <c r="P61" s="630">
        <v>117278.8</v>
      </c>
      <c r="Q61" s="598">
        <f>SUM(O61-P61)</f>
        <v>0</v>
      </c>
    </row>
    <row r="62" spans="1:18">
      <c r="A62" s="666">
        <v>2</v>
      </c>
      <c r="B62" s="605" t="s">
        <v>15</v>
      </c>
      <c r="C62" s="667">
        <v>4848</v>
      </c>
      <c r="D62" s="668">
        <v>4924</v>
      </c>
      <c r="E62" s="669">
        <v>4961</v>
      </c>
      <c r="F62" s="670">
        <v>4389</v>
      </c>
      <c r="G62" s="668">
        <v>4437</v>
      </c>
      <c r="H62" s="668">
        <v>4324</v>
      </c>
      <c r="I62" s="668">
        <v>3994</v>
      </c>
      <c r="J62" s="668">
        <v>4208</v>
      </c>
      <c r="K62" s="671">
        <v>5027</v>
      </c>
      <c r="L62" s="670">
        <v>5439</v>
      </c>
      <c r="M62" s="672">
        <v>4319</v>
      </c>
      <c r="N62" s="671">
        <v>6868</v>
      </c>
      <c r="O62" s="608">
        <f t="shared" si="14"/>
        <v>57738</v>
      </c>
      <c r="P62" s="656">
        <v>57738</v>
      </c>
      <c r="Q62" s="610">
        <f t="shared" ref="Q62:Q64" si="15">SUM(O62-P62)</f>
        <v>0</v>
      </c>
    </row>
    <row r="63" spans="1:18" ht="13.5" thickBot="1">
      <c r="A63" s="673">
        <v>3</v>
      </c>
      <c r="B63" s="622" t="s">
        <v>44</v>
      </c>
      <c r="C63" s="674">
        <v>5542</v>
      </c>
      <c r="D63" s="668">
        <v>5506</v>
      </c>
      <c r="E63" s="669">
        <v>5537</v>
      </c>
      <c r="F63" s="675">
        <v>8288</v>
      </c>
      <c r="G63" s="668">
        <v>7996</v>
      </c>
      <c r="H63" s="668">
        <v>7961</v>
      </c>
      <c r="I63" s="668">
        <v>7693</v>
      </c>
      <c r="J63" s="668">
        <v>6677</v>
      </c>
      <c r="K63" s="676">
        <v>7994</v>
      </c>
      <c r="L63" s="675">
        <v>7805</v>
      </c>
      <c r="M63" s="677">
        <v>11894</v>
      </c>
      <c r="N63" s="676">
        <v>3579</v>
      </c>
      <c r="O63" s="608">
        <f t="shared" si="14"/>
        <v>86472</v>
      </c>
      <c r="P63" s="656">
        <v>86472</v>
      </c>
      <c r="Q63" s="610">
        <f t="shared" si="15"/>
        <v>0</v>
      </c>
    </row>
    <row r="64" spans="1:18" ht="13.5" thickBot="1">
      <c r="A64" s="678"/>
      <c r="B64" s="679" t="s">
        <v>24</v>
      </c>
      <c r="C64" s="680">
        <f>SUM(C61:C63)</f>
        <v>22927</v>
      </c>
      <c r="D64" s="681">
        <f t="shared" ref="D64:O64" si="16">SUM(D61:D63)</f>
        <v>18813</v>
      </c>
      <c r="E64" s="682">
        <f t="shared" si="16"/>
        <v>17586</v>
      </c>
      <c r="F64" s="680">
        <f t="shared" si="16"/>
        <v>20340</v>
      </c>
      <c r="G64" s="681">
        <f t="shared" si="16"/>
        <v>25670</v>
      </c>
      <c r="H64" s="682">
        <f t="shared" si="16"/>
        <v>20530</v>
      </c>
      <c r="I64" s="680">
        <f t="shared" si="16"/>
        <v>20532</v>
      </c>
      <c r="J64" s="681">
        <f t="shared" si="16"/>
        <v>21511</v>
      </c>
      <c r="K64" s="682">
        <f t="shared" si="16"/>
        <v>22416</v>
      </c>
      <c r="L64" s="680">
        <f t="shared" si="16"/>
        <v>24143</v>
      </c>
      <c r="M64" s="681">
        <f t="shared" si="16"/>
        <v>24787</v>
      </c>
      <c r="N64" s="682">
        <f t="shared" si="16"/>
        <v>22233.8</v>
      </c>
      <c r="O64" s="683">
        <f t="shared" si="16"/>
        <v>261488.8</v>
      </c>
      <c r="P64" s="630">
        <f>SUM(P61:P63)</f>
        <v>261488.8</v>
      </c>
      <c r="Q64" s="598">
        <f t="shared" si="15"/>
        <v>0</v>
      </c>
    </row>
    <row r="65" spans="1:17">
      <c r="A65" s="658"/>
      <c r="B65" s="658"/>
      <c r="C65" s="658"/>
      <c r="E65" s="611"/>
      <c r="G65" s="585" t="s">
        <v>86</v>
      </c>
      <c r="H65" s="585">
        <f>SUM(C64:H64)</f>
        <v>125866</v>
      </c>
      <c r="J65" s="585" t="s">
        <v>82</v>
      </c>
      <c r="K65" s="585">
        <f>SUM(I64:K64)</f>
        <v>64459</v>
      </c>
      <c r="M65" s="585" t="s">
        <v>81</v>
      </c>
      <c r="N65" s="585">
        <f>SUM(L64:N64)</f>
        <v>71163.8</v>
      </c>
      <c r="P65" s="630"/>
      <c r="Q65" s="632"/>
    </row>
    <row r="66" spans="1:17" ht="13.5" thickBot="1">
      <c r="A66" s="88" t="s">
        <v>40</v>
      </c>
      <c r="P66" s="630"/>
      <c r="Q66" s="632"/>
    </row>
    <row r="67" spans="1:17" ht="13.5" thickBot="1">
      <c r="A67" s="640" t="s">
        <v>4</v>
      </c>
      <c r="B67" s="590" t="s">
        <v>18</v>
      </c>
      <c r="C67" s="589" t="s">
        <v>55</v>
      </c>
      <c r="D67" s="589" t="s">
        <v>56</v>
      </c>
      <c r="E67" s="590" t="s">
        <v>66</v>
      </c>
      <c r="F67" s="590" t="s">
        <v>68</v>
      </c>
      <c r="G67" s="590" t="s">
        <v>71</v>
      </c>
      <c r="H67" s="590" t="s">
        <v>72</v>
      </c>
      <c r="I67" s="590" t="s">
        <v>73</v>
      </c>
      <c r="J67" s="590" t="s">
        <v>78</v>
      </c>
      <c r="K67" s="590" t="s">
        <v>77</v>
      </c>
      <c r="L67" s="590" t="s">
        <v>74</v>
      </c>
      <c r="M67" s="590" t="s">
        <v>75</v>
      </c>
      <c r="N67" s="590" t="s">
        <v>76</v>
      </c>
      <c r="O67" s="590" t="s">
        <v>54</v>
      </c>
      <c r="P67" s="630"/>
      <c r="Q67" s="632"/>
    </row>
    <row r="68" spans="1:17" ht="13.5" thickBot="1">
      <c r="A68" s="684"/>
      <c r="B68" s="685" t="s">
        <v>25</v>
      </c>
      <c r="C68" s="686">
        <v>855</v>
      </c>
      <c r="D68" s="687">
        <v>825</v>
      </c>
      <c r="E68" s="687">
        <v>0</v>
      </c>
      <c r="F68" s="687">
        <v>0</v>
      </c>
      <c r="G68" s="687">
        <v>0</v>
      </c>
      <c r="H68" s="687">
        <v>0</v>
      </c>
      <c r="I68" s="687">
        <v>0</v>
      </c>
      <c r="J68" s="687">
        <v>0</v>
      </c>
      <c r="K68" s="687">
        <v>0</v>
      </c>
      <c r="L68" s="687">
        <v>0</v>
      </c>
      <c r="M68" s="687">
        <v>0</v>
      </c>
      <c r="N68" s="687">
        <v>0</v>
      </c>
      <c r="O68" s="688">
        <f t="shared" ref="O68" si="17">SUM(C68:N68)</f>
        <v>1680</v>
      </c>
      <c r="P68" s="630">
        <v>1680</v>
      </c>
      <c r="Q68" s="598">
        <f>SUM(O68-P68)</f>
        <v>0</v>
      </c>
    </row>
    <row r="69" spans="1:17" ht="13.5" thickBot="1">
      <c r="A69" s="689"/>
      <c r="B69" s="690"/>
      <c r="C69" s="647"/>
      <c r="G69" s="585" t="s">
        <v>86</v>
      </c>
      <c r="H69" s="585">
        <f>SUM(C68:H68)</f>
        <v>1680</v>
      </c>
      <c r="J69" s="585" t="s">
        <v>82</v>
      </c>
      <c r="K69" s="585">
        <f>SUM(I68:K68)</f>
        <v>0</v>
      </c>
      <c r="M69" s="585" t="s">
        <v>81</v>
      </c>
      <c r="N69" s="585">
        <f>SUM(L68:N68)</f>
        <v>0</v>
      </c>
      <c r="P69" s="630"/>
      <c r="Q69" s="632"/>
    </row>
    <row r="70" spans="1:17" ht="13.5" thickBot="1">
      <c r="A70" s="640" t="s">
        <v>4</v>
      </c>
      <c r="B70" s="589" t="s">
        <v>18</v>
      </c>
      <c r="C70" s="589" t="s">
        <v>55</v>
      </c>
      <c r="D70" s="589" t="s">
        <v>56</v>
      </c>
      <c r="E70" s="590" t="s">
        <v>66</v>
      </c>
      <c r="F70" s="590" t="s">
        <v>68</v>
      </c>
      <c r="G70" s="590" t="s">
        <v>71</v>
      </c>
      <c r="H70" s="590" t="s">
        <v>72</v>
      </c>
      <c r="I70" s="590" t="s">
        <v>73</v>
      </c>
      <c r="J70" s="590" t="s">
        <v>78</v>
      </c>
      <c r="K70" s="590" t="s">
        <v>77</v>
      </c>
      <c r="L70" s="590" t="s">
        <v>74</v>
      </c>
      <c r="M70" s="590" t="s">
        <v>75</v>
      </c>
      <c r="N70" s="590" t="s">
        <v>76</v>
      </c>
      <c r="O70" s="590" t="s">
        <v>54</v>
      </c>
      <c r="P70" s="630"/>
      <c r="Q70" s="632"/>
    </row>
    <row r="71" spans="1:17" ht="13.5" thickBot="1">
      <c r="A71" s="691" t="s">
        <v>62</v>
      </c>
      <c r="B71" s="692"/>
      <c r="C71" s="693">
        <f t="shared" ref="C71:N71" si="18">C22+C37+C50+C54+C64+C68</f>
        <v>614934.68999999994</v>
      </c>
      <c r="D71" s="693">
        <f t="shared" si="18"/>
        <v>610724.64999999991</v>
      </c>
      <c r="E71" s="693">
        <f t="shared" si="18"/>
        <v>600096.5</v>
      </c>
      <c r="F71" s="693">
        <f t="shared" si="18"/>
        <v>601321.99</v>
      </c>
      <c r="G71" s="693">
        <f t="shared" si="18"/>
        <v>643295.66</v>
      </c>
      <c r="H71" s="693">
        <f t="shared" si="18"/>
        <v>586718.28</v>
      </c>
      <c r="I71" s="693">
        <f t="shared" si="18"/>
        <v>621420.66999999993</v>
      </c>
      <c r="J71" s="693">
        <f t="shared" si="18"/>
        <v>589745.05999999994</v>
      </c>
      <c r="K71" s="693">
        <f t="shared" si="18"/>
        <v>618612.71</v>
      </c>
      <c r="L71" s="693">
        <f t="shared" si="18"/>
        <v>657767.15</v>
      </c>
      <c r="M71" s="693">
        <f t="shared" si="18"/>
        <v>674397.54999999993</v>
      </c>
      <c r="N71" s="694">
        <f t="shared" si="18"/>
        <v>661898.51</v>
      </c>
      <c r="O71" s="637">
        <f t="shared" ref="O71" si="19">SUM(C71:N71)</f>
        <v>7480933.4199999999</v>
      </c>
      <c r="P71" s="630">
        <v>7475933.4199999999</v>
      </c>
      <c r="Q71" s="598">
        <f>SUM(O71-P71)</f>
        <v>5000</v>
      </c>
    </row>
    <row r="72" spans="1:17" ht="13.5" thickBot="1">
      <c r="A72" s="658"/>
      <c r="B72" s="695" t="s">
        <v>61</v>
      </c>
      <c r="C72" s="696">
        <f t="shared" ref="C72:O72" si="20">C31</f>
        <v>9988.74</v>
      </c>
      <c r="D72" s="696">
        <f t="shared" si="20"/>
        <v>14257.320000000002</v>
      </c>
      <c r="E72" s="696">
        <f t="shared" si="20"/>
        <v>10567.28</v>
      </c>
      <c r="F72" s="696">
        <f t="shared" si="20"/>
        <v>4711.7700000000004</v>
      </c>
      <c r="G72" s="696">
        <f t="shared" si="20"/>
        <v>10329.529999999999</v>
      </c>
      <c r="H72" s="696">
        <f t="shared" si="20"/>
        <v>11005.32</v>
      </c>
      <c r="I72" s="696">
        <f t="shared" si="20"/>
        <v>19252.239999999998</v>
      </c>
      <c r="J72" s="696">
        <f t="shared" si="20"/>
        <v>29624.2</v>
      </c>
      <c r="K72" s="696">
        <f t="shared" si="20"/>
        <v>31634.159999999996</v>
      </c>
      <c r="L72" s="696">
        <f t="shared" si="20"/>
        <v>28951.37</v>
      </c>
      <c r="M72" s="696">
        <f t="shared" si="20"/>
        <v>33297.31</v>
      </c>
      <c r="N72" s="696">
        <f t="shared" si="20"/>
        <v>0</v>
      </c>
      <c r="O72" s="696">
        <f t="shared" si="20"/>
        <v>203619.24</v>
      </c>
      <c r="P72" s="630">
        <v>203619.24</v>
      </c>
      <c r="Q72" s="598">
        <f t="shared" ref="Q72:Q73" si="21">SUM(O72-P72)</f>
        <v>0</v>
      </c>
    </row>
    <row r="73" spans="1:17" ht="13.5" thickBot="1">
      <c r="A73" s="679" t="s">
        <v>65</v>
      </c>
      <c r="B73" s="697"/>
      <c r="C73" s="698">
        <f>C71+C72</f>
        <v>624923.42999999993</v>
      </c>
      <c r="D73" s="698">
        <f t="shared" ref="D73:O73" si="22">D71+D72</f>
        <v>624981.96999999986</v>
      </c>
      <c r="E73" s="698">
        <f t="shared" si="22"/>
        <v>610663.78</v>
      </c>
      <c r="F73" s="698">
        <f t="shared" si="22"/>
        <v>606033.76</v>
      </c>
      <c r="G73" s="698">
        <f t="shared" si="22"/>
        <v>653625.19000000006</v>
      </c>
      <c r="H73" s="698">
        <f t="shared" si="22"/>
        <v>597723.6</v>
      </c>
      <c r="I73" s="698">
        <f t="shared" si="22"/>
        <v>640672.90999999992</v>
      </c>
      <c r="J73" s="698">
        <f t="shared" si="22"/>
        <v>619369.25999999989</v>
      </c>
      <c r="K73" s="698">
        <f t="shared" si="22"/>
        <v>650246.87</v>
      </c>
      <c r="L73" s="698">
        <f t="shared" si="22"/>
        <v>686718.52</v>
      </c>
      <c r="M73" s="698">
        <f t="shared" si="22"/>
        <v>707694.85999999987</v>
      </c>
      <c r="N73" s="698">
        <f t="shared" si="22"/>
        <v>661898.51</v>
      </c>
      <c r="O73" s="699">
        <f t="shared" si="22"/>
        <v>7684552.6600000001</v>
      </c>
      <c r="P73" s="630">
        <v>7679552.6600000001</v>
      </c>
      <c r="Q73" s="598">
        <f t="shared" si="21"/>
        <v>5000</v>
      </c>
    </row>
    <row r="74" spans="1:17" ht="13.5" thickBot="1">
      <c r="A74" s="658"/>
      <c r="B74" s="658"/>
      <c r="C74" s="700"/>
      <c r="D74" s="701" t="s">
        <v>83</v>
      </c>
      <c r="E74" s="702">
        <f>SUM(C73:E73)</f>
        <v>1860569.18</v>
      </c>
      <c r="F74" s="700"/>
      <c r="G74" s="703" t="s">
        <v>80</v>
      </c>
      <c r="H74" s="702">
        <f>SUM(F73:H73)</f>
        <v>1857382.5500000003</v>
      </c>
      <c r="I74" s="700"/>
      <c r="J74" s="703" t="s">
        <v>82</v>
      </c>
      <c r="K74" s="702">
        <f>SUM(I73:K73)</f>
        <v>1910289.04</v>
      </c>
      <c r="L74" s="700"/>
      <c r="M74" s="703" t="s">
        <v>81</v>
      </c>
      <c r="N74" s="702">
        <f>SUM(L73:N73)</f>
        <v>2056311.89</v>
      </c>
      <c r="O74" s="699">
        <f>E74+H74+K74+N74</f>
        <v>7684552.6600000001</v>
      </c>
      <c r="P74" s="704"/>
      <c r="Q74" s="705"/>
    </row>
    <row r="75" spans="1:17">
      <c r="A75" s="658"/>
      <c r="B75" s="706"/>
      <c r="C75" s="696"/>
      <c r="D75" s="707"/>
      <c r="E75" s="696"/>
      <c r="F75" s="696"/>
      <c r="G75" s="585"/>
      <c r="H75" s="585"/>
      <c r="I75" s="696"/>
      <c r="J75" s="696"/>
      <c r="K75" s="696"/>
      <c r="L75" s="696"/>
      <c r="M75" s="696"/>
      <c r="N75" s="696"/>
      <c r="O75" s="696"/>
    </row>
    <row r="76" spans="1:17">
      <c r="A76" s="658"/>
      <c r="B76" s="706"/>
      <c r="D76" s="707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</row>
    <row r="77" spans="1:17">
      <c r="A77" s="658"/>
      <c r="B77" s="658"/>
      <c r="C77" s="696"/>
      <c r="D77" s="707"/>
      <c r="E77" s="696"/>
      <c r="F77" s="696"/>
      <c r="G77" s="696"/>
      <c r="H77" s="696"/>
      <c r="I77" s="696"/>
      <c r="J77" s="696"/>
      <c r="K77" s="696"/>
      <c r="L77" s="611"/>
      <c r="M77" s="611"/>
      <c r="N77" s="611"/>
      <c r="O77" s="696"/>
    </row>
    <row r="78" spans="1:17" ht="13.5" thickBot="1">
      <c r="A78" s="658"/>
      <c r="B78" s="88"/>
      <c r="C78" s="585"/>
      <c r="D78" s="707"/>
      <c r="E78" s="696"/>
      <c r="F78" s="638"/>
      <c r="H78" s="611"/>
      <c r="I78" s="647"/>
      <c r="J78" s="647"/>
      <c r="K78" s="647"/>
      <c r="L78" s="629"/>
      <c r="M78" s="88"/>
      <c r="N78" s="638"/>
      <c r="O78" s="88"/>
    </row>
    <row r="79" spans="1:17" ht="13.5" thickBot="1">
      <c r="A79" s="658"/>
      <c r="B79" s="88"/>
      <c r="C79" s="699" t="s">
        <v>87</v>
      </c>
      <c r="D79" s="708"/>
      <c r="E79" s="709">
        <f>SUM(O73)</f>
        <v>7684552.6600000001</v>
      </c>
      <c r="F79" s="625" t="s">
        <v>88</v>
      </c>
      <c r="G79" s="710">
        <v>7687340</v>
      </c>
      <c r="I79" s="180" t="s">
        <v>97</v>
      </c>
      <c r="J79" s="711"/>
      <c r="K79" s="712">
        <f>G79-E79</f>
        <v>2787.339999999851</v>
      </c>
      <c r="L79" s="713" t="s">
        <v>121</v>
      </c>
      <c r="M79" s="713"/>
      <c r="N79" s="714"/>
      <c r="O79" s="88"/>
    </row>
    <row r="80" spans="1:17">
      <c r="A80" s="658"/>
      <c r="B80" s="88" t="s">
        <v>249</v>
      </c>
      <c r="C80" s="585"/>
      <c r="D80" s="707"/>
      <c r="E80" s="696"/>
      <c r="F80" s="638"/>
      <c r="G80" s="611"/>
      <c r="H80" s="611"/>
      <c r="I80" s="647"/>
      <c r="J80" s="647"/>
      <c r="K80" s="647"/>
      <c r="L80" s="715"/>
      <c r="M80" s="715"/>
      <c r="N80" s="611"/>
      <c r="O80" s="638"/>
    </row>
    <row r="81" spans="1:18" ht="25.5">
      <c r="A81" s="658"/>
      <c r="B81" s="716" t="s">
        <v>250</v>
      </c>
      <c r="C81" s="717" t="s">
        <v>55</v>
      </c>
      <c r="D81" s="717" t="s">
        <v>56</v>
      </c>
      <c r="E81" s="717" t="s">
        <v>66</v>
      </c>
      <c r="F81" s="717" t="s">
        <v>68</v>
      </c>
      <c r="G81" s="717" t="s">
        <v>71</v>
      </c>
      <c r="H81" s="717" t="s">
        <v>72</v>
      </c>
      <c r="I81" s="717" t="s">
        <v>73</v>
      </c>
      <c r="J81" s="717" t="s">
        <v>78</v>
      </c>
      <c r="K81" s="717" t="s">
        <v>77</v>
      </c>
      <c r="L81" s="717" t="s">
        <v>74</v>
      </c>
      <c r="M81" s="717" t="s">
        <v>75</v>
      </c>
      <c r="N81" s="717" t="s">
        <v>76</v>
      </c>
      <c r="O81" s="718" t="s">
        <v>54</v>
      </c>
      <c r="P81" s="719" t="s">
        <v>247</v>
      </c>
      <c r="Q81" s="719" t="s">
        <v>248</v>
      </c>
    </row>
    <row r="82" spans="1:18">
      <c r="A82" s="658"/>
      <c r="B82" s="720" t="s">
        <v>27</v>
      </c>
      <c r="C82" s="721">
        <f>SUM(C19+C35+C54+C61)</f>
        <v>135512.15</v>
      </c>
      <c r="D82" s="721">
        <f t="shared" ref="D82:O82" si="23">SUM(D19+D35+D54+D61)</f>
        <v>133959.5</v>
      </c>
      <c r="E82" s="721">
        <f t="shared" si="23"/>
        <v>132948.98000000001</v>
      </c>
      <c r="F82" s="721">
        <f t="shared" si="23"/>
        <v>134749.20000000001</v>
      </c>
      <c r="G82" s="721">
        <f t="shared" si="23"/>
        <v>145673.71</v>
      </c>
      <c r="H82" s="721">
        <f t="shared" si="23"/>
        <v>138590.83000000002</v>
      </c>
      <c r="I82" s="721">
        <f t="shared" si="23"/>
        <v>138780.41</v>
      </c>
      <c r="J82" s="721">
        <f t="shared" si="23"/>
        <v>138931.04</v>
      </c>
      <c r="K82" s="721">
        <f t="shared" si="23"/>
        <v>146749.09</v>
      </c>
      <c r="L82" s="721">
        <f t="shared" si="23"/>
        <v>148753.59</v>
      </c>
      <c r="M82" s="721">
        <f t="shared" si="23"/>
        <v>140931.35</v>
      </c>
      <c r="N82" s="721">
        <f t="shared" si="23"/>
        <v>152695.79999999999</v>
      </c>
      <c r="O82" s="722">
        <f t="shared" si="23"/>
        <v>1688275.6500000001</v>
      </c>
      <c r="P82" s="601">
        <v>1688275.65</v>
      </c>
      <c r="Q82" s="601">
        <f>SUM(O82-P82)</f>
        <v>2.3283064365386963E-10</v>
      </c>
      <c r="R82" s="611"/>
    </row>
    <row r="83" spans="1:18">
      <c r="A83" s="658"/>
      <c r="B83" s="720" t="s">
        <v>28</v>
      </c>
      <c r="C83" s="721">
        <f>SUM(C36+C62)</f>
        <v>5288</v>
      </c>
      <c r="D83" s="721">
        <f t="shared" ref="D83:O83" si="24">SUM(D36+D62)</f>
        <v>5404</v>
      </c>
      <c r="E83" s="721">
        <f t="shared" si="24"/>
        <v>5441</v>
      </c>
      <c r="F83" s="721">
        <f t="shared" si="24"/>
        <v>4829</v>
      </c>
      <c r="G83" s="721">
        <f t="shared" si="24"/>
        <v>5117</v>
      </c>
      <c r="H83" s="721">
        <f t="shared" si="24"/>
        <v>4684</v>
      </c>
      <c r="I83" s="721">
        <f t="shared" si="24"/>
        <v>4394</v>
      </c>
      <c r="J83" s="721">
        <f t="shared" si="24"/>
        <v>4728</v>
      </c>
      <c r="K83" s="721">
        <f t="shared" si="24"/>
        <v>5547</v>
      </c>
      <c r="L83" s="721">
        <f t="shared" si="24"/>
        <v>6119</v>
      </c>
      <c r="M83" s="721">
        <f t="shared" si="24"/>
        <v>5239</v>
      </c>
      <c r="N83" s="721">
        <f t="shared" si="24"/>
        <v>8529</v>
      </c>
      <c r="O83" s="722">
        <f t="shared" si="24"/>
        <v>65319</v>
      </c>
      <c r="P83" s="601">
        <v>65319</v>
      </c>
      <c r="Q83" s="601">
        <f t="shared" ref="Q83:Q85" si="25">SUM(O83-P83)</f>
        <v>0</v>
      </c>
    </row>
    <row r="84" spans="1:18">
      <c r="B84" s="723" t="s">
        <v>29</v>
      </c>
      <c r="C84" s="721">
        <f>SUM(C20+C63+C30)</f>
        <v>25817.1</v>
      </c>
      <c r="D84" s="721">
        <f t="shared" ref="D84:O84" si="26">SUM(D20+D63+D30)</f>
        <v>27533.84</v>
      </c>
      <c r="E84" s="721">
        <f t="shared" si="26"/>
        <v>25382.65</v>
      </c>
      <c r="F84" s="721">
        <f t="shared" si="26"/>
        <v>30557.45</v>
      </c>
      <c r="G84" s="721">
        <f t="shared" si="26"/>
        <v>32998.159999999996</v>
      </c>
      <c r="H84" s="721">
        <f t="shared" si="26"/>
        <v>27937.52</v>
      </c>
      <c r="I84" s="721">
        <f t="shared" si="26"/>
        <v>29237.74</v>
      </c>
      <c r="J84" s="721">
        <f t="shared" si="26"/>
        <v>28902.58</v>
      </c>
      <c r="K84" s="721">
        <f t="shared" si="26"/>
        <v>30839.11</v>
      </c>
      <c r="L84" s="721">
        <f t="shared" si="26"/>
        <v>32510.6</v>
      </c>
      <c r="M84" s="721">
        <f t="shared" si="26"/>
        <v>36247.69</v>
      </c>
      <c r="N84" s="721">
        <f t="shared" si="26"/>
        <v>34742</v>
      </c>
      <c r="O84" s="722">
        <f t="shared" si="26"/>
        <v>362706.44</v>
      </c>
      <c r="P84" s="601">
        <v>362706.44</v>
      </c>
      <c r="Q84" s="601">
        <f t="shared" si="25"/>
        <v>0</v>
      </c>
    </row>
    <row r="85" spans="1:18">
      <c r="B85" s="720" t="s">
        <v>30</v>
      </c>
      <c r="C85" s="721">
        <f>SUM(C21)</f>
        <v>16553.03</v>
      </c>
      <c r="D85" s="721">
        <f t="shared" ref="D85:O85" si="27">SUM(D21)</f>
        <v>28478.13</v>
      </c>
      <c r="E85" s="721">
        <f t="shared" si="27"/>
        <v>28740.98</v>
      </c>
      <c r="F85" s="721">
        <f t="shared" si="27"/>
        <v>25101.45</v>
      </c>
      <c r="G85" s="721">
        <f t="shared" si="27"/>
        <v>30320.13</v>
      </c>
      <c r="H85" s="721">
        <f t="shared" si="27"/>
        <v>22842.32</v>
      </c>
      <c r="I85" s="721">
        <f t="shared" si="27"/>
        <v>21554.33</v>
      </c>
      <c r="J85" s="721">
        <f t="shared" si="27"/>
        <v>28856.89</v>
      </c>
      <c r="K85" s="721">
        <f t="shared" si="27"/>
        <v>24470.93</v>
      </c>
      <c r="L85" s="721">
        <f t="shared" si="27"/>
        <v>21010.91</v>
      </c>
      <c r="M85" s="721">
        <f t="shared" si="27"/>
        <v>26943.83</v>
      </c>
      <c r="N85" s="721">
        <f t="shared" si="27"/>
        <v>33142.47</v>
      </c>
      <c r="O85" s="722">
        <f t="shared" si="27"/>
        <v>308015.40000000002</v>
      </c>
      <c r="P85" s="601">
        <v>308015.40000000002</v>
      </c>
      <c r="Q85" s="601">
        <f t="shared" si="25"/>
        <v>0</v>
      </c>
    </row>
    <row r="86" spans="1:18">
      <c r="B86" s="629"/>
      <c r="C86" s="585"/>
      <c r="D86" s="585"/>
      <c r="E86" s="585"/>
      <c r="F86" s="611"/>
      <c r="G86" s="611"/>
      <c r="H86" s="611"/>
      <c r="I86" s="611"/>
      <c r="J86" s="611"/>
      <c r="K86" s="611"/>
      <c r="L86" s="611"/>
      <c r="M86" s="611"/>
      <c r="N86" s="611"/>
    </row>
    <row r="87" spans="1:18">
      <c r="B87" s="629"/>
      <c r="C87" s="585"/>
      <c r="D87" s="585"/>
      <c r="E87" s="585"/>
      <c r="F87" s="611"/>
      <c r="G87" s="611"/>
      <c r="H87" s="611"/>
      <c r="I87" s="611" t="s">
        <v>251</v>
      </c>
      <c r="J87" s="88" t="s">
        <v>38</v>
      </c>
      <c r="L87" s="611"/>
      <c r="M87" s="611"/>
      <c r="N87" s="611"/>
    </row>
    <row r="88" spans="1:18">
      <c r="B88" s="629"/>
      <c r="C88" s="585"/>
      <c r="D88" s="585"/>
      <c r="E88" s="585"/>
      <c r="F88" s="585"/>
      <c r="G88" s="585"/>
      <c r="H88" s="585"/>
      <c r="I88" s="585"/>
      <c r="J88" s="88" t="s">
        <v>2</v>
      </c>
      <c r="L88" s="585"/>
      <c r="M88" s="585"/>
      <c r="N88" s="585"/>
      <c r="O88" s="585"/>
    </row>
    <row r="92" spans="1:18">
      <c r="C92" s="724"/>
    </row>
    <row r="93" spans="1:18">
      <c r="C93" s="706"/>
    </row>
    <row r="96" spans="1:18">
      <c r="C96" s="611"/>
    </row>
    <row r="99" spans="2:3">
      <c r="B99" s="706"/>
      <c r="C99" s="7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1, central.ian+feb</vt:lpstr>
      <vt:lpstr>spitale</vt:lpstr>
      <vt:lpstr>buget ian + feb</vt:lpstr>
      <vt:lpstr>repartiz lab</vt:lpstr>
      <vt:lpstr>rep cito</vt:lpstr>
      <vt:lpstr>rep eco</vt:lpstr>
      <vt:lpstr>CT RMN</vt:lpstr>
      <vt:lpstr>rep radiolog</vt:lpstr>
      <vt:lpstr>an 2022 cu supl 27 dec</vt:lpstr>
      <vt:lpstr>AN 2022 LA SERV NOV</vt:lpstr>
      <vt:lpstr>suma max eco</vt:lpstr>
      <vt:lpstr>'AN 2022 LA SERV NOV'!Print_Titles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DRC_AndaB</cp:lastModifiedBy>
  <cp:lastPrinted>2022-12-28T17:00:57Z</cp:lastPrinted>
  <dcterms:created xsi:type="dcterms:W3CDTF">2020-02-13T06:39:04Z</dcterms:created>
  <dcterms:modified xsi:type="dcterms:W3CDTF">2022-12-28T18:06:27Z</dcterms:modified>
</cp:coreProperties>
</file>