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'Foaie1'!$A:$B,'Foaie1'!$5:$6</definedName>
  </definedNames>
  <calcPr fullCalcOnLoad="1"/>
</workbook>
</file>

<file path=xl/sharedStrings.xml><?xml version="1.0" encoding="utf-8"?>
<sst xmlns="http://schemas.openxmlformats.org/spreadsheetml/2006/main" count="73" uniqueCount="73">
  <si>
    <t>CASA DE ASIGURĂRI DE SĂNĂTATE OLT</t>
  </si>
  <si>
    <t>SITUATIA</t>
  </si>
  <si>
    <t>Nr. crt.</t>
  </si>
  <si>
    <t>Indicatori/perioadă</t>
  </si>
  <si>
    <t>5=2+3+4</t>
  </si>
  <si>
    <t>9=6+7+8</t>
  </si>
  <si>
    <t>10=5+9</t>
  </si>
  <si>
    <t>14=11+12+13</t>
  </si>
  <si>
    <t>15=10+14</t>
  </si>
  <si>
    <t>19=16+17+18</t>
  </si>
  <si>
    <t>20=5+9+14+ 19</t>
  </si>
  <si>
    <t>22=20-21</t>
  </si>
  <si>
    <t xml:space="preserve">Limite trimestriale credite aprobate - activitate curentă </t>
  </si>
  <si>
    <t>Limite trimestriale credite aprobate - 40%MS</t>
  </si>
  <si>
    <t>Limite trimestriale credite aprobate - DCI COST VOLUM</t>
  </si>
  <si>
    <t>Limite trimestriale credite aprobate - 50% COST VOLUM</t>
  </si>
  <si>
    <t>Limite trimestriale credite aprobate - 40% COST VOLUM</t>
  </si>
  <si>
    <t>TOTAL limite trimestriale credite aprobate - COST VOLUM</t>
  </si>
  <si>
    <t>DIFERENTE CONSUM RAPORTAT- CONSUM VALIDAT</t>
  </si>
  <si>
    <t>12=6+8+10</t>
  </si>
  <si>
    <t>13=7+9+11</t>
  </si>
  <si>
    <t>4bis</t>
  </si>
  <si>
    <t>CREDITE ANGAJAMENT REALIZATE AN 2023 - ACTIVITATE CURENTA</t>
  </si>
  <si>
    <t>CREDITE ANGAJAMENT REALIZATE AN 2023 - 40% MS</t>
  </si>
  <si>
    <t>CREDITE ANGAJAMENT REALIZATE AN 2023- COST VOLUM 50% PENS</t>
  </si>
  <si>
    <t>CREDITE ANGAJAMENT REALIZATE AN 2023 - COST VOLUM 40% PENS</t>
  </si>
  <si>
    <t>TOTAL CONSUM VALIDAT AN 2023</t>
  </si>
  <si>
    <t>Credite angajament aprobate an 2023, din care:</t>
  </si>
  <si>
    <t>Consum 2023 inregistrat in limita credite angajament AN 2023 (inclusiv art. 193)</t>
  </si>
  <si>
    <t>Credite neconsumate AN 2023</t>
  </si>
  <si>
    <t xml:space="preserve">Consum mediu lunar înregistrat AN 2022 </t>
  </si>
  <si>
    <t>Consum mediu lunar înregistrat AN 2023</t>
  </si>
  <si>
    <t>CREDITE ANGAJAM. REALIZATE AN 2023- COST VOLUM (FARA PENS90%)</t>
  </si>
  <si>
    <t>TOTAL CREDITE ANGAJAM. REALIZATE AN 2023 - COST VOLUM</t>
  </si>
  <si>
    <t>ianuarie 2023- consum realizat</t>
  </si>
  <si>
    <t>februarie 2023- consum realizat</t>
  </si>
  <si>
    <t>Validat art. 193(3) HG696/2021-decemb.2022</t>
  </si>
  <si>
    <t>Limite trimestriale credite aprobate - ART. 1(4)OUG 15/2022- (C+G)</t>
  </si>
  <si>
    <t>CREDITE ANGAJAMENT REALIZATE AN 2023 - ART.1 (4) OUG 15 C+G</t>
  </si>
  <si>
    <t>Limite trimestriale credite aprobate - OUG 15/2022- coplata</t>
  </si>
  <si>
    <t>CREDITE ANGAJAMENT REALIZATE AN 2023 - OUG 15 coplata</t>
  </si>
  <si>
    <t>TOTAL CONSUM RAPORTAT SIUI AN 2023, din care:</t>
  </si>
  <si>
    <t>consum beneficiari OUG 15/2022 (C+G)</t>
  </si>
  <si>
    <t>coplata OUG 15/2022 (C+G)</t>
  </si>
  <si>
    <t>TOTAL CONSUM SIUI BENEFICIARI OUG 15/2022</t>
  </si>
  <si>
    <t>martie 2023- consum validat in limita CA trim I 2023</t>
  </si>
  <si>
    <t>Trim. I 2023 - consum validat in limita CA trim I 2023</t>
  </si>
  <si>
    <t>aprilie 2023- consum realizat+diferente martie validate (CG=881863,13; CV=127835,85; 50%CV=2881,84; 40%MS=23432,56)</t>
  </si>
  <si>
    <t>mai 2023- consum realizat</t>
  </si>
  <si>
    <t>CREDITE RAMASE DE ANGAJAT AN 2023:</t>
  </si>
  <si>
    <t>iunie 2023- consum realizat</t>
  </si>
  <si>
    <t>Trim. II 2023 - consum validat integral in limita CA sem I 2023</t>
  </si>
  <si>
    <t>Total sem. I 2023 - consum validat integral in limita CA sem I 2023</t>
  </si>
  <si>
    <t>26=(21+ 24-4bis)/ nr. luni</t>
  </si>
  <si>
    <t>iulie 2023- consum realizat</t>
  </si>
  <si>
    <t>august 2023- consum realizat</t>
  </si>
  <si>
    <t>septembrie 2023-consum validat in limita CA 9 luni</t>
  </si>
  <si>
    <t>Total trim. III 2023 - consum validat in limita CA 9 luni 2023</t>
  </si>
  <si>
    <t>Total 9 luni 2023 - consum validat in limita CA 9 luni</t>
  </si>
  <si>
    <t>Limite trimestriale credite aprobate -VACCINURI</t>
  </si>
  <si>
    <t>CREDITE ANGAJAMENT REALIZATE AN 2023- VACCINURI</t>
  </si>
  <si>
    <t>20=3+5+13+15+19</t>
  </si>
  <si>
    <t>24=22+23</t>
  </si>
  <si>
    <t>24=21-20</t>
  </si>
  <si>
    <t>octombrie 2023-consum realizat+ diferente sept validate (CG=3388730,70; 40%MS=32233,10, 40%CV=24964,34)</t>
  </si>
  <si>
    <t>noiembrie 2023-consum validat in limita CA 2023</t>
  </si>
  <si>
    <t>CREDITELOR DE ANGAJAMENT REALIZATE LUNAR PENTRU ELIBERARE MEDICAMENTE CU ŞI FĂRĂ CONTRIBUŢIE PERSONALĂ PENTRU ANUL 2023, CA URMARE A VALIDĂRII CONSUMULUI RAPORTAT PENTRU LUNA DECEMBRIE 2023, CU INCADRAREA IN CREDITELE DE ANGAJAMENT APROBATE PENTRU ANUL 2023, CONFORM ADRESEI CNAS NR. CC10239/28.12.2023</t>
  </si>
  <si>
    <t>decembrie 2023-consum validat in limita CA 2023</t>
  </si>
  <si>
    <t>Total trim. IV 2023 -consum validat in limita CA 2023</t>
  </si>
  <si>
    <t>TOTAL AN 2023 -consum validat in limita CA 2023</t>
  </si>
  <si>
    <t>21=20</t>
  </si>
  <si>
    <t>Depășire la data de 31.12.2023 (consum nevalidat )</t>
  </si>
  <si>
    <t>Grad realizare AN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</si>
</sst>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5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10"/>
      <color indexed="6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/>
    </xf>
    <xf numFmtId="4" fontId="1" fillId="33" borderId="13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vertical="top"/>
    </xf>
    <xf numFmtId="0" fontId="1" fillId="33" borderId="12" xfId="0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4" fontId="1" fillId="0" borderId="13" xfId="0" applyNumberFormat="1" applyFont="1" applyFill="1" applyBorder="1" applyAlignment="1">
      <alignment vertical="top"/>
    </xf>
    <xf numFmtId="0" fontId="1" fillId="33" borderId="13" xfId="0" applyNumberFormat="1" applyFont="1" applyFill="1" applyBorder="1" applyAlignment="1">
      <alignment vertical="top" wrapText="1"/>
    </xf>
    <xf numFmtId="4" fontId="5" fillId="0" borderId="13" xfId="0" applyNumberFormat="1" applyFont="1" applyBorder="1" applyAlignment="1">
      <alignment vertical="top"/>
    </xf>
    <xf numFmtId="0" fontId="6" fillId="34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1" fontId="2" fillId="34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" fontId="1" fillId="34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49" fontId="2" fillId="0" borderId="13" xfId="0" applyNumberFormat="1" applyFont="1" applyBorder="1" applyAlignment="1">
      <alignment horizontal="left" vertical="top" wrapText="1"/>
    </xf>
    <xf numFmtId="4" fontId="2" fillId="35" borderId="13" xfId="0" applyNumberFormat="1" applyFont="1" applyFill="1" applyBorder="1" applyAlignment="1">
      <alignment horizontal="right" vertical="top"/>
    </xf>
    <xf numFmtId="4" fontId="2" fillId="35" borderId="13" xfId="0" applyNumberFormat="1" applyFont="1" applyFill="1" applyBorder="1" applyAlignment="1">
      <alignment vertical="top"/>
    </xf>
    <xf numFmtId="4" fontId="49" fillId="35" borderId="13" xfId="0" applyNumberFormat="1" applyFont="1" applyFill="1" applyBorder="1" applyAlignment="1">
      <alignment horizontal="right" vertical="top"/>
    </xf>
    <xf numFmtId="4" fontId="2" fillId="35" borderId="13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0" fontId="1" fillId="33" borderId="13" xfId="0" applyNumberFormat="1" applyFont="1" applyFill="1" applyBorder="1" applyAlignment="1">
      <alignment vertical="top"/>
    </xf>
    <xf numFmtId="4" fontId="2" fillId="35" borderId="13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right" vertical="top"/>
    </xf>
    <xf numFmtId="16" fontId="2" fillId="0" borderId="12" xfId="0" applyNumberFormat="1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vertical="top" wrapText="1"/>
    </xf>
    <xf numFmtId="4" fontId="49" fillId="0" borderId="13" xfId="0" applyNumberFormat="1" applyFont="1" applyFill="1" applyBorder="1" applyAlignment="1">
      <alignment vertical="top"/>
    </xf>
    <xf numFmtId="4" fontId="49" fillId="33" borderId="13" xfId="0" applyNumberFormat="1" applyFont="1" applyFill="1" applyBorder="1" applyAlignment="1">
      <alignment vertical="top"/>
    </xf>
    <xf numFmtId="0" fontId="49" fillId="0" borderId="0" xfId="0" applyFont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3" fontId="49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1" fontId="2" fillId="35" borderId="13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4" fontId="1" fillId="33" borderId="16" xfId="0" applyNumberFormat="1" applyFont="1" applyFill="1" applyBorder="1" applyAlignment="1">
      <alignment vertical="top"/>
    </xf>
    <xf numFmtId="4" fontId="49" fillId="33" borderId="17" xfId="0" applyNumberFormat="1" applyFont="1" applyFill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" fontId="49" fillId="0" borderId="17" xfId="0" applyNumberFormat="1" applyFont="1" applyBorder="1" applyAlignment="1">
      <alignment vertical="top"/>
    </xf>
    <xf numFmtId="4" fontId="8" fillId="0" borderId="13" xfId="0" applyNumberFormat="1" applyFont="1" applyBorder="1" applyAlignment="1">
      <alignment horizontal="right" vertical="top"/>
    </xf>
    <xf numFmtId="4" fontId="49" fillId="35" borderId="13" xfId="0" applyNumberFormat="1" applyFont="1" applyFill="1" applyBorder="1" applyAlignment="1">
      <alignment horizontal="right" vertical="top"/>
    </xf>
    <xf numFmtId="4" fontId="8" fillId="35" borderId="13" xfId="0" applyNumberFormat="1" applyFont="1" applyFill="1" applyBorder="1" applyAlignment="1">
      <alignment horizontal="right" vertical="top"/>
    </xf>
    <xf numFmtId="4" fontId="49" fillId="35" borderId="13" xfId="0" applyNumberFormat="1" applyFont="1" applyFill="1" applyBorder="1" applyAlignment="1">
      <alignment vertical="top"/>
    </xf>
    <xf numFmtId="4" fontId="8" fillId="0" borderId="13" xfId="0" applyNumberFormat="1" applyFont="1" applyFill="1" applyBorder="1" applyAlignment="1">
      <alignment vertical="top"/>
    </xf>
    <xf numFmtId="4" fontId="1" fillId="33" borderId="16" xfId="0" applyNumberFormat="1" applyFont="1" applyFill="1" applyBorder="1" applyAlignment="1">
      <alignment horizontal="right" vertical="top"/>
    </xf>
    <xf numFmtId="4" fontId="49" fillId="33" borderId="17" xfId="0" applyNumberFormat="1" applyFont="1" applyFill="1" applyBorder="1" applyAlignment="1">
      <alignment horizontal="right" vertical="top"/>
    </xf>
    <xf numFmtId="4" fontId="1" fillId="35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horizontal="left" vertical="top"/>
    </xf>
    <xf numFmtId="4" fontId="2" fillId="0" borderId="16" xfId="0" applyNumberFormat="1" applyFont="1" applyBorder="1" applyAlignment="1">
      <alignment vertical="top"/>
    </xf>
    <xf numFmtId="4" fontId="1" fillId="0" borderId="16" xfId="0" applyNumberFormat="1" applyFont="1" applyFill="1" applyBorder="1" applyAlignment="1">
      <alignment vertical="top"/>
    </xf>
    <xf numFmtId="0" fontId="50" fillId="0" borderId="17" xfId="0" applyFont="1" applyBorder="1" applyAlignment="1">
      <alignment vertical="top"/>
    </xf>
    <xf numFmtId="4" fontId="49" fillId="0" borderId="16" xfId="0" applyNumberFormat="1" applyFont="1" applyFill="1" applyBorder="1" applyAlignment="1">
      <alignment vertical="top"/>
    </xf>
    <xf numFmtId="0" fontId="49" fillId="0" borderId="17" xfId="0" applyFont="1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 vertical="top"/>
    </xf>
    <xf numFmtId="4" fontId="1" fillId="0" borderId="0" xfId="0" applyNumberFormat="1" applyFont="1" applyAlignment="1">
      <alignment vertical="top"/>
    </xf>
    <xf numFmtId="4" fontId="52" fillId="35" borderId="13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4" fontId="8" fillId="35" borderId="13" xfId="0" applyNumberFormat="1" applyFont="1" applyFill="1" applyBorder="1" applyAlignment="1">
      <alignment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1" fillId="36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4" fontId="1" fillId="36" borderId="13" xfId="0" applyNumberFormat="1" applyFont="1" applyFill="1" applyBorder="1" applyAlignment="1">
      <alignment vertical="top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4" fontId="1" fillId="0" borderId="20" xfId="0" applyNumberFormat="1" applyFont="1" applyBorder="1" applyAlignment="1">
      <alignment vertical="top"/>
    </xf>
    <xf numFmtId="4" fontId="2" fillId="0" borderId="20" xfId="0" applyNumberFormat="1" applyFont="1" applyBorder="1" applyAlignment="1">
      <alignment vertical="top"/>
    </xf>
    <xf numFmtId="4" fontId="1" fillId="33" borderId="20" xfId="0" applyNumberFormat="1" applyFont="1" applyFill="1" applyBorder="1" applyAlignment="1">
      <alignment vertical="top"/>
    </xf>
    <xf numFmtId="4" fontId="1" fillId="0" borderId="21" xfId="0" applyNumberFormat="1" applyFont="1" applyBorder="1" applyAlignment="1">
      <alignment vertical="top"/>
    </xf>
    <xf numFmtId="0" fontId="50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10" fillId="0" borderId="24" xfId="0" applyFont="1" applyBorder="1" applyAlignment="1">
      <alignment/>
    </xf>
    <xf numFmtId="0" fontId="2" fillId="0" borderId="24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4" fontId="1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 vertical="top"/>
    </xf>
    <xf numFmtId="4" fontId="11" fillId="0" borderId="24" xfId="0" applyNumberFormat="1" applyFont="1" applyBorder="1" applyAlignment="1">
      <alignment vertical="top"/>
    </xf>
    <xf numFmtId="0" fontId="50" fillId="0" borderId="25" xfId="0" applyFont="1" applyBorder="1" applyAlignment="1">
      <alignment vertical="top"/>
    </xf>
    <xf numFmtId="4" fontId="0" fillId="0" borderId="0" xfId="0" applyNumberFormat="1" applyFont="1" applyAlignment="1">
      <alignment/>
    </xf>
    <xf numFmtId="4" fontId="8" fillId="35" borderId="0" xfId="0" applyNumberFormat="1" applyFont="1" applyFill="1" applyBorder="1" applyAlignment="1">
      <alignment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4" fontId="49" fillId="0" borderId="0" xfId="0" applyNumberFormat="1" applyFont="1" applyAlignment="1">
      <alignment horizontal="center" vertical="top"/>
    </xf>
    <xf numFmtId="4" fontId="10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PageLayoutView="0" workbookViewId="0" topLeftCell="A7">
      <selection activeCell="K13" sqref="K13"/>
    </sheetView>
  </sheetViews>
  <sheetFormatPr defaultColWidth="9.140625" defaultRowHeight="12.75"/>
  <cols>
    <col min="1" max="1" width="13.00390625" style="2" customWidth="1"/>
    <col min="2" max="2" width="42.421875" style="2" customWidth="1"/>
    <col min="3" max="3" width="15.00390625" style="2" customWidth="1"/>
    <col min="4" max="4" width="13.8515625" style="2" customWidth="1"/>
    <col min="5" max="5" width="11.140625" style="2" customWidth="1"/>
    <col min="6" max="6" width="13.140625" style="2" customWidth="1"/>
    <col min="7" max="7" width="12.57421875" style="2" customWidth="1"/>
    <col min="8" max="8" width="12.421875" style="2" customWidth="1"/>
    <col min="9" max="9" width="11.28125" style="2" customWidth="1"/>
    <col min="10" max="10" width="12.57421875" style="2" customWidth="1"/>
    <col min="11" max="11" width="10.57421875" style="2" customWidth="1"/>
    <col min="12" max="13" width="12.7109375" style="2" customWidth="1"/>
    <col min="14" max="14" width="12.28125" style="2" customWidth="1"/>
    <col min="15" max="15" width="13.28125" style="2" customWidth="1"/>
    <col min="16" max="18" width="12.28125" style="2" customWidth="1"/>
    <col min="19" max="19" width="13.28125" style="2" customWidth="1"/>
    <col min="20" max="20" width="12.28125" style="2" customWidth="1"/>
    <col min="21" max="21" width="14.7109375" style="2" bestFit="1" customWidth="1"/>
    <col min="22" max="22" width="14.28125" style="2" bestFit="1" customWidth="1"/>
    <col min="23" max="25" width="12.140625" style="2" customWidth="1"/>
    <col min="26" max="26" width="11.8515625" style="67" bestFit="1" customWidth="1"/>
    <col min="27" max="27" width="10.8515625" style="2" bestFit="1" customWidth="1"/>
    <col min="28" max="16384" width="9.140625" style="2" customWidth="1"/>
  </cols>
  <sheetData>
    <row r="1" spans="1:26" ht="12.75">
      <c r="A1" s="1" t="s">
        <v>0</v>
      </c>
      <c r="F1" s="3"/>
      <c r="R1" s="27"/>
      <c r="Z1" s="62"/>
    </row>
    <row r="2" spans="2:26" ht="12.75">
      <c r="B2" s="63"/>
      <c r="C2" s="100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98"/>
      <c r="T2" s="98"/>
      <c r="U2" s="63"/>
      <c r="V2" s="63"/>
      <c r="W2" s="63"/>
      <c r="X2" s="63"/>
      <c r="Y2" s="63"/>
      <c r="Z2" s="64"/>
    </row>
    <row r="3" spans="2:26" s="4" customFormat="1" ht="42.75" customHeight="1">
      <c r="B3" s="65"/>
      <c r="C3" s="101" t="s">
        <v>66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97"/>
      <c r="T3" s="97"/>
      <c r="U3" s="65"/>
      <c r="V3" s="65"/>
      <c r="W3" s="65"/>
      <c r="X3" s="65"/>
      <c r="Y3" s="65"/>
      <c r="Z3" s="66"/>
    </row>
    <row r="4" ht="13.5" thickBot="1"/>
    <row r="5" spans="1:26" ht="86.25" customHeight="1">
      <c r="A5" s="5" t="s">
        <v>2</v>
      </c>
      <c r="B5" s="6" t="s">
        <v>3</v>
      </c>
      <c r="C5" s="6" t="s">
        <v>12</v>
      </c>
      <c r="D5" s="31" t="s">
        <v>22</v>
      </c>
      <c r="E5" s="6" t="s">
        <v>13</v>
      </c>
      <c r="F5" s="31" t="s">
        <v>23</v>
      </c>
      <c r="G5" s="6" t="s">
        <v>14</v>
      </c>
      <c r="H5" s="31" t="s">
        <v>32</v>
      </c>
      <c r="I5" s="6" t="s">
        <v>15</v>
      </c>
      <c r="J5" s="31" t="s">
        <v>24</v>
      </c>
      <c r="K5" s="6" t="s">
        <v>16</v>
      </c>
      <c r="L5" s="31" t="s">
        <v>25</v>
      </c>
      <c r="M5" s="6" t="s">
        <v>17</v>
      </c>
      <c r="N5" s="31" t="s">
        <v>33</v>
      </c>
      <c r="O5" s="6" t="s">
        <v>37</v>
      </c>
      <c r="P5" s="31" t="s">
        <v>38</v>
      </c>
      <c r="Q5" s="6" t="s">
        <v>39</v>
      </c>
      <c r="R5" s="31" t="s">
        <v>40</v>
      </c>
      <c r="S5" s="6" t="s">
        <v>59</v>
      </c>
      <c r="T5" s="31" t="s">
        <v>60</v>
      </c>
      <c r="U5" s="32" t="s">
        <v>26</v>
      </c>
      <c r="V5" s="6" t="s">
        <v>41</v>
      </c>
      <c r="W5" s="68" t="s">
        <v>42</v>
      </c>
      <c r="X5" s="68" t="s">
        <v>43</v>
      </c>
      <c r="Y5" s="68" t="s">
        <v>44</v>
      </c>
      <c r="Z5" s="69" t="s">
        <v>18</v>
      </c>
    </row>
    <row r="6" spans="1:26" ht="12.75">
      <c r="A6" s="7">
        <v>0</v>
      </c>
      <c r="B6" s="8">
        <v>1</v>
      </c>
      <c r="C6" s="8">
        <v>2</v>
      </c>
      <c r="D6" s="33">
        <v>3</v>
      </c>
      <c r="E6" s="8">
        <v>4</v>
      </c>
      <c r="F6" s="34">
        <v>5</v>
      </c>
      <c r="G6" s="8">
        <v>6</v>
      </c>
      <c r="H6" s="34">
        <v>7</v>
      </c>
      <c r="I6" s="9">
        <v>8</v>
      </c>
      <c r="J6" s="34">
        <v>9</v>
      </c>
      <c r="K6" s="8">
        <v>10</v>
      </c>
      <c r="L6" s="34">
        <v>11</v>
      </c>
      <c r="M6" s="9" t="s">
        <v>19</v>
      </c>
      <c r="N6" s="34" t="s">
        <v>20</v>
      </c>
      <c r="O6" s="70">
        <v>14</v>
      </c>
      <c r="P6" s="34">
        <v>15</v>
      </c>
      <c r="Q6" s="70">
        <v>16</v>
      </c>
      <c r="R6" s="34">
        <v>17</v>
      </c>
      <c r="S6" s="70">
        <v>18</v>
      </c>
      <c r="T6" s="34">
        <v>19</v>
      </c>
      <c r="U6" s="35" t="s">
        <v>61</v>
      </c>
      <c r="V6" s="36">
        <v>21</v>
      </c>
      <c r="W6" s="71">
        <v>22</v>
      </c>
      <c r="X6" s="71">
        <v>23</v>
      </c>
      <c r="Y6" s="71" t="s">
        <v>62</v>
      </c>
      <c r="Z6" s="72" t="s">
        <v>63</v>
      </c>
    </row>
    <row r="7" spans="1:26" ht="12.75">
      <c r="A7" s="10">
        <v>1</v>
      </c>
      <c r="B7" s="11" t="s">
        <v>27</v>
      </c>
      <c r="C7" s="12">
        <f>ROUND(C12+C16+C21+C26,2)</f>
        <v>111119470</v>
      </c>
      <c r="D7" s="37">
        <v>111119470</v>
      </c>
      <c r="E7" s="12">
        <f>ROUND(E12+E16+E21+E26,2)</f>
        <v>2268260</v>
      </c>
      <c r="F7" s="37">
        <v>2268260</v>
      </c>
      <c r="G7" s="12">
        <f>ROUND(G12+G16+G21+G26,2)</f>
        <v>14954670</v>
      </c>
      <c r="H7" s="37">
        <v>14954670</v>
      </c>
      <c r="I7" s="12">
        <f>ROUND(I12+I16+I21+I26,2)</f>
        <v>966090</v>
      </c>
      <c r="J7" s="37">
        <v>966090</v>
      </c>
      <c r="K7" s="12">
        <f>ROUND(K12+K16+K21+K26,2)</f>
        <v>671690</v>
      </c>
      <c r="L7" s="37">
        <v>671690</v>
      </c>
      <c r="M7" s="13">
        <f>ROUND(G7+I7+K7,2)</f>
        <v>16592450</v>
      </c>
      <c r="N7" s="37">
        <f>N8+N9+N10+N11+N13+N14+N15+N18+N19+N20+N23+N24+N25</f>
        <v>16592450</v>
      </c>
      <c r="O7" s="12">
        <f>ROUND(O12+O16+O21+O26,2)</f>
        <v>50</v>
      </c>
      <c r="P7" s="37">
        <f>P8+P9+P10+P11+P13+P14+P15+P18+P19+P20+P23+P24+P25</f>
        <v>38.57</v>
      </c>
      <c r="Q7" s="12">
        <f>ROUND(Q12+Q16+Q21+Q26,2)</f>
        <v>70</v>
      </c>
      <c r="R7" s="37">
        <f>R8+R9+R10+R11+R13+R14+R15+R18+R19+R20+R23+R24+R25</f>
        <v>41.89</v>
      </c>
      <c r="S7" s="12">
        <f>ROUND(S12+S16+S21+S26,2)</f>
        <v>807210</v>
      </c>
      <c r="T7" s="37">
        <f>T8+T9+T10+T11+T13+T14+T15+T18+T19+T20+T23+T24+T25</f>
        <v>807210</v>
      </c>
      <c r="U7" s="13">
        <f>ROUND(U12+U16+U21+U26,2)</f>
        <v>130188007.89</v>
      </c>
      <c r="V7" s="13">
        <f>ROUND(V12+V16+V21+V26,2)</f>
        <v>132024176.59</v>
      </c>
      <c r="W7" s="73"/>
      <c r="X7" s="73"/>
      <c r="Y7" s="73">
        <f>ROUND(Y12+Y16+Y21+Y26,2)</f>
        <v>80.46</v>
      </c>
      <c r="Z7" s="74">
        <f>Z26</f>
        <v>1980243.5200000023</v>
      </c>
    </row>
    <row r="8" spans="1:26" ht="12.75">
      <c r="A8" s="14">
        <v>2</v>
      </c>
      <c r="B8" s="43" t="s">
        <v>34</v>
      </c>
      <c r="C8" s="16"/>
      <c r="D8" s="44">
        <f>8565000+244714.28</f>
        <v>8809714.28</v>
      </c>
      <c r="E8" s="44"/>
      <c r="F8" s="45">
        <f>205000-4486.19</f>
        <v>200513.81</v>
      </c>
      <c r="G8" s="44"/>
      <c r="H8" s="45">
        <f>970000+28382.63</f>
        <v>998382.63</v>
      </c>
      <c r="I8" s="45"/>
      <c r="J8" s="45">
        <f>65000+2590.27</f>
        <v>67590.27</v>
      </c>
      <c r="K8" s="44"/>
      <c r="L8" s="45">
        <f>52000+2073.05</f>
        <v>54073.05</v>
      </c>
      <c r="M8" s="17"/>
      <c r="N8" s="13">
        <f>ROUND(H8+J8+L8,2)</f>
        <v>1120045.95</v>
      </c>
      <c r="O8" s="16"/>
      <c r="P8" s="45">
        <v>0</v>
      </c>
      <c r="Q8" s="16"/>
      <c r="R8" s="45">
        <v>0</v>
      </c>
      <c r="S8" s="16"/>
      <c r="T8" s="45">
        <v>0</v>
      </c>
      <c r="U8" s="13">
        <f>ROUND(D8+F8+N8+P8+R8+T8,2)</f>
        <v>10130274.04</v>
      </c>
      <c r="V8" s="38">
        <v>10130274.04</v>
      </c>
      <c r="W8" s="75">
        <v>0</v>
      </c>
      <c r="X8" s="75">
        <v>0</v>
      </c>
      <c r="Y8" s="75">
        <f>ROUND(W8+X8,2)</f>
        <v>0</v>
      </c>
      <c r="Z8" s="76">
        <f>V8-U8</f>
        <v>0</v>
      </c>
    </row>
    <row r="9" spans="1:28" ht="28.5" customHeight="1">
      <c r="A9" s="14">
        <v>3</v>
      </c>
      <c r="B9" s="15" t="s">
        <v>35</v>
      </c>
      <c r="C9" s="16"/>
      <c r="D9" s="44">
        <f>8565000-244714.28-110718.45</f>
        <v>8209567.27</v>
      </c>
      <c r="E9" s="44"/>
      <c r="F9" s="45">
        <f>205000+4486.19-24669.03</f>
        <v>184817.16</v>
      </c>
      <c r="G9" s="44"/>
      <c r="H9" s="45">
        <f>589000-28382.63+484332.8</f>
        <v>1044950.1699999999</v>
      </c>
      <c r="I9" s="45"/>
      <c r="J9" s="45">
        <f>43000-2590.27+25670.49</f>
        <v>66080.22</v>
      </c>
      <c r="K9" s="44"/>
      <c r="L9" s="45">
        <f>42000-2073.05+12938.28</f>
        <v>52865.229999999996</v>
      </c>
      <c r="M9" s="17"/>
      <c r="N9" s="13">
        <f>ROUND(H9+J9+L9,2)</f>
        <v>1163895.62</v>
      </c>
      <c r="O9" s="16"/>
      <c r="P9" s="45">
        <v>0</v>
      </c>
      <c r="Q9" s="16"/>
      <c r="R9" s="45">
        <v>0</v>
      </c>
      <c r="S9" s="16"/>
      <c r="T9" s="45">
        <v>0</v>
      </c>
      <c r="U9" s="13">
        <f>ROUND(D9+F9+N9+P9+R9+T9,2)</f>
        <v>9558280.05</v>
      </c>
      <c r="V9" s="38">
        <v>9558320.7</v>
      </c>
      <c r="W9" s="75">
        <v>20.32</v>
      </c>
      <c r="X9" s="75">
        <v>20.33</v>
      </c>
      <c r="Y9" s="75">
        <f>ROUND(W9+X9,2)</f>
        <v>40.65</v>
      </c>
      <c r="Z9" s="76">
        <f>Z8+V9-U9</f>
        <v>40.649999998509884</v>
      </c>
      <c r="AA9" s="102"/>
      <c r="AB9" s="103"/>
    </row>
    <row r="10" spans="1:27" ht="12.75">
      <c r="A10" s="7">
        <v>4</v>
      </c>
      <c r="B10" s="15" t="s">
        <v>45</v>
      </c>
      <c r="C10" s="77"/>
      <c r="D10" s="78">
        <f>8575000+200000-467000+110718.45</f>
        <v>8418718.45</v>
      </c>
      <c r="E10" s="53"/>
      <c r="F10" s="47">
        <f>200000+24669.03+5.96-18584.02</f>
        <v>206090.97</v>
      </c>
      <c r="G10" s="79"/>
      <c r="H10" s="80">
        <f>1000000+440000-199600-484332.8+5.35+249000</f>
        <v>1005072.5499999999</v>
      </c>
      <c r="I10" s="79"/>
      <c r="J10" s="80">
        <f>70000+30000-21530-25670.49+4.45+21130</f>
        <v>73933.95999999999</v>
      </c>
      <c r="K10" s="79"/>
      <c r="L10" s="80">
        <f>56000+16000+10-21050-12938.28-0.58</f>
        <v>38021.14</v>
      </c>
      <c r="M10" s="81"/>
      <c r="N10" s="13">
        <f>ROUND(H10+J10+L10,2)</f>
        <v>1117027.65</v>
      </c>
      <c r="O10" s="16"/>
      <c r="P10" s="47">
        <v>0</v>
      </c>
      <c r="Q10" s="16"/>
      <c r="R10" s="47">
        <v>0</v>
      </c>
      <c r="S10" s="16"/>
      <c r="T10" s="47">
        <v>0</v>
      </c>
      <c r="U10" s="13">
        <f>ROUND(D10+F10+N10+P10+R10+T10,2)</f>
        <v>9741837.07</v>
      </c>
      <c r="V10" s="38">
        <f>10777850.45+39.81</f>
        <v>10777890.26</v>
      </c>
      <c r="W10" s="75">
        <v>18.25</v>
      </c>
      <c r="X10" s="75">
        <v>21.56</v>
      </c>
      <c r="Y10" s="75">
        <f>ROUND(W10+X10,2)</f>
        <v>39.81</v>
      </c>
      <c r="Z10" s="76">
        <f>V10-U10</f>
        <v>1036053.1899999995</v>
      </c>
      <c r="AA10" s="51"/>
    </row>
    <row r="11" spans="1:26" ht="12.75">
      <c r="A11" s="7" t="s">
        <v>21</v>
      </c>
      <c r="B11" s="43" t="s">
        <v>36</v>
      </c>
      <c r="C11" s="16"/>
      <c r="D11" s="53">
        <v>0</v>
      </c>
      <c r="E11" s="53">
        <v>690</v>
      </c>
      <c r="F11" s="47">
        <f>690-5.96</f>
        <v>684.04</v>
      </c>
      <c r="G11" s="53">
        <v>131410</v>
      </c>
      <c r="H11" s="47">
        <f>131410-5.35</f>
        <v>131404.65</v>
      </c>
      <c r="I11" s="47">
        <v>6660</v>
      </c>
      <c r="J11" s="47">
        <f>6660-4.45</f>
        <v>6655.55</v>
      </c>
      <c r="K11" s="53">
        <v>5330</v>
      </c>
      <c r="L11" s="47">
        <f>5330+0.58</f>
        <v>5330.58</v>
      </c>
      <c r="M11" s="24"/>
      <c r="N11" s="13">
        <f>ROUND(H11+J11+L11,2)</f>
        <v>143390.78</v>
      </c>
      <c r="O11" s="16"/>
      <c r="P11" s="47">
        <v>0</v>
      </c>
      <c r="Q11" s="16"/>
      <c r="R11" s="47">
        <v>0</v>
      </c>
      <c r="S11" s="16"/>
      <c r="T11" s="47">
        <v>0</v>
      </c>
      <c r="U11" s="13">
        <f>ROUND(D11+F11+N11+P11+R11+T11,2)</f>
        <v>144074.82</v>
      </c>
      <c r="V11" s="38"/>
      <c r="W11" s="75"/>
      <c r="X11" s="75"/>
      <c r="Y11" s="75">
        <f>ROUND(W11+X11,2)</f>
        <v>0</v>
      </c>
      <c r="Z11" s="76">
        <v>0</v>
      </c>
    </row>
    <row r="12" spans="1:26" s="1" customFormat="1" ht="25.5">
      <c r="A12" s="18" t="s">
        <v>4</v>
      </c>
      <c r="B12" s="29" t="s">
        <v>46</v>
      </c>
      <c r="C12" s="13">
        <f>17130000+8308000</f>
        <v>25438000</v>
      </c>
      <c r="D12" s="54">
        <f>SUM(D8:D11)</f>
        <v>25437999.999999996</v>
      </c>
      <c r="E12" s="54">
        <f>410000+200690</f>
        <v>610690</v>
      </c>
      <c r="F12" s="54">
        <f>SUM(F8:F11)</f>
        <v>592105.98</v>
      </c>
      <c r="G12" s="54">
        <f>1559000+1371810+249000</f>
        <v>3179810</v>
      </c>
      <c r="H12" s="54">
        <f>SUM(H8:H11)</f>
        <v>3179809.9999999995</v>
      </c>
      <c r="I12" s="54">
        <f>108000+85130+21130</f>
        <v>214260</v>
      </c>
      <c r="J12" s="54">
        <f>SUM(J8:J11)</f>
        <v>214259.99999999997</v>
      </c>
      <c r="K12" s="54">
        <f>94000+56290</f>
        <v>150290</v>
      </c>
      <c r="L12" s="54">
        <f>SUM(L8:L11)</f>
        <v>150289.99999999997</v>
      </c>
      <c r="M12" s="13">
        <f>ROUND(G12+I12+K12,2)</f>
        <v>3544360</v>
      </c>
      <c r="N12" s="12">
        <f>SUM(N8:N11)</f>
        <v>3544360</v>
      </c>
      <c r="O12" s="13">
        <v>0</v>
      </c>
      <c r="P12" s="54">
        <f>SUM(P8:P11)</f>
        <v>0</v>
      </c>
      <c r="Q12" s="13">
        <v>0</v>
      </c>
      <c r="R12" s="54">
        <f>SUM(R8:R11)</f>
        <v>0</v>
      </c>
      <c r="S12" s="13">
        <v>0</v>
      </c>
      <c r="T12" s="54">
        <f>SUM(T8:T11)</f>
        <v>0</v>
      </c>
      <c r="U12" s="12">
        <f>SUM(U8:U11)</f>
        <v>29574465.98</v>
      </c>
      <c r="V12" s="12">
        <f>SUM(V8:V10)</f>
        <v>30466485</v>
      </c>
      <c r="W12" s="12">
        <f>SUM(W8:W10)</f>
        <v>38.57</v>
      </c>
      <c r="X12" s="12">
        <f>SUM(X8:X10)</f>
        <v>41.89</v>
      </c>
      <c r="Y12" s="82">
        <f>SUM(Y8:Y11)</f>
        <v>80.46000000000001</v>
      </c>
      <c r="Z12" s="83">
        <f>SUM(Z8:Z11)</f>
        <v>1036093.839999998</v>
      </c>
    </row>
    <row r="13" spans="1:26" ht="36">
      <c r="A13" s="14">
        <v>6</v>
      </c>
      <c r="B13" s="19" t="s">
        <v>47</v>
      </c>
      <c r="C13" s="77"/>
      <c r="D13" s="78">
        <f>8575000+565662.01</f>
        <v>9140662.01</v>
      </c>
      <c r="E13" s="53"/>
      <c r="F13" s="47">
        <f>205000+4310+18584.02-35825.74</f>
        <v>192068.28</v>
      </c>
      <c r="G13" s="77"/>
      <c r="H13" s="80">
        <f>1000000+226461.87</f>
        <v>1226461.87</v>
      </c>
      <c r="I13" s="77"/>
      <c r="J13" s="80">
        <f>70000+10816.15</f>
        <v>80816.15</v>
      </c>
      <c r="K13" s="77"/>
      <c r="L13" s="80">
        <f>56000+29781.13</f>
        <v>85781.13</v>
      </c>
      <c r="M13" s="17"/>
      <c r="N13" s="13">
        <f>ROUND(H13+J13+L13,2)</f>
        <v>1393059.15</v>
      </c>
      <c r="O13" s="16"/>
      <c r="P13" s="47">
        <v>0</v>
      </c>
      <c r="Q13" s="16"/>
      <c r="R13" s="47">
        <v>0</v>
      </c>
      <c r="S13" s="16"/>
      <c r="T13" s="47">
        <v>0</v>
      </c>
      <c r="U13" s="13">
        <f>ROUND(D13+F13+N13+P13+R13+T13,2)</f>
        <v>10725789.44</v>
      </c>
      <c r="V13" s="38">
        <v>9689776.06</v>
      </c>
      <c r="W13" s="75">
        <v>0</v>
      </c>
      <c r="X13" s="75">
        <v>0</v>
      </c>
      <c r="Y13" s="75">
        <f>ROUND(W13+X13,2)</f>
        <v>0</v>
      </c>
      <c r="Z13" s="76">
        <f>V13-U13</f>
        <v>-1036013.379999999</v>
      </c>
    </row>
    <row r="14" spans="1:26" ht="12.75">
      <c r="A14" s="14">
        <v>7</v>
      </c>
      <c r="B14" s="15" t="s">
        <v>48</v>
      </c>
      <c r="C14" s="16"/>
      <c r="D14" s="53">
        <f>8575000-565662.01+1107058.32</f>
        <v>9116396.31</v>
      </c>
      <c r="E14" s="53"/>
      <c r="F14" s="47">
        <f>205000+35825.74-35334.02</f>
        <v>205491.72</v>
      </c>
      <c r="G14" s="53"/>
      <c r="H14" s="47">
        <f>1000000-226461.87+362470+116506.77</f>
        <v>1252514.9</v>
      </c>
      <c r="I14" s="47"/>
      <c r="J14" s="47">
        <f>70000-10816.15+22420-1715.43</f>
        <v>79888.42000000001</v>
      </c>
      <c r="K14" s="53"/>
      <c r="L14" s="47">
        <f>56000-29781.13+39080-1386.93</f>
        <v>63911.939999999995</v>
      </c>
      <c r="M14" s="17"/>
      <c r="N14" s="13">
        <f>ROUND(H14+J14+L14,2)</f>
        <v>1396315.26</v>
      </c>
      <c r="O14" s="16"/>
      <c r="P14" s="84">
        <v>38.57</v>
      </c>
      <c r="Q14" s="85"/>
      <c r="R14" s="84">
        <v>41.89</v>
      </c>
      <c r="S14" s="16"/>
      <c r="T14" s="84">
        <v>0</v>
      </c>
      <c r="U14" s="13">
        <f>ROUND(D14+F14+N14+P14+R14+T14,2)</f>
        <v>10718283.75</v>
      </c>
      <c r="V14" s="38">
        <v>10718203.29</v>
      </c>
      <c r="W14" s="75">
        <v>0</v>
      </c>
      <c r="X14" s="75">
        <v>0</v>
      </c>
      <c r="Y14" s="75">
        <f>ROUND(W14+X14,2)</f>
        <v>0</v>
      </c>
      <c r="Z14" s="76">
        <f>V14-U14</f>
        <v>-80.46000000089407</v>
      </c>
    </row>
    <row r="15" spans="1:26" s="4" customFormat="1" ht="12.75">
      <c r="A15" s="14">
        <v>8</v>
      </c>
      <c r="B15" s="20" t="s">
        <v>50</v>
      </c>
      <c r="C15" s="21"/>
      <c r="D15" s="53">
        <f>7305000+467000-1107058.32+111000+9251910-7609131.75</f>
        <v>8418719.93</v>
      </c>
      <c r="E15" s="53"/>
      <c r="F15" s="47">
        <f>205000+35334.02-35000-11120.29</f>
        <v>194213.72999999998</v>
      </c>
      <c r="G15" s="53"/>
      <c r="H15" s="53">
        <f>404920+199600+570480-116506.77+200000-54054.34</f>
        <v>1204438.89</v>
      </c>
      <c r="I15" s="47"/>
      <c r="J15" s="47">
        <f>5000+21530+58970+1715.43-5580.31</f>
        <v>81635.12</v>
      </c>
      <c r="K15" s="53"/>
      <c r="L15" s="47">
        <f>550+21050+46800+1386.93-4477.72</f>
        <v>65309.20999999999</v>
      </c>
      <c r="M15" s="24"/>
      <c r="N15" s="13">
        <f>ROUND(H15+J15+L15,2)</f>
        <v>1351383.22</v>
      </c>
      <c r="O15" s="21"/>
      <c r="P15" s="47">
        <v>0</v>
      </c>
      <c r="Q15" s="21"/>
      <c r="R15" s="47">
        <v>0</v>
      </c>
      <c r="S15" s="21"/>
      <c r="T15" s="47">
        <v>0</v>
      </c>
      <c r="U15" s="13">
        <f>ROUND(D15+F15+N15+P15+R15+T15,2)</f>
        <v>9964316.88</v>
      </c>
      <c r="V15" s="38">
        <v>9964316.88</v>
      </c>
      <c r="W15" s="75">
        <v>0</v>
      </c>
      <c r="X15" s="75">
        <v>0</v>
      </c>
      <c r="Y15" s="75">
        <f>ROUND(W15+X15,2)</f>
        <v>0</v>
      </c>
      <c r="Z15" s="76">
        <f>V15-U15</f>
        <v>0</v>
      </c>
    </row>
    <row r="16" spans="1:26" ht="25.5">
      <c r="A16" s="22" t="s">
        <v>5</v>
      </c>
      <c r="B16" s="23" t="s">
        <v>51</v>
      </c>
      <c r="C16" s="13">
        <f>24922000+111000+9251910</f>
        <v>34284910</v>
      </c>
      <c r="D16" s="12">
        <f>SUM(D13:D15)</f>
        <v>26675778.25</v>
      </c>
      <c r="E16" s="12">
        <f>619310-35000</f>
        <v>584310</v>
      </c>
      <c r="F16" s="12">
        <f>SUM(F13:F15)</f>
        <v>591773.73</v>
      </c>
      <c r="G16" s="12">
        <f>2604520+932950+200000</f>
        <v>3737470</v>
      </c>
      <c r="H16" s="12">
        <f>SUM(H13:H15)</f>
        <v>3683415.66</v>
      </c>
      <c r="I16" s="12">
        <f>166530+81390</f>
        <v>247920</v>
      </c>
      <c r="J16" s="12">
        <f>SUM(J13:J15)</f>
        <v>242339.69</v>
      </c>
      <c r="K16" s="12">
        <f>133600+85880</f>
        <v>219480</v>
      </c>
      <c r="L16" s="12">
        <f>SUM(L13:L15)</f>
        <v>215002.28</v>
      </c>
      <c r="M16" s="13">
        <f>ROUND(G16+I16+K16,2)</f>
        <v>4204870</v>
      </c>
      <c r="N16" s="12">
        <f>SUM(N13:N15)</f>
        <v>4140757.63</v>
      </c>
      <c r="O16" s="13">
        <v>50</v>
      </c>
      <c r="P16" s="12">
        <f>SUM(P13:P15)</f>
        <v>38.57</v>
      </c>
      <c r="Q16" s="13">
        <f>50+20</f>
        <v>70</v>
      </c>
      <c r="R16" s="12">
        <f>SUM(R13:R15)</f>
        <v>41.89</v>
      </c>
      <c r="S16" s="13">
        <v>0</v>
      </c>
      <c r="T16" s="12">
        <f>SUM(T13:T15)</f>
        <v>0</v>
      </c>
      <c r="U16" s="12">
        <f>SUM(U13:U15)</f>
        <v>31408390.07</v>
      </c>
      <c r="V16" s="12">
        <f>SUM(V13:V15)</f>
        <v>30372296.230000004</v>
      </c>
      <c r="W16" s="12">
        <f>SUM(W13:W15)</f>
        <v>0</v>
      </c>
      <c r="X16" s="12">
        <f>SUM(X13:X15)</f>
        <v>0</v>
      </c>
      <c r="Y16" s="12">
        <f>SUM(Y13:Y15)</f>
        <v>0</v>
      </c>
      <c r="Z16" s="83">
        <f>SUM(Z12:Z15)</f>
        <v>-1.862645149230957E-09</v>
      </c>
    </row>
    <row r="17" spans="1:27" s="1" customFormat="1" ht="25.5">
      <c r="A17" s="18" t="s">
        <v>6</v>
      </c>
      <c r="B17" s="23" t="s">
        <v>52</v>
      </c>
      <c r="C17" s="13">
        <f aca="true" t="shared" si="0" ref="C17:Y17">C12+C16</f>
        <v>59722910</v>
      </c>
      <c r="D17" s="12">
        <f t="shared" si="0"/>
        <v>52113778.25</v>
      </c>
      <c r="E17" s="13">
        <f>E12+E16</f>
        <v>1195000</v>
      </c>
      <c r="F17" s="12">
        <f t="shared" si="0"/>
        <v>1183879.71</v>
      </c>
      <c r="G17" s="13">
        <f t="shared" si="0"/>
        <v>6917280</v>
      </c>
      <c r="H17" s="12">
        <f t="shared" si="0"/>
        <v>6863225.66</v>
      </c>
      <c r="I17" s="13">
        <f t="shared" si="0"/>
        <v>462180</v>
      </c>
      <c r="J17" s="12">
        <f t="shared" si="0"/>
        <v>456599.68999999994</v>
      </c>
      <c r="K17" s="13">
        <f t="shared" si="0"/>
        <v>369770</v>
      </c>
      <c r="L17" s="12">
        <f t="shared" si="0"/>
        <v>365292.27999999997</v>
      </c>
      <c r="M17" s="12">
        <f t="shared" si="0"/>
        <v>7749230</v>
      </c>
      <c r="N17" s="12">
        <f t="shared" si="0"/>
        <v>7685117.63</v>
      </c>
      <c r="O17" s="13">
        <f t="shared" si="0"/>
        <v>50</v>
      </c>
      <c r="P17" s="12">
        <f t="shared" si="0"/>
        <v>38.57</v>
      </c>
      <c r="Q17" s="13">
        <f t="shared" si="0"/>
        <v>70</v>
      </c>
      <c r="R17" s="12">
        <f t="shared" si="0"/>
        <v>41.89</v>
      </c>
      <c r="S17" s="13">
        <f t="shared" si="0"/>
        <v>0</v>
      </c>
      <c r="T17" s="12">
        <f t="shared" si="0"/>
        <v>0</v>
      </c>
      <c r="U17" s="12">
        <f>ROUND(U12+U16,2)</f>
        <v>60982856.05</v>
      </c>
      <c r="V17" s="12">
        <f t="shared" si="0"/>
        <v>60838781.230000004</v>
      </c>
      <c r="W17" s="12">
        <f t="shared" si="0"/>
        <v>38.57</v>
      </c>
      <c r="X17" s="12">
        <f t="shared" si="0"/>
        <v>41.89</v>
      </c>
      <c r="Y17" s="12">
        <f t="shared" si="0"/>
        <v>80.46000000000001</v>
      </c>
      <c r="Z17" s="83">
        <f>ROUND(Z16,2)</f>
        <v>0</v>
      </c>
      <c r="AA17" s="93"/>
    </row>
    <row r="18" spans="1:27" ht="12.75">
      <c r="A18" s="14">
        <v>11</v>
      </c>
      <c r="B18" s="20" t="s">
        <v>54</v>
      </c>
      <c r="C18" s="16"/>
      <c r="D18" s="44">
        <f>1400000+7609131.75-334997.72</f>
        <v>8674134.03</v>
      </c>
      <c r="E18" s="44"/>
      <c r="F18" s="45">
        <f>200000+11120.29-4928.81</f>
        <v>206191.48</v>
      </c>
      <c r="G18" s="44"/>
      <c r="H18" s="53">
        <f>1201080-200000+54054.34+190116.42</f>
        <v>1245250.76</v>
      </c>
      <c r="I18" s="45"/>
      <c r="J18" s="53">
        <f>80850+5580.31-2636.52</f>
        <v>83793.79</v>
      </c>
      <c r="K18" s="44"/>
      <c r="L18" s="53">
        <f>70000+4477.72-7441.38</f>
        <v>67036.34</v>
      </c>
      <c r="M18" s="46"/>
      <c r="N18" s="13">
        <f>ROUND(H18+J18+L18,2)</f>
        <v>1396080.89</v>
      </c>
      <c r="O18" s="16"/>
      <c r="P18" s="45">
        <v>0</v>
      </c>
      <c r="Q18" s="16"/>
      <c r="R18" s="45">
        <v>0</v>
      </c>
      <c r="S18" s="16"/>
      <c r="T18" s="45">
        <v>0</v>
      </c>
      <c r="U18" s="13">
        <f>ROUND(D18+F18+N18+P18+R18+T18,2)</f>
        <v>10276406.4</v>
      </c>
      <c r="V18" s="38">
        <v>10276406.4</v>
      </c>
      <c r="W18" s="75">
        <v>0</v>
      </c>
      <c r="X18" s="75">
        <v>0</v>
      </c>
      <c r="Y18" s="75">
        <f>ROUND(W18+X18,2)</f>
        <v>0</v>
      </c>
      <c r="Z18" s="76">
        <f>V18-U18</f>
        <v>0</v>
      </c>
      <c r="AA18" s="51"/>
    </row>
    <row r="19" spans="1:26" ht="12.75">
      <c r="A19" s="14">
        <v>12</v>
      </c>
      <c r="B19" s="20" t="s">
        <v>55</v>
      </c>
      <c r="C19" s="16"/>
      <c r="D19" s="44">
        <f>8700000+334997.72+480836.03</f>
        <v>9515833.75</v>
      </c>
      <c r="E19" s="45"/>
      <c r="F19" s="45">
        <f>200000+4928.81+13344.02</f>
        <v>218272.83</v>
      </c>
      <c r="G19" s="45"/>
      <c r="H19" s="47">
        <f>1074650-190116.42+413000-812.48</f>
        <v>1296721.1</v>
      </c>
      <c r="I19" s="47"/>
      <c r="J19" s="47">
        <f>80050+2636.52+3000-2409.84</f>
        <v>83276.68000000001</v>
      </c>
      <c r="K19" s="47"/>
      <c r="L19" s="47">
        <f>74000+7441.38-13000-1819.82</f>
        <v>66621.56</v>
      </c>
      <c r="M19" s="17"/>
      <c r="N19" s="13">
        <f>ROUND(H19+J19+L19,2)</f>
        <v>1446619.34</v>
      </c>
      <c r="O19" s="16"/>
      <c r="P19" s="45">
        <v>0</v>
      </c>
      <c r="Q19" s="16"/>
      <c r="R19" s="45">
        <v>0</v>
      </c>
      <c r="S19" s="16"/>
      <c r="T19" s="45">
        <v>0</v>
      </c>
      <c r="U19" s="13">
        <f>ROUND(D19+F19+N19+P19+R19+T19,2)</f>
        <v>11180725.92</v>
      </c>
      <c r="V19" s="38">
        <v>11180725.92</v>
      </c>
      <c r="W19" s="75">
        <v>0</v>
      </c>
      <c r="X19" s="75">
        <v>0</v>
      </c>
      <c r="Y19" s="75">
        <f>ROUND(W19+X19,2)</f>
        <v>0</v>
      </c>
      <c r="Z19" s="76">
        <f>V19-U19</f>
        <v>0</v>
      </c>
    </row>
    <row r="20" spans="1:26" ht="12.75">
      <c r="A20" s="14">
        <v>13</v>
      </c>
      <c r="B20" s="48" t="s">
        <v>56</v>
      </c>
      <c r="C20" s="77"/>
      <c r="D20" s="78">
        <f>6761090-480836.03</f>
        <v>6280253.97</v>
      </c>
      <c r="E20" s="77"/>
      <c r="F20" s="80">
        <f>187500-13344.02+7660</f>
        <v>181815.98</v>
      </c>
      <c r="G20" s="45"/>
      <c r="H20" s="47">
        <f>420050+812.48+937170-9739.95</f>
        <v>1348292.53</v>
      </c>
      <c r="I20" s="94"/>
      <c r="J20" s="47">
        <f>85520+2409.84-1575.08</f>
        <v>86354.76</v>
      </c>
      <c r="K20" s="99"/>
      <c r="L20" s="80">
        <f>18810+13000+10490+1819.82</f>
        <v>44119.82</v>
      </c>
      <c r="M20" s="17"/>
      <c r="N20" s="13">
        <f>ROUND(H20+J20+L20,2)</f>
        <v>1478767.11</v>
      </c>
      <c r="O20" s="17"/>
      <c r="P20" s="47">
        <v>0</v>
      </c>
      <c r="Q20" s="17"/>
      <c r="R20" s="47">
        <v>0</v>
      </c>
      <c r="S20" s="17"/>
      <c r="T20" s="47">
        <v>0</v>
      </c>
      <c r="U20" s="13">
        <f>ROUND(D20+F20+N20+P20+R20+T20,2)</f>
        <v>7940837.06</v>
      </c>
      <c r="V20" s="38">
        <v>11386765.2</v>
      </c>
      <c r="W20" s="75">
        <v>0</v>
      </c>
      <c r="X20" s="75">
        <v>0</v>
      </c>
      <c r="Y20" s="75">
        <f>ROUND(W20+X20,2)</f>
        <v>0</v>
      </c>
      <c r="Z20" s="76">
        <f>V20-U20</f>
        <v>3445928.1399999997</v>
      </c>
    </row>
    <row r="21" spans="1:26" s="1" customFormat="1" ht="25.5">
      <c r="A21" s="18" t="s">
        <v>7</v>
      </c>
      <c r="B21" s="23" t="s">
        <v>57</v>
      </c>
      <c r="C21" s="13">
        <f>16861090</f>
        <v>16861090</v>
      </c>
      <c r="D21" s="12">
        <f>ROUND(D18+D19+D20,2)</f>
        <v>24470221.75</v>
      </c>
      <c r="E21" s="13">
        <f>587500+7660</f>
        <v>595160</v>
      </c>
      <c r="F21" s="12">
        <f>ROUND(F18+F19+F20,2)</f>
        <v>606280.29</v>
      </c>
      <c r="G21" s="13">
        <f>1001080+1074650+833050+937170</f>
        <v>3845950</v>
      </c>
      <c r="H21" s="12">
        <f>ROUND(H18+H19+H20,2)</f>
        <v>3890264.39</v>
      </c>
      <c r="I21" s="12">
        <f>80850+80050+88520</f>
        <v>249420</v>
      </c>
      <c r="J21" s="12">
        <f>ROUND(J18+J19+J20,2)</f>
        <v>253425.23</v>
      </c>
      <c r="K21" s="13">
        <f>162810+10490</f>
        <v>173300</v>
      </c>
      <c r="L21" s="12">
        <f>ROUND(L18+L19+L20,2)</f>
        <v>177777.72</v>
      </c>
      <c r="M21" s="13">
        <f>ROUND(G21+I21+K21,2)</f>
        <v>4268670</v>
      </c>
      <c r="N21" s="12">
        <f>ROUND(N18+N19+N20,2)</f>
        <v>4321467.34</v>
      </c>
      <c r="O21" s="13">
        <v>0</v>
      </c>
      <c r="P21" s="12">
        <f>ROUND(P18+P19+P20,2)</f>
        <v>0</v>
      </c>
      <c r="Q21" s="13">
        <v>0</v>
      </c>
      <c r="R21" s="12">
        <f>ROUND(R18+R19+R20,2)</f>
        <v>0</v>
      </c>
      <c r="S21" s="13">
        <v>0</v>
      </c>
      <c r="T21" s="12">
        <f>ROUND(T18+T19+T20,2)</f>
        <v>0</v>
      </c>
      <c r="U21" s="12">
        <f>ROUND(U18+U19+U20,2)</f>
        <v>29397969.38</v>
      </c>
      <c r="V21" s="12">
        <f>ROUND(V18+V19+V20,2)</f>
        <v>32843897.52</v>
      </c>
      <c r="W21" s="12">
        <f>ROUND(W18+W19+W20,2)</f>
        <v>0</v>
      </c>
      <c r="X21" s="12">
        <f>ROUND(X18+X19+X20,2)</f>
        <v>0</v>
      </c>
      <c r="Y21" s="12">
        <f>ROUND(Y18+Y19+Y20,2)</f>
        <v>0</v>
      </c>
      <c r="Z21" s="83">
        <f>SUM(Z17:Z20)</f>
        <v>3445928.1399999997</v>
      </c>
    </row>
    <row r="22" spans="1:26" s="1" customFormat="1" ht="25.5">
      <c r="A22" s="18" t="s">
        <v>8</v>
      </c>
      <c r="B22" s="23" t="s">
        <v>58</v>
      </c>
      <c r="C22" s="13">
        <f>C17+C21</f>
        <v>76584000</v>
      </c>
      <c r="D22" s="12">
        <f>ROUND(D17+D21,2)</f>
        <v>76584000</v>
      </c>
      <c r="E22" s="13">
        <f>E17+E21</f>
        <v>1790160</v>
      </c>
      <c r="F22" s="12">
        <f>ROUND(F17+F21,2)</f>
        <v>1790160</v>
      </c>
      <c r="G22" s="13">
        <f>G17+G21</f>
        <v>10763230</v>
      </c>
      <c r="H22" s="12">
        <f>ROUND(H17+H21,2)</f>
        <v>10753490.05</v>
      </c>
      <c r="I22" s="13">
        <f>I17+I21</f>
        <v>711600</v>
      </c>
      <c r="J22" s="12">
        <f>ROUND(J17+J21,2)</f>
        <v>710024.92</v>
      </c>
      <c r="K22" s="13">
        <f>K17+K21</f>
        <v>543070</v>
      </c>
      <c r="L22" s="12">
        <f>ROUND(L17+L21,2)</f>
        <v>543070</v>
      </c>
      <c r="M22" s="12">
        <f>ROUND(M17+M21,2)</f>
        <v>12017900</v>
      </c>
      <c r="N22" s="12">
        <f>ROUND(N17+N21,2)</f>
        <v>12006584.97</v>
      </c>
      <c r="O22" s="13">
        <f>O17+O21</f>
        <v>50</v>
      </c>
      <c r="P22" s="12">
        <f>ROUND(P17+P21,2)</f>
        <v>38.57</v>
      </c>
      <c r="Q22" s="13">
        <f>Q17+Q21</f>
        <v>70</v>
      </c>
      <c r="R22" s="12">
        <f>ROUND(R17+R21,2)</f>
        <v>41.89</v>
      </c>
      <c r="S22" s="13">
        <f>S17+S21</f>
        <v>0</v>
      </c>
      <c r="T22" s="12">
        <f>ROUND(T17+T21,2)</f>
        <v>0</v>
      </c>
      <c r="U22" s="12">
        <f>ROUND(U17+U21,2)</f>
        <v>90380825.43</v>
      </c>
      <c r="V22" s="12">
        <f>ROUND(V17+V21,2)</f>
        <v>93682678.75</v>
      </c>
      <c r="W22" s="12">
        <f>ROUND(W17+W21,2)</f>
        <v>38.57</v>
      </c>
      <c r="X22" s="12">
        <f>ROUND(X17+X21,2)</f>
        <v>41.89</v>
      </c>
      <c r="Y22" s="12">
        <f>ROUND(Y17+Y21,2)</f>
        <v>80.46</v>
      </c>
      <c r="Z22" s="83">
        <f>Z21</f>
        <v>3445928.1399999997</v>
      </c>
    </row>
    <row r="23" spans="1:26" ht="38.25">
      <c r="A23" s="14">
        <v>16</v>
      </c>
      <c r="B23" s="39" t="s">
        <v>64</v>
      </c>
      <c r="C23" s="77"/>
      <c r="D23" s="47">
        <f>11441470+1600000+729681.74</f>
        <v>13771151.74</v>
      </c>
      <c r="E23" s="77"/>
      <c r="F23" s="47">
        <f>200000+53274.75</f>
        <v>253274.75</v>
      </c>
      <c r="G23" s="47"/>
      <c r="H23" s="47">
        <f>9739.95+859980+540020-17558.91</f>
        <v>1392181.04</v>
      </c>
      <c r="I23" s="47"/>
      <c r="J23" s="47">
        <f>1575.08+57680+30750-4931.86</f>
        <v>85073.22</v>
      </c>
      <c r="K23" s="99"/>
      <c r="L23" s="80">
        <v>55940</v>
      </c>
      <c r="M23" s="30"/>
      <c r="N23" s="13">
        <f>ROUND(H23+J23+L23,2)</f>
        <v>1533194.26</v>
      </c>
      <c r="O23" s="17"/>
      <c r="P23" s="50">
        <v>0</v>
      </c>
      <c r="Q23" s="17"/>
      <c r="R23" s="50">
        <v>0</v>
      </c>
      <c r="S23" s="99"/>
      <c r="T23" s="104">
        <v>807210</v>
      </c>
      <c r="U23" s="13">
        <f>ROUND(D23+F23+N23+P23+R23+T23,2)</f>
        <v>16364830.75</v>
      </c>
      <c r="V23" s="38">
        <v>13720272.05</v>
      </c>
      <c r="W23" s="75">
        <v>0</v>
      </c>
      <c r="X23" s="75">
        <v>0</v>
      </c>
      <c r="Y23" s="75">
        <f>ROUND(W23+X23,2)</f>
        <v>0</v>
      </c>
      <c r="Z23" s="76">
        <f>V23-U23</f>
        <v>-2644558.6999999993</v>
      </c>
    </row>
    <row r="24" spans="1:27" ht="12.75">
      <c r="A24" s="14">
        <v>17</v>
      </c>
      <c r="B24" s="39" t="s">
        <v>65</v>
      </c>
      <c r="C24" s="17"/>
      <c r="D24" s="47">
        <f>9532000-729681.74+1700000-151579.71</f>
        <v>10350738.549999999</v>
      </c>
      <c r="E24" s="77"/>
      <c r="F24" s="104">
        <f>200000-6434.75+25390+5870</f>
        <v>224825.25</v>
      </c>
      <c r="G24" s="47"/>
      <c r="H24" s="47">
        <f>1400000+17558.91+77479.27</f>
        <v>1495038.18</v>
      </c>
      <c r="I24" s="47"/>
      <c r="J24" s="47">
        <f>91570+4931.86-7134.64</f>
        <v>89367.22</v>
      </c>
      <c r="K24" s="99"/>
      <c r="L24" s="104">
        <v>72680</v>
      </c>
      <c r="M24" s="30"/>
      <c r="N24" s="13">
        <f>ROUND(H24+J24+L24,2)</f>
        <v>1657085.4</v>
      </c>
      <c r="O24" s="17"/>
      <c r="P24" s="50">
        <v>0</v>
      </c>
      <c r="Q24" s="17"/>
      <c r="R24" s="50">
        <v>0</v>
      </c>
      <c r="S24" s="99"/>
      <c r="T24" s="104">
        <v>0</v>
      </c>
      <c r="U24" s="13">
        <f>ROUND(D24+F24+N24+P24+R24+T24,2)</f>
        <v>12232649.2</v>
      </c>
      <c r="V24" s="38">
        <v>12826595.48</v>
      </c>
      <c r="W24" s="75"/>
      <c r="X24" s="75"/>
      <c r="Y24" s="75">
        <f>ROUND(W24+X24,2)</f>
        <v>0</v>
      </c>
      <c r="Z24" s="76">
        <f>V24-U24</f>
        <v>593946.2800000012</v>
      </c>
      <c r="AA24" s="51"/>
    </row>
    <row r="25" spans="1:26" ht="12.75">
      <c r="A25" s="14">
        <v>18</v>
      </c>
      <c r="B25" s="39" t="s">
        <v>67</v>
      </c>
      <c r="C25" s="17"/>
      <c r="D25" s="47">
        <v>9814117.14</v>
      </c>
      <c r="E25" s="77"/>
      <c r="F25" s="104">
        <v>0</v>
      </c>
      <c r="G25" s="77"/>
      <c r="H25" s="104">
        <f>1382440-77479.27+9000</f>
        <v>1313960.73</v>
      </c>
      <c r="I25" s="77"/>
      <c r="J25" s="47">
        <f>83490+7134.64-9000</f>
        <v>81624.64</v>
      </c>
      <c r="K25" s="77"/>
      <c r="L25" s="104">
        <v>0</v>
      </c>
      <c r="M25" s="30"/>
      <c r="N25" s="13">
        <f>ROUND(H25+J25+L25,2)</f>
        <v>1395585.37</v>
      </c>
      <c r="O25" s="17"/>
      <c r="P25" s="49">
        <v>0</v>
      </c>
      <c r="Q25" s="17"/>
      <c r="R25" s="49">
        <v>0</v>
      </c>
      <c r="S25" s="99"/>
      <c r="T25" s="104">
        <v>0</v>
      </c>
      <c r="U25" s="13">
        <f>ROUND(D25+F25+N25+P25+R25+T25,2)</f>
        <v>11209702.51</v>
      </c>
      <c r="V25" s="105">
        <v>11794630.31</v>
      </c>
      <c r="W25" s="86"/>
      <c r="X25" s="86"/>
      <c r="Y25" s="86">
        <f>ROUND(W25+X25,2)</f>
        <v>0</v>
      </c>
      <c r="Z25" s="76">
        <f>V25-U25</f>
        <v>584927.8000000007</v>
      </c>
    </row>
    <row r="26" spans="1:26" ht="12.75">
      <c r="A26" s="18" t="s">
        <v>9</v>
      </c>
      <c r="B26" s="52" t="s">
        <v>68</v>
      </c>
      <c r="C26" s="13">
        <f>11441470+11132000+11962000</f>
        <v>34535470</v>
      </c>
      <c r="D26" s="13">
        <f>D23+D24+D25</f>
        <v>33936007.43</v>
      </c>
      <c r="E26" s="13">
        <f>454500-7660+25390+5870</f>
        <v>478100</v>
      </c>
      <c r="F26" s="13">
        <f>F23+F24+F25</f>
        <v>478100</v>
      </c>
      <c r="G26" s="13">
        <f>859980+1940020+1382440+9000</f>
        <v>4191440</v>
      </c>
      <c r="H26" s="13">
        <f>H23+H24+H25</f>
        <v>4201179.949999999</v>
      </c>
      <c r="I26" s="13">
        <f>57680+122320+83490-9000</f>
        <v>254490</v>
      </c>
      <c r="J26" s="13">
        <f>J23+J24+J25</f>
        <v>256065.08000000002</v>
      </c>
      <c r="K26" s="13">
        <f>55940+72680</f>
        <v>128620</v>
      </c>
      <c r="L26" s="13">
        <f>L23+L24+L25</f>
        <v>128620</v>
      </c>
      <c r="M26" s="13">
        <f>ROUND(G26+I26+K26,2)</f>
        <v>4574550</v>
      </c>
      <c r="N26" s="13">
        <f>N23+N24+N25</f>
        <v>4585865.03</v>
      </c>
      <c r="O26" s="13">
        <v>0</v>
      </c>
      <c r="P26" s="13">
        <f>P23+P24+P25</f>
        <v>0</v>
      </c>
      <c r="Q26" s="13">
        <v>0</v>
      </c>
      <c r="R26" s="13">
        <f>R23+R24+R25</f>
        <v>0</v>
      </c>
      <c r="S26" s="13">
        <f>807210</f>
        <v>807210</v>
      </c>
      <c r="T26" s="13">
        <f>T23+T24+T25</f>
        <v>807210</v>
      </c>
      <c r="U26" s="13">
        <f>ROUND(U23+U24+U25,2)</f>
        <v>39807182.46</v>
      </c>
      <c r="V26" s="13">
        <f>V23+V24+V25</f>
        <v>38341497.84</v>
      </c>
      <c r="W26" s="13">
        <f>W23+W24+W25</f>
        <v>0</v>
      </c>
      <c r="X26" s="13">
        <f>X23+X24+X25</f>
        <v>0</v>
      </c>
      <c r="Y26" s="13">
        <f>Y23+Y24+Y25</f>
        <v>0</v>
      </c>
      <c r="Z26" s="74">
        <f>SUM(Z22:Z25)</f>
        <v>1980243.5200000023</v>
      </c>
    </row>
    <row r="27" spans="1:26" ht="25.5">
      <c r="A27" s="18" t="s">
        <v>10</v>
      </c>
      <c r="B27" s="52" t="s">
        <v>69</v>
      </c>
      <c r="C27" s="13">
        <f aca="true" t="shared" si="1" ref="C27:Y27">ROUND(C12+C16+C21+C26,2)</f>
        <v>111119470</v>
      </c>
      <c r="D27" s="13">
        <f t="shared" si="1"/>
        <v>110520007.43</v>
      </c>
      <c r="E27" s="13">
        <f t="shared" si="1"/>
        <v>2268260</v>
      </c>
      <c r="F27" s="13">
        <f t="shared" si="1"/>
        <v>2268260</v>
      </c>
      <c r="G27" s="13">
        <f t="shared" si="1"/>
        <v>14954670</v>
      </c>
      <c r="H27" s="13">
        <f t="shared" si="1"/>
        <v>14954670</v>
      </c>
      <c r="I27" s="13">
        <f t="shared" si="1"/>
        <v>966090</v>
      </c>
      <c r="J27" s="13">
        <f t="shared" si="1"/>
        <v>966090</v>
      </c>
      <c r="K27" s="13">
        <f t="shared" si="1"/>
        <v>671690</v>
      </c>
      <c r="L27" s="13">
        <f t="shared" si="1"/>
        <v>671690</v>
      </c>
      <c r="M27" s="13">
        <f t="shared" si="1"/>
        <v>16592450</v>
      </c>
      <c r="N27" s="13">
        <f t="shared" si="1"/>
        <v>16592450</v>
      </c>
      <c r="O27" s="13">
        <f t="shared" si="1"/>
        <v>50</v>
      </c>
      <c r="P27" s="13">
        <f t="shared" si="1"/>
        <v>38.57</v>
      </c>
      <c r="Q27" s="13">
        <f t="shared" si="1"/>
        <v>70</v>
      </c>
      <c r="R27" s="13">
        <f t="shared" si="1"/>
        <v>41.89</v>
      </c>
      <c r="S27" s="13">
        <f t="shared" si="1"/>
        <v>807210</v>
      </c>
      <c r="T27" s="13">
        <f t="shared" si="1"/>
        <v>807210</v>
      </c>
      <c r="U27" s="13">
        <f t="shared" si="1"/>
        <v>130188007.89</v>
      </c>
      <c r="V27" s="13">
        <f t="shared" si="1"/>
        <v>132024176.59</v>
      </c>
      <c r="W27" s="13">
        <f t="shared" si="1"/>
        <v>38.57</v>
      </c>
      <c r="X27" s="13">
        <f t="shared" si="1"/>
        <v>41.89</v>
      </c>
      <c r="Y27" s="13">
        <f t="shared" si="1"/>
        <v>80.46</v>
      </c>
      <c r="Z27" s="74">
        <f>Z26</f>
        <v>1980243.5200000023</v>
      </c>
    </row>
    <row r="28" spans="1:27" ht="25.5">
      <c r="A28" s="55" t="s">
        <v>70</v>
      </c>
      <c r="B28" s="25" t="s">
        <v>28</v>
      </c>
      <c r="C28" s="25"/>
      <c r="D28" s="28">
        <f>ROUND(D8+D9+D11+D10+D13+D14+D15+D18+D19+D20+D23+D24+D25,2)</f>
        <v>110520007.43</v>
      </c>
      <c r="E28" s="28"/>
      <c r="F28" s="28">
        <f>ROUND(F8+F9+F11+F10+F13+F14+F15+F18+F19+F20+F23+F24+F25,2)</f>
        <v>2268260</v>
      </c>
      <c r="G28" s="24"/>
      <c r="H28" s="28">
        <f>ROUND(H8+H9+H11+H10+H13+H14+H15+H18+H19+H20+H23+H24+H25,2)</f>
        <v>14954670</v>
      </c>
      <c r="I28" s="28"/>
      <c r="J28" s="28">
        <f>ROUND(J8+J9+J11+J10+J13+J14+J15+J18+J19+J20+J23+J24+J25,2)</f>
        <v>966090</v>
      </c>
      <c r="K28" s="24"/>
      <c r="L28" s="28">
        <f>ROUND(L8+L9+L11+L10+L13+L14+L15+L18+L19+L20+L23+L24+L25,2)</f>
        <v>671690</v>
      </c>
      <c r="M28" s="28"/>
      <c r="N28" s="13">
        <f aca="true" t="shared" si="2" ref="N28:N33">ROUND(H28+J28+L28,2)</f>
        <v>16592450</v>
      </c>
      <c r="O28" s="25"/>
      <c r="P28" s="28">
        <f>ROUND(P8+P9+P11+P10+P13+P14+P15+P18+P19+P20+P23+P24+P25,2)</f>
        <v>38.57</v>
      </c>
      <c r="Q28" s="25"/>
      <c r="R28" s="28">
        <f>ROUND(R8+R9+R11+R10+R13+R14+R15+R18+R19+R20+R23+R24+R25,2)</f>
        <v>41.89</v>
      </c>
      <c r="S28" s="25"/>
      <c r="T28" s="28">
        <f>ROUND(T8+T9+T11+T10+T13+T14+T15+T18+T19+T20+T23+T24+T25,2)</f>
        <v>807210</v>
      </c>
      <c r="U28" s="13">
        <f>ROUND(D28+F28+N28+P28+R28+T28,2)</f>
        <v>130188007.89</v>
      </c>
      <c r="V28" s="28">
        <f>ROUND(V8+V9+V10+V13+V14+V15+V18+V19+V20+V23+V24+V25,2)</f>
        <v>132024176.59</v>
      </c>
      <c r="W28" s="87"/>
      <c r="X28" s="87"/>
      <c r="Y28" s="87"/>
      <c r="Z28" s="76">
        <f>V28-U28+U11</f>
        <v>1980243.520000003</v>
      </c>
      <c r="AA28" s="51"/>
    </row>
    <row r="29" spans="1:26" ht="12.75">
      <c r="A29" s="14" t="s">
        <v>11</v>
      </c>
      <c r="B29" s="26" t="s">
        <v>29</v>
      </c>
      <c r="C29" s="26"/>
      <c r="D29" s="28">
        <f>ROUND(D7-D27,2)</f>
        <v>599462.57</v>
      </c>
      <c r="E29" s="28"/>
      <c r="F29" s="28">
        <f aca="true" t="shared" si="3" ref="F29:L29">ROUND(F7-F28-F29+F31,2)</f>
        <v>0</v>
      </c>
      <c r="G29" s="28"/>
      <c r="H29" s="28">
        <f t="shared" si="3"/>
        <v>0</v>
      </c>
      <c r="I29" s="28"/>
      <c r="J29" s="28">
        <f t="shared" si="3"/>
        <v>0</v>
      </c>
      <c r="K29" s="28"/>
      <c r="L29" s="28">
        <f t="shared" si="3"/>
        <v>0</v>
      </c>
      <c r="M29" s="28"/>
      <c r="N29" s="13">
        <f t="shared" si="2"/>
        <v>0</v>
      </c>
      <c r="O29" s="26"/>
      <c r="P29" s="28">
        <f>ROUND(P7-P28,2)</f>
        <v>0</v>
      </c>
      <c r="Q29" s="26"/>
      <c r="R29" s="28">
        <f>ROUND(R7-R28,2)</f>
        <v>0</v>
      </c>
      <c r="S29" s="26"/>
      <c r="T29" s="28">
        <f>ROUND(T7-T28,2)</f>
        <v>0</v>
      </c>
      <c r="U29" s="13">
        <f>ROUND(D29+F29+N29+P29+R29+T29,2)</f>
        <v>599462.57</v>
      </c>
      <c r="V29" s="28"/>
      <c r="W29" s="87"/>
      <c r="X29" s="87"/>
      <c r="Y29" s="87"/>
      <c r="Z29" s="88"/>
    </row>
    <row r="30" spans="1:26" s="60" customFormat="1" ht="12.75">
      <c r="A30" s="56">
        <v>23</v>
      </c>
      <c r="B30" s="57" t="s">
        <v>49</v>
      </c>
      <c r="C30" s="57"/>
      <c r="D30" s="58">
        <f>ROUND(D7-D27-D29,2)</f>
        <v>0</v>
      </c>
      <c r="E30" s="58"/>
      <c r="F30" s="58">
        <f>ROUND(F7-F27-F29,2)</f>
        <v>0</v>
      </c>
      <c r="G30" s="58"/>
      <c r="H30" s="58">
        <f>ROUND(H7-H27-H29,2)</f>
        <v>0</v>
      </c>
      <c r="I30" s="58"/>
      <c r="J30" s="58">
        <f>ROUND(J7-J27-J29,2)</f>
        <v>0</v>
      </c>
      <c r="K30" s="58"/>
      <c r="L30" s="58">
        <f>ROUND(L7-L27-L29,2)</f>
        <v>0</v>
      </c>
      <c r="M30" s="58"/>
      <c r="N30" s="59">
        <f t="shared" si="2"/>
        <v>0</v>
      </c>
      <c r="O30" s="57"/>
      <c r="P30" s="58">
        <f>O7-P7</f>
        <v>11.43</v>
      </c>
      <c r="Q30" s="57"/>
      <c r="R30" s="58">
        <f>Q7-R7</f>
        <v>28.11</v>
      </c>
      <c r="S30" s="57"/>
      <c r="T30" s="58">
        <f>T7-T27</f>
        <v>0</v>
      </c>
      <c r="U30" s="59">
        <f>ROUND(D30+F30+N30+P30+R30+T30,2)</f>
        <v>39.54</v>
      </c>
      <c r="V30" s="58"/>
      <c r="W30" s="89"/>
      <c r="X30" s="89"/>
      <c r="Y30" s="89"/>
      <c r="Z30" s="90"/>
    </row>
    <row r="31" spans="1:26" s="42" customFormat="1" ht="12.75">
      <c r="A31" s="91">
        <v>24</v>
      </c>
      <c r="B31" s="40" t="s">
        <v>71</v>
      </c>
      <c r="C31" s="40"/>
      <c r="D31" s="41">
        <v>0</v>
      </c>
      <c r="E31" s="41"/>
      <c r="F31" s="106">
        <f>537.22+209665.81</f>
        <v>210203.03</v>
      </c>
      <c r="G31" s="28"/>
      <c r="H31" s="106">
        <v>192522.36</v>
      </c>
      <c r="I31" s="28"/>
      <c r="J31" s="106">
        <v>16693.1</v>
      </c>
      <c r="K31" s="28"/>
      <c r="L31" s="106">
        <f>35897.24+78654.58</f>
        <v>114551.82</v>
      </c>
      <c r="M31" s="41"/>
      <c r="N31" s="13">
        <f t="shared" si="2"/>
        <v>323767.28</v>
      </c>
      <c r="O31" s="40"/>
      <c r="P31" s="41">
        <v>0</v>
      </c>
      <c r="Q31" s="40"/>
      <c r="R31" s="41">
        <v>0</v>
      </c>
      <c r="S31" s="40"/>
      <c r="T31" s="104">
        <f>764286.22+594595.04+87391.95</f>
        <v>1446273.21</v>
      </c>
      <c r="U31" s="59">
        <f>ROUND(D31+F31+N31+P31+R31+T31,2)</f>
        <v>1980243.52</v>
      </c>
      <c r="V31" s="41"/>
      <c r="W31" s="92"/>
      <c r="X31" s="92"/>
      <c r="Y31" s="92"/>
      <c r="Z31" s="90"/>
    </row>
    <row r="32" spans="1:26" ht="12.75">
      <c r="A32" s="61">
        <v>25</v>
      </c>
      <c r="B32" s="25" t="s">
        <v>30</v>
      </c>
      <c r="C32" s="25"/>
      <c r="D32" s="38">
        <v>7980939.34</v>
      </c>
      <c r="E32" s="38"/>
      <c r="F32" s="38">
        <v>193807</v>
      </c>
      <c r="G32" s="17"/>
      <c r="H32" s="38">
        <v>740894.55</v>
      </c>
      <c r="I32" s="17"/>
      <c r="J32" s="38">
        <v>48830.46</v>
      </c>
      <c r="K32" s="17"/>
      <c r="L32" s="38">
        <v>39062.55</v>
      </c>
      <c r="M32" s="17"/>
      <c r="N32" s="13">
        <f t="shared" si="2"/>
        <v>828787.56</v>
      </c>
      <c r="O32" s="25"/>
      <c r="P32" s="38"/>
      <c r="Q32" s="25"/>
      <c r="R32" s="38"/>
      <c r="S32" s="25"/>
      <c r="T32" s="38">
        <v>39062.55</v>
      </c>
      <c r="U32" s="13">
        <f>ROUND(D32+F32+N32+P32+R32+T32,2)</f>
        <v>9042596.45</v>
      </c>
      <c r="V32" s="28"/>
      <c r="W32" s="87"/>
      <c r="X32" s="87"/>
      <c r="Y32" s="87"/>
      <c r="Z32" s="88"/>
    </row>
    <row r="33" spans="1:26" ht="26.25" thickBot="1">
      <c r="A33" s="107" t="s">
        <v>53</v>
      </c>
      <c r="B33" s="108" t="s">
        <v>31</v>
      </c>
      <c r="C33" s="108"/>
      <c r="D33" s="109">
        <f>ROUND((D28+D31-D11)/12,2)</f>
        <v>9210000.62</v>
      </c>
      <c r="E33" s="109"/>
      <c r="F33" s="109">
        <f>ROUND((F28+F31-F11)/12,2)</f>
        <v>206481.58</v>
      </c>
      <c r="G33" s="110"/>
      <c r="H33" s="109">
        <f>ROUND((H28+H31-H11)/12,2)</f>
        <v>1251315.64</v>
      </c>
      <c r="I33" s="110"/>
      <c r="J33" s="109">
        <f>ROUND((J28+J31-J11)/12,2)</f>
        <v>81343.96</v>
      </c>
      <c r="K33" s="110"/>
      <c r="L33" s="109">
        <f>ROUND((L28+L31-L11)/12,2)</f>
        <v>65075.94</v>
      </c>
      <c r="M33" s="110"/>
      <c r="N33" s="111">
        <f t="shared" si="2"/>
        <v>1397735.54</v>
      </c>
      <c r="O33" s="108"/>
      <c r="P33" s="109"/>
      <c r="Q33" s="108"/>
      <c r="R33" s="109"/>
      <c r="S33" s="109">
        <f>ROUND((S28+S31-S11)/2,2)</f>
        <v>0</v>
      </c>
      <c r="T33" s="109">
        <f>ROUND((T28+T31-T11)/3,2)</f>
        <v>751161.07</v>
      </c>
      <c r="U33" s="111">
        <f>ROUND(D33+F33+N33+P33+R33+T33,2)</f>
        <v>11565378.81</v>
      </c>
      <c r="V33" s="109"/>
      <c r="W33" s="112"/>
      <c r="X33" s="112"/>
      <c r="Y33" s="112"/>
      <c r="Z33" s="113"/>
    </row>
    <row r="34" spans="1:26" ht="16.5" thickBot="1">
      <c r="A34" s="114"/>
      <c r="B34" s="115" t="s">
        <v>72</v>
      </c>
      <c r="C34" s="116"/>
      <c r="D34" s="117">
        <f>ROUND((D28/D7)*100,2)</f>
        <v>99.46</v>
      </c>
      <c r="E34" s="117"/>
      <c r="F34" s="118">
        <f>ROUND((F28/F7)*100,2)</f>
        <v>100</v>
      </c>
      <c r="G34" s="117"/>
      <c r="H34" s="119">
        <f>ROUND((H28/H7)*100,2)</f>
        <v>100</v>
      </c>
      <c r="I34" s="116"/>
      <c r="J34" s="119">
        <f>ROUND((J28/J7)*100,2)</f>
        <v>100</v>
      </c>
      <c r="K34" s="116"/>
      <c r="L34" s="119">
        <f>ROUND((L28/L7)*100,2)</f>
        <v>100</v>
      </c>
      <c r="M34" s="116"/>
      <c r="N34" s="119">
        <f>ROUND((N28/N7)*100,2)</f>
        <v>100</v>
      </c>
      <c r="O34" s="116"/>
      <c r="P34" s="120">
        <f>ROUND((P28/(O7-P30))*100,2)</f>
        <v>100</v>
      </c>
      <c r="Q34" s="116"/>
      <c r="R34" s="120">
        <f>ROUND((R28/(Q7-R30))*100,2)</f>
        <v>100</v>
      </c>
      <c r="S34" s="116"/>
      <c r="T34" s="119">
        <f>ROUND((T28/T7)*100,2)</f>
        <v>100</v>
      </c>
      <c r="U34" s="116"/>
      <c r="V34" s="116"/>
      <c r="W34" s="116"/>
      <c r="X34" s="116"/>
      <c r="Y34" s="116"/>
      <c r="Z34" s="121"/>
    </row>
    <row r="35" spans="3:34" ht="14.25">
      <c r="C35" s="95"/>
      <c r="D35" s="122"/>
      <c r="E35" s="51"/>
      <c r="F35" s="51"/>
      <c r="G35" s="51"/>
      <c r="H35" s="51"/>
      <c r="I35" s="123"/>
      <c r="J35" s="51"/>
      <c r="K35" s="51"/>
      <c r="L35" s="51"/>
      <c r="P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3:22" ht="15.75">
      <c r="C36" s="95"/>
      <c r="H36" s="126"/>
      <c r="J36" s="126"/>
      <c r="L36" s="51"/>
      <c r="V36" s="127"/>
    </row>
    <row r="37" spans="3:22" ht="15.75">
      <c r="C37" s="95"/>
      <c r="H37" s="51"/>
      <c r="J37" s="51"/>
      <c r="K37" s="51"/>
      <c r="L37" s="51"/>
      <c r="V37" s="96"/>
    </row>
    <row r="38" spans="3:28" ht="14.25">
      <c r="C38" s="95"/>
      <c r="S38" s="27"/>
      <c r="Z38" s="2"/>
      <c r="AB38" s="1"/>
    </row>
    <row r="39" spans="3:28" ht="14.25">
      <c r="C39" s="95"/>
      <c r="S39" s="1"/>
      <c r="Z39" s="2"/>
      <c r="AB39" s="1"/>
    </row>
    <row r="40" ht="15.75">
      <c r="V40" s="96"/>
    </row>
    <row r="41" ht="15.75">
      <c r="V41" s="96"/>
    </row>
  </sheetData>
  <sheetProtection/>
  <mergeCells count="3">
    <mergeCell ref="C2:R2"/>
    <mergeCell ref="C3:R3"/>
    <mergeCell ref="AA9:AB9"/>
  </mergeCells>
  <printOptions/>
  <pageMargins left="0.15748031496062992" right="0.15748031496062992" top="0.5118110236220472" bottom="0.984251968503937" header="0.5118110236220472" footer="0.5118110236220472"/>
  <pageSetup horizontalDpi="600" verticalDpi="600" orientation="landscape" paperSize="9" scale="58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2023-11-01T09:33:22Z</cp:lastPrinted>
  <dcterms:created xsi:type="dcterms:W3CDTF">2019-01-29T08:52:26Z</dcterms:created>
  <dcterms:modified xsi:type="dcterms:W3CDTF">2024-01-29T07:09:15Z</dcterms:modified>
  <cp:category/>
  <cp:version/>
  <cp:contentType/>
  <cp:contentStatus/>
</cp:coreProperties>
</file>