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'Foaie1'!$A:$B,'Foaie1'!$5:$6</definedName>
  </definedNames>
  <calcPr fullCalcOnLoad="1"/>
</workbook>
</file>

<file path=xl/sharedStrings.xml><?xml version="1.0" encoding="utf-8"?>
<sst xmlns="http://schemas.openxmlformats.org/spreadsheetml/2006/main" count="70" uniqueCount="70">
  <si>
    <t>CASA DE ASIGURĂRI DE SĂNĂTATE OLT</t>
  </si>
  <si>
    <t>SITUATIA</t>
  </si>
  <si>
    <t>Nr. crt.</t>
  </si>
  <si>
    <t>Indicatori/perioadă</t>
  </si>
  <si>
    <t>DIFERENTE CONSUM RAPORTAT- CONSUM VALIDAT</t>
  </si>
  <si>
    <t>12=6+8+10</t>
  </si>
  <si>
    <t>13=7+9+11</t>
  </si>
  <si>
    <t>Consum mediu lunar înregistrat AN 2023</t>
  </si>
  <si>
    <t>20=3+5+13+15+19</t>
  </si>
  <si>
    <t xml:space="preserve">Limite credite aprobate - activitate curentă </t>
  </si>
  <si>
    <t>CREDITE ANGAJAMENT REALIZATE AN 2024 - ACTIVITATE CURENTA</t>
  </si>
  <si>
    <t xml:space="preserve">Limite credite aprobate - 40%MS </t>
  </si>
  <si>
    <t>CREDITE ANGAJAMENT REALIZATE AN 2024 - 40% MS</t>
  </si>
  <si>
    <t xml:space="preserve">Limite credite aprobate - DCI COST VOLUM </t>
  </si>
  <si>
    <t xml:space="preserve">Limite credite aprobate - 50% COST VOLUM </t>
  </si>
  <si>
    <t>CREDITE ANGAJAMENT REALIZATE AN 2024- COST VOLUM 50% PENS</t>
  </si>
  <si>
    <t xml:space="preserve">Limite credite aprobate - 40% COST VOLUM </t>
  </si>
  <si>
    <t>CREDITE ANGAJAMENT REALIZATE AN 2024 - COST VOLUM 40% PENS</t>
  </si>
  <si>
    <t xml:space="preserve">TOTAL limite credite aprobate - COST VOLUM </t>
  </si>
  <si>
    <t>TOTAL CREDITE ANGAJAM. REALIZATE AN 2024 - COST VOLUM</t>
  </si>
  <si>
    <t>Limite credite aprobate - ART. 1(4)OUG 15/2022- (C+G)</t>
  </si>
  <si>
    <t>CREDITE ANGAJAMENT REALIZATE AN 2024 - ART.1 (4) OUG 15 C+G</t>
  </si>
  <si>
    <t>Limite credite aprobate - OUG 15/2022- coplata</t>
  </si>
  <si>
    <t>CREDITE ANGAJAMENT REALIZATE AN 2024 - OUG 15 coplata</t>
  </si>
  <si>
    <t xml:space="preserve">Limite credite aprobate -VACCINURI </t>
  </si>
  <si>
    <t>CREDITE ANGAJAMENT REALIZATE AN 2024- VACCINURI</t>
  </si>
  <si>
    <t>TOTAL CONSUM VALIDAT AN 2024</t>
  </si>
  <si>
    <t>TOTAL CONSUM RAPORTAT SIUI AN 2024</t>
  </si>
  <si>
    <t>TOTAL C+G   VALIDAT AN 2024</t>
  </si>
  <si>
    <t>22=21-20</t>
  </si>
  <si>
    <t>Credite angajament aprobate an 2024, din care:</t>
  </si>
  <si>
    <t>Validat ian.2024 art. 196(4) HG521/2023-decemb.2023 VH476</t>
  </si>
  <si>
    <t>Validat feb.2024 art. 196(4) HG521/2023-cost volum VH560</t>
  </si>
  <si>
    <t>ianuarie 2024- consum validat</t>
  </si>
  <si>
    <t>martie 2024</t>
  </si>
  <si>
    <t>7=2+..+6</t>
  </si>
  <si>
    <t xml:space="preserve">Trim. I 2024 </t>
  </si>
  <si>
    <t>aprilie 2024</t>
  </si>
  <si>
    <t>mai 2024</t>
  </si>
  <si>
    <t>iunie 2024</t>
  </si>
  <si>
    <t>11=8+9+10</t>
  </si>
  <si>
    <t>Trim. II 2024</t>
  </si>
  <si>
    <t>12=7+11</t>
  </si>
  <si>
    <t>Total sem. I 2024</t>
  </si>
  <si>
    <t>iulie 2024</t>
  </si>
  <si>
    <t>august 2024</t>
  </si>
  <si>
    <t>septembrie 2024</t>
  </si>
  <si>
    <t>16=13+14+15</t>
  </si>
  <si>
    <t>Total trim. III 2024</t>
  </si>
  <si>
    <t>17=12+16</t>
  </si>
  <si>
    <t>Total 9 luni 2024</t>
  </si>
  <si>
    <t>octombrie 2024</t>
  </si>
  <si>
    <t>noiembrie 2024</t>
  </si>
  <si>
    <t>decembrie 2024</t>
  </si>
  <si>
    <t>21=18+19+20</t>
  </si>
  <si>
    <t>Total trim. IV 2024</t>
  </si>
  <si>
    <t>22=7+11+16+ 21</t>
  </si>
  <si>
    <t>TOTAL CREDITE ANGAJATE AN 2024</t>
  </si>
  <si>
    <t>Consum 2024 inregistrat in limita credite angajament AN 2024 (inclusiv art. 196)</t>
  </si>
  <si>
    <t>24=22-23</t>
  </si>
  <si>
    <t>Credite angajate si neconsumate AN 2024</t>
  </si>
  <si>
    <t>25=1-22</t>
  </si>
  <si>
    <t>Depășire la data de 31.12.2023 (consum nevalidat )</t>
  </si>
  <si>
    <t>28=(23-2-3)/ nr. luni</t>
  </si>
  <si>
    <t>Consum mediu lunar înregistrat AN 2024</t>
  </si>
  <si>
    <r>
      <t xml:space="preserve">REPARTIZARII LUNARE A CREDITELOR DE ANGAJAMENT PENTRU ELIBERARE MEDICAMENTE CU ŞI FĂRĂ CONTRIBUŢIE PERSONALĂ PENTRU PERIOADA 01.01.2024-30.04.2024, CA URMARE A APROBĂRII LIMITEI CREDITELOR DE ANGAJAMENT PENTRU </t>
    </r>
    <r>
      <rPr>
        <b/>
        <u val="single"/>
        <sz val="10"/>
        <rFont val="Times New Roman"/>
        <family val="1"/>
      </rPr>
      <t>LUNA APRILIE 2024</t>
    </r>
    <r>
      <rPr>
        <b/>
        <sz val="10"/>
        <rFont val="Times New Roman"/>
        <family val="1"/>
      </rPr>
      <t xml:space="preserve">, CONFORM ADRESEI CNAS NR. </t>
    </r>
    <r>
      <rPr>
        <b/>
        <u val="single"/>
        <sz val="10"/>
        <rFont val="Times New Roman"/>
        <family val="1"/>
      </rPr>
      <t>VH 2137/29.03.2024</t>
    </r>
    <r>
      <rPr>
        <b/>
        <sz val="10"/>
        <rFont val="Times New Roman"/>
        <family val="1"/>
      </rPr>
      <t xml:space="preserve">  ȘI REFERATULUI CAS OLT NR. </t>
    </r>
    <r>
      <rPr>
        <b/>
        <u val="single"/>
        <sz val="10"/>
        <rFont val="Times New Roman"/>
        <family val="1"/>
      </rPr>
      <t>DG154/01.04.2024</t>
    </r>
  </si>
  <si>
    <t>CREDITE ANGAJAM. REALIZATE AN 2024- COST VOLUM (FARA PENS 90%)</t>
  </si>
  <si>
    <t>februarie 2024- consum validat</t>
  </si>
  <si>
    <t>23=2+3+4+5</t>
  </si>
  <si>
    <t>CREDITE RAMASE DE ANGAJAT AN 2024 (mai - iunie 2024):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</si>
</sst>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vertical="top"/>
    </xf>
    <xf numFmtId="0" fontId="1" fillId="33" borderId="12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vertical="top"/>
    </xf>
    <xf numFmtId="0" fontId="6" fillId="34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1" fontId="2" fillId="34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1" fillId="34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/>
    </xf>
    <xf numFmtId="4" fontId="1" fillId="33" borderId="14" xfId="0" applyNumberFormat="1" applyFont="1" applyFill="1" applyBorder="1" applyAlignment="1">
      <alignment vertical="top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/>
    </xf>
    <xf numFmtId="4" fontId="7" fillId="33" borderId="13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4" fontId="2" fillId="35" borderId="13" xfId="0" applyNumberFormat="1" applyFont="1" applyFill="1" applyBorder="1" applyAlignment="1">
      <alignment horizontal="right" vertical="top"/>
    </xf>
    <xf numFmtId="4" fontId="2" fillId="35" borderId="13" xfId="0" applyNumberFormat="1" applyFont="1" applyFill="1" applyBorder="1" applyAlignment="1">
      <alignment vertical="top"/>
    </xf>
    <xf numFmtId="4" fontId="51" fillId="35" borderId="13" xfId="0" applyNumberFormat="1" applyFont="1" applyFill="1" applyBorder="1" applyAlignment="1">
      <alignment horizontal="right" vertical="top"/>
    </xf>
    <xf numFmtId="4" fontId="2" fillId="35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1" fillId="33" borderId="13" xfId="0" applyNumberFormat="1" applyFont="1" applyFill="1" applyBorder="1" applyAlignment="1">
      <alignment vertical="top"/>
    </xf>
    <xf numFmtId="4" fontId="2" fillId="35" borderId="13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51" fillId="0" borderId="13" xfId="0" applyNumberFormat="1" applyFont="1" applyFill="1" applyBorder="1" applyAlignment="1">
      <alignment vertical="top"/>
    </xf>
    <xf numFmtId="4" fontId="51" fillId="33" borderId="13" xfId="0" applyNumberFormat="1" applyFont="1" applyFill="1" applyBorder="1" applyAlignment="1">
      <alignment vertical="top"/>
    </xf>
    <xf numFmtId="0" fontId="51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5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3" fillId="0" borderId="15" xfId="0" applyFont="1" applyBorder="1" applyAlignment="1">
      <alignment horizontal="center" vertical="top" wrapText="1"/>
    </xf>
    <xf numFmtId="1" fontId="2" fillId="35" borderId="13" xfId="0" applyNumberFormat="1" applyFont="1" applyFill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4" fontId="51" fillId="33" borderId="16" xfId="0" applyNumberFormat="1" applyFont="1" applyFill="1" applyBorder="1" applyAlignment="1">
      <alignment vertical="top"/>
    </xf>
    <xf numFmtId="4" fontId="51" fillId="0" borderId="16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horizontal="right" vertical="top"/>
    </xf>
    <xf numFmtId="4" fontId="51" fillId="35" borderId="13" xfId="0" applyNumberFormat="1" applyFont="1" applyFill="1" applyBorder="1" applyAlignment="1">
      <alignment horizontal="right" vertical="top"/>
    </xf>
    <xf numFmtId="4" fontId="8" fillId="35" borderId="13" xfId="0" applyNumberFormat="1" applyFont="1" applyFill="1" applyBorder="1" applyAlignment="1">
      <alignment horizontal="right" vertical="top"/>
    </xf>
    <xf numFmtId="4" fontId="51" fillId="35" borderId="13" xfId="0" applyNumberFormat="1" applyFont="1" applyFill="1" applyBorder="1" applyAlignment="1">
      <alignment vertical="top"/>
    </xf>
    <xf numFmtId="4" fontId="51" fillId="33" borderId="16" xfId="0" applyNumberFormat="1" applyFont="1" applyFill="1" applyBorder="1" applyAlignment="1">
      <alignment horizontal="right" vertical="top"/>
    </xf>
    <xf numFmtId="4" fontId="1" fillId="35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horizontal="left" vertical="top"/>
    </xf>
    <xf numFmtId="0" fontId="52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52" fillId="0" borderId="17" xfId="0" applyFont="1" applyBorder="1" applyAlignment="1">
      <alignment vertical="top"/>
    </xf>
    <xf numFmtId="4" fontId="54" fillId="35" borderId="13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4" fontId="8" fillId="35" borderId="13" xfId="0" applyNumberFormat="1" applyFont="1" applyFill="1" applyBorder="1" applyAlignment="1">
      <alignment vertical="top"/>
    </xf>
    <xf numFmtId="0" fontId="6" fillId="34" borderId="15" xfId="0" applyFont="1" applyFill="1" applyBorder="1" applyAlignment="1">
      <alignment horizontal="center" vertical="top" wrapText="1"/>
    </xf>
    <xf numFmtId="1" fontId="2" fillId="34" borderId="16" xfId="0" applyNumberFormat="1" applyFont="1" applyFill="1" applyBorder="1" applyAlignment="1">
      <alignment horizontal="center" vertical="top"/>
    </xf>
    <xf numFmtId="4" fontId="1" fillId="33" borderId="16" xfId="0" applyNumberFormat="1" applyFont="1" applyFill="1" applyBorder="1" applyAlignment="1">
      <alignment vertical="top"/>
    </xf>
    <xf numFmtId="4" fontId="12" fillId="0" borderId="13" xfId="0" applyNumberFormat="1" applyFont="1" applyBorder="1" applyAlignment="1">
      <alignment horizontal="right" vertical="top"/>
    </xf>
    <xf numFmtId="4" fontId="12" fillId="35" borderId="13" xfId="0" applyNumberFormat="1" applyFont="1" applyFill="1" applyBorder="1" applyAlignment="1">
      <alignment horizontal="right" vertical="top"/>
    </xf>
    <xf numFmtId="4" fontId="12" fillId="35" borderId="13" xfId="0" applyNumberFormat="1" applyFont="1" applyFill="1" applyBorder="1" applyAlignment="1">
      <alignment vertical="top"/>
    </xf>
    <xf numFmtId="4" fontId="12" fillId="0" borderId="13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1" fillId="33" borderId="16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center" vertical="top" wrapText="1"/>
    </xf>
    <xf numFmtId="4" fontId="7" fillId="33" borderId="16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 vertical="top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/>
    </xf>
    <xf numFmtId="4" fontId="1" fillId="33" borderId="17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4" fontId="33" fillId="0" borderId="13" xfId="0" applyNumberFormat="1" applyFont="1" applyBorder="1" applyAlignment="1">
      <alignment horizontal="right" vertical="top"/>
    </xf>
    <xf numFmtId="4" fontId="33" fillId="35" borderId="13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H19">
      <selection activeCell="V44" sqref="V44"/>
    </sheetView>
  </sheetViews>
  <sheetFormatPr defaultColWidth="9.140625" defaultRowHeight="12.75"/>
  <cols>
    <col min="1" max="1" width="13.00390625" style="2" customWidth="1"/>
    <col min="2" max="2" width="42.421875" style="2" customWidth="1"/>
    <col min="3" max="3" width="13.28125" style="2" customWidth="1"/>
    <col min="4" max="4" width="13.8515625" style="2" customWidth="1"/>
    <col min="5" max="5" width="13.28125" style="2" customWidth="1"/>
    <col min="6" max="6" width="13.140625" style="2" customWidth="1"/>
    <col min="7" max="7" width="14.7109375" style="2" customWidth="1"/>
    <col min="8" max="8" width="12.421875" style="2" customWidth="1"/>
    <col min="9" max="9" width="15.00390625" style="2" customWidth="1"/>
    <col min="10" max="10" width="12.57421875" style="2" customWidth="1"/>
    <col min="11" max="11" width="14.28125" style="2" customWidth="1"/>
    <col min="12" max="12" width="12.7109375" style="2" customWidth="1"/>
    <col min="13" max="13" width="14.8515625" style="2" customWidth="1"/>
    <col min="14" max="14" width="12.28125" style="2" customWidth="1"/>
    <col min="15" max="15" width="13.28125" style="2" customWidth="1"/>
    <col min="16" max="16" width="13.421875" style="2" customWidth="1"/>
    <col min="17" max="18" width="12.28125" style="2" customWidth="1"/>
    <col min="19" max="19" width="13.28125" style="2" customWidth="1"/>
    <col min="20" max="20" width="12.28125" style="2" customWidth="1"/>
    <col min="21" max="21" width="14.7109375" style="2" bestFit="1" customWidth="1"/>
    <col min="22" max="22" width="13.421875" style="2" bestFit="1" customWidth="1"/>
    <col min="23" max="23" width="11.8515625" style="69" bestFit="1" customWidth="1"/>
    <col min="24" max="24" width="13.421875" style="2" customWidth="1"/>
    <col min="25" max="25" width="9.140625" style="2" customWidth="1"/>
    <col min="26" max="26" width="10.00390625" style="2" bestFit="1" customWidth="1"/>
    <col min="27" max="16384" width="9.140625" style="2" customWidth="1"/>
  </cols>
  <sheetData>
    <row r="1" spans="1:23" ht="12.75">
      <c r="A1" s="1" t="s">
        <v>0</v>
      </c>
      <c r="F1" s="3"/>
      <c r="P1" s="27"/>
      <c r="W1" s="64"/>
    </row>
    <row r="2" spans="2:23" ht="12.75">
      <c r="B2" s="65"/>
      <c r="C2" s="114" t="s">
        <v>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5"/>
      <c r="R2" s="65"/>
      <c r="S2" s="92"/>
      <c r="T2" s="92"/>
      <c r="U2" s="65"/>
      <c r="V2" s="65"/>
      <c r="W2" s="66"/>
    </row>
    <row r="3" spans="2:23" s="4" customFormat="1" ht="42.75" customHeight="1">
      <c r="B3" s="67"/>
      <c r="C3" s="113" t="s">
        <v>65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67"/>
      <c r="R3" s="67"/>
      <c r="S3" s="91"/>
      <c r="T3" s="91"/>
      <c r="U3" s="67"/>
      <c r="V3" s="67"/>
      <c r="W3" s="68"/>
    </row>
    <row r="4" ht="13.5" thickBot="1"/>
    <row r="5" spans="1:24" ht="86.25" customHeight="1">
      <c r="A5" s="5" t="s">
        <v>2</v>
      </c>
      <c r="B5" s="6" t="s">
        <v>3</v>
      </c>
      <c r="C5" s="6" t="s">
        <v>9</v>
      </c>
      <c r="D5" s="31" t="s">
        <v>10</v>
      </c>
      <c r="E5" s="6" t="s">
        <v>11</v>
      </c>
      <c r="F5" s="31" t="s">
        <v>12</v>
      </c>
      <c r="G5" s="6" t="s">
        <v>13</v>
      </c>
      <c r="H5" s="31" t="s">
        <v>66</v>
      </c>
      <c r="I5" s="6" t="s">
        <v>14</v>
      </c>
      <c r="J5" s="31" t="s">
        <v>15</v>
      </c>
      <c r="K5" s="6" t="s">
        <v>16</v>
      </c>
      <c r="L5" s="31" t="s">
        <v>17</v>
      </c>
      <c r="M5" s="6" t="s">
        <v>18</v>
      </c>
      <c r="N5" s="31" t="s">
        <v>19</v>
      </c>
      <c r="O5" s="6" t="s">
        <v>20</v>
      </c>
      <c r="P5" s="31" t="s">
        <v>21</v>
      </c>
      <c r="Q5" s="6" t="s">
        <v>22</v>
      </c>
      <c r="R5" s="31" t="s">
        <v>23</v>
      </c>
      <c r="S5" s="6" t="s">
        <v>24</v>
      </c>
      <c r="T5" s="31" t="s">
        <v>25</v>
      </c>
      <c r="U5" s="32" t="s">
        <v>26</v>
      </c>
      <c r="V5" s="6" t="s">
        <v>27</v>
      </c>
      <c r="W5" s="70" t="s">
        <v>4</v>
      </c>
      <c r="X5" s="94" t="s">
        <v>28</v>
      </c>
    </row>
    <row r="6" spans="1:24" ht="12.75">
      <c r="A6" s="7">
        <v>0</v>
      </c>
      <c r="B6" s="8">
        <v>1</v>
      </c>
      <c r="C6" s="8">
        <v>2</v>
      </c>
      <c r="D6" s="33">
        <v>3</v>
      </c>
      <c r="E6" s="8">
        <v>4</v>
      </c>
      <c r="F6" s="34">
        <v>5</v>
      </c>
      <c r="G6" s="8">
        <v>6</v>
      </c>
      <c r="H6" s="34">
        <v>7</v>
      </c>
      <c r="I6" s="9">
        <v>8</v>
      </c>
      <c r="J6" s="34">
        <v>9</v>
      </c>
      <c r="K6" s="8">
        <v>10</v>
      </c>
      <c r="L6" s="34">
        <v>11</v>
      </c>
      <c r="M6" s="9" t="s">
        <v>5</v>
      </c>
      <c r="N6" s="34" t="s">
        <v>6</v>
      </c>
      <c r="O6" s="71">
        <v>14</v>
      </c>
      <c r="P6" s="34">
        <v>15</v>
      </c>
      <c r="Q6" s="71">
        <v>16</v>
      </c>
      <c r="R6" s="34">
        <v>17</v>
      </c>
      <c r="S6" s="71">
        <v>18</v>
      </c>
      <c r="T6" s="34">
        <v>19</v>
      </c>
      <c r="U6" s="35" t="s">
        <v>8</v>
      </c>
      <c r="V6" s="36">
        <v>21</v>
      </c>
      <c r="W6" s="72" t="s">
        <v>29</v>
      </c>
      <c r="X6" s="95">
        <v>23</v>
      </c>
    </row>
    <row r="7" spans="1:26" ht="12.75">
      <c r="A7" s="10">
        <v>1</v>
      </c>
      <c r="B7" s="11" t="s">
        <v>30</v>
      </c>
      <c r="C7" s="12">
        <f>ROUND(C13+C17+C22+C27,2)</f>
        <v>61312000</v>
      </c>
      <c r="D7" s="37">
        <f>10400000+50912000</f>
        <v>61312000</v>
      </c>
      <c r="E7" s="12">
        <f>ROUND(E13+E17+E22+E27,2)</f>
        <v>1318000</v>
      </c>
      <c r="F7" s="37">
        <f>225000+1093000</f>
        <v>1318000</v>
      </c>
      <c r="G7" s="12">
        <f>ROUND(G13+G17+G22+G27,2)</f>
        <v>8724890</v>
      </c>
      <c r="H7" s="37">
        <f>1201950+6353050+1169890</f>
        <v>8724890</v>
      </c>
      <c r="I7" s="12">
        <f>ROUND(I13+I17+I22+I27,2)</f>
        <v>564630</v>
      </c>
      <c r="J7" s="37">
        <f>80660+415340+68630</f>
        <v>564630</v>
      </c>
      <c r="K7" s="12">
        <f>ROUND(K13+K17+K22+K27,2)</f>
        <v>553360</v>
      </c>
      <c r="L7" s="37">
        <f>64540+449460+39360</f>
        <v>553360</v>
      </c>
      <c r="M7" s="13">
        <f>ROUND(G7+I7+K7,2)</f>
        <v>9842880</v>
      </c>
      <c r="N7" s="37">
        <f>H7+J7+L7</f>
        <v>9842880</v>
      </c>
      <c r="O7" s="12">
        <f>ROUND(O13+O17+O22+O27,2)</f>
        <v>0</v>
      </c>
      <c r="P7" s="37">
        <f>0</f>
        <v>0</v>
      </c>
      <c r="Q7" s="12">
        <f>ROUND(Q13+Q17+Q22+Q27,2)</f>
        <v>0</v>
      </c>
      <c r="R7" s="37">
        <f>0</f>
        <v>0</v>
      </c>
      <c r="S7" s="12">
        <f>ROUND(S13+S17+S22+S27,2)</f>
        <v>2634000</v>
      </c>
      <c r="T7" s="37">
        <f>500000+2134000</f>
        <v>2634000</v>
      </c>
      <c r="U7" s="13">
        <f>ROUND(U13+U17+U22+U27,2)</f>
        <v>51986723.4</v>
      </c>
      <c r="V7" s="13">
        <f>ROUND(V13+V17+V22+V27,2)</f>
        <v>26199721.94</v>
      </c>
      <c r="W7" s="73">
        <f>W27</f>
        <v>-620825.04</v>
      </c>
      <c r="X7" s="96">
        <f>ROUND(D7+F7+H7+J7+L7+P7+R7+T7,2)</f>
        <v>75106880</v>
      </c>
      <c r="Z7" s="54"/>
    </row>
    <row r="8" spans="1:24" ht="25.5">
      <c r="A8" s="14">
        <v>2</v>
      </c>
      <c r="B8" s="46" t="s">
        <v>31</v>
      </c>
      <c r="C8" s="97">
        <v>0</v>
      </c>
      <c r="D8" s="47">
        <v>0</v>
      </c>
      <c r="E8" s="97">
        <v>209670</v>
      </c>
      <c r="F8" s="48">
        <v>209665.81</v>
      </c>
      <c r="G8" s="98">
        <v>0</v>
      </c>
      <c r="H8" s="48">
        <v>0</v>
      </c>
      <c r="I8" s="99">
        <v>0</v>
      </c>
      <c r="J8" s="48">
        <v>0</v>
      </c>
      <c r="K8" s="98">
        <v>0</v>
      </c>
      <c r="L8" s="48">
        <v>0</v>
      </c>
      <c r="M8" s="100">
        <f>G8+I8+K8</f>
        <v>0</v>
      </c>
      <c r="N8" s="13">
        <f>ROUND(H8+J8+L8,2)</f>
        <v>0</v>
      </c>
      <c r="O8" s="101">
        <v>0</v>
      </c>
      <c r="P8" s="48">
        <v>0</v>
      </c>
      <c r="Q8" s="101">
        <v>0</v>
      </c>
      <c r="R8" s="48">
        <v>0</v>
      </c>
      <c r="S8" s="97">
        <v>87400</v>
      </c>
      <c r="T8" s="48">
        <v>87391.95</v>
      </c>
      <c r="U8" s="13">
        <f>ROUND(D8+F8+N8+P8+R8+T8,2)</f>
        <v>297057.76</v>
      </c>
      <c r="V8" s="38">
        <v>0</v>
      </c>
      <c r="W8" s="74">
        <f>ROUND(V8-U8,2)</f>
        <v>-297057.76</v>
      </c>
      <c r="X8" s="96">
        <f>ROUND(D8+F8+H8+J8+L8+P8+R8+T8,2)</f>
        <v>297057.76</v>
      </c>
    </row>
    <row r="9" spans="1:24" ht="25.5">
      <c r="A9" s="14">
        <v>3</v>
      </c>
      <c r="B9" s="46" t="s">
        <v>32</v>
      </c>
      <c r="C9" s="97">
        <v>0</v>
      </c>
      <c r="D9" s="47">
        <v>0</v>
      </c>
      <c r="E9" s="97">
        <v>0</v>
      </c>
      <c r="F9" s="48">
        <v>0</v>
      </c>
      <c r="G9" s="98">
        <v>192530</v>
      </c>
      <c r="H9" s="48">
        <v>192522.36</v>
      </c>
      <c r="I9" s="99">
        <v>16700</v>
      </c>
      <c r="J9" s="48">
        <v>16693.1</v>
      </c>
      <c r="K9" s="98">
        <v>114560</v>
      </c>
      <c r="L9" s="48">
        <v>114551.82</v>
      </c>
      <c r="M9" s="100">
        <f>G9+I9+K9</f>
        <v>323790</v>
      </c>
      <c r="N9" s="13">
        <f>ROUND(H9+J9+L9,2)</f>
        <v>323767.28</v>
      </c>
      <c r="O9" s="101">
        <v>0</v>
      </c>
      <c r="P9" s="48">
        <v>0</v>
      </c>
      <c r="Q9" s="101">
        <v>0</v>
      </c>
      <c r="R9" s="48">
        <v>0</v>
      </c>
      <c r="S9" s="97">
        <v>0</v>
      </c>
      <c r="T9" s="48">
        <v>0</v>
      </c>
      <c r="U9" s="13">
        <f>ROUND(D9+F9+N9+P9+R9+T9,2)</f>
        <v>323767.28</v>
      </c>
      <c r="V9" s="38">
        <v>0</v>
      </c>
      <c r="W9" s="74">
        <f>ROUND(V9-U9,2)</f>
        <v>-323767.28</v>
      </c>
      <c r="X9" s="96">
        <f>ROUND(D9+F9+H9+J9+L9+P9+R9+T9,2)</f>
        <v>323767.28</v>
      </c>
    </row>
    <row r="10" spans="1:24" ht="13.5">
      <c r="A10" s="14">
        <v>4</v>
      </c>
      <c r="B10" s="46" t="s">
        <v>33</v>
      </c>
      <c r="C10" s="97">
        <v>9058400</v>
      </c>
      <c r="D10" s="47">
        <f>9058400+1955719.07</f>
        <v>11014119.07</v>
      </c>
      <c r="E10" s="97">
        <v>15330</v>
      </c>
      <c r="F10" s="48">
        <f>225000-209665.81+214496.67</f>
        <v>229830.86000000002</v>
      </c>
      <c r="G10" s="97">
        <v>1201950</v>
      </c>
      <c r="H10" s="48">
        <f>1201950+7.64+318995.24</f>
        <v>1520952.88</v>
      </c>
      <c r="I10" s="97">
        <v>80660</v>
      </c>
      <c r="J10" s="48">
        <f>80660+6.9+18723.69</f>
        <v>99390.59</v>
      </c>
      <c r="K10" s="97">
        <v>64540</v>
      </c>
      <c r="L10" s="48">
        <f>64540+8.18+14964.7</f>
        <v>79512.88</v>
      </c>
      <c r="M10" s="100">
        <f>G10+I10+K10</f>
        <v>1347150</v>
      </c>
      <c r="N10" s="13">
        <f>ROUND(H10+J10+L10,2)</f>
        <v>1699856.35</v>
      </c>
      <c r="O10" s="101">
        <v>0</v>
      </c>
      <c r="P10" s="48">
        <v>0</v>
      </c>
      <c r="Q10" s="101">
        <v>0</v>
      </c>
      <c r="R10" s="48">
        <v>0</v>
      </c>
      <c r="S10" s="97">
        <v>145280</v>
      </c>
      <c r="T10" s="48">
        <f>232680-87391.95-75194.05</f>
        <v>70093.99999999999</v>
      </c>
      <c r="U10" s="13">
        <f>ROUND(D10+F10+N10+P10+R10+T10,2)</f>
        <v>13013900.28</v>
      </c>
      <c r="V10" s="38">
        <v>13013900.28</v>
      </c>
      <c r="W10" s="74">
        <f>ROUND(V10-U10,2)</f>
        <v>0</v>
      </c>
      <c r="X10" s="96">
        <f>ROUND(D10+F10+H10+J10+L10+P10+R10+T10,2)</f>
        <v>13013900.28</v>
      </c>
    </row>
    <row r="11" spans="1:24" ht="13.5">
      <c r="A11" s="14">
        <v>5</v>
      </c>
      <c r="B11" s="15" t="s">
        <v>67</v>
      </c>
      <c r="C11" s="97">
        <v>11642000</v>
      </c>
      <c r="D11" s="47">
        <f>11642000-1955719.07+1415455</f>
        <v>11101735.93</v>
      </c>
      <c r="E11" s="98">
        <v>430000</v>
      </c>
      <c r="F11" s="48">
        <f>430000-214496.67+3925.83</f>
        <v>219429.15999999997</v>
      </c>
      <c r="G11" s="98">
        <f>1992530-192530</f>
        <v>1800000</v>
      </c>
      <c r="H11" s="48">
        <f>1800000-318995.24+106911.65</f>
        <v>1587916.41</v>
      </c>
      <c r="I11" s="98">
        <f>136700-16700</f>
        <v>120000</v>
      </c>
      <c r="J11" s="48">
        <f>120000-18723.69-3736.39</f>
        <v>97539.92</v>
      </c>
      <c r="K11" s="98">
        <f>210560-114560</f>
        <v>96000</v>
      </c>
      <c r="L11" s="48">
        <f>96000-14964.7-3003.02</f>
        <v>78032.28</v>
      </c>
      <c r="M11" s="100">
        <f>G11+I11+K11</f>
        <v>2016000</v>
      </c>
      <c r="N11" s="13">
        <f>ROUND(H11+J11+L11,2)</f>
        <v>1763488.61</v>
      </c>
      <c r="O11" s="101">
        <v>0</v>
      </c>
      <c r="P11" s="47">
        <v>0</v>
      </c>
      <c r="Q11" s="101">
        <v>0</v>
      </c>
      <c r="R11" s="47">
        <v>0</v>
      </c>
      <c r="S11" s="97">
        <v>50000</v>
      </c>
      <c r="T11" s="48">
        <f>50000+75194.05-24026.09</f>
        <v>101167.96</v>
      </c>
      <c r="U11" s="13">
        <f>ROUND(D11+F11+N11+P11+R11+T11,2)</f>
        <v>13185821.66</v>
      </c>
      <c r="V11" s="38">
        <v>13185821.66</v>
      </c>
      <c r="W11" s="74">
        <f>ROUND(V11-U11,2)</f>
        <v>0</v>
      </c>
      <c r="X11" s="96">
        <f>ROUND(D11+F11+H11+J11+L11+P11+R11+T11,2)</f>
        <v>13185821.66</v>
      </c>
    </row>
    <row r="12" spans="1:24" ht="13.5">
      <c r="A12" s="7">
        <v>6</v>
      </c>
      <c r="B12" s="15" t="s">
        <v>34</v>
      </c>
      <c r="C12" s="97">
        <f>10064600+2408770</f>
        <v>12473370</v>
      </c>
      <c r="D12" s="56">
        <f>10064600-1415455+2408770</f>
        <v>11057915</v>
      </c>
      <c r="E12" s="98">
        <f>7000+244020</f>
        <v>251020</v>
      </c>
      <c r="F12" s="50">
        <f>7000-3925.83+244020</f>
        <v>247094.17</v>
      </c>
      <c r="G12" s="98">
        <f>537030+1169890</f>
        <v>1706920</v>
      </c>
      <c r="H12" s="50">
        <f>537030-106911.65+1169890</f>
        <v>1600008.35</v>
      </c>
      <c r="I12" s="98">
        <f>27640+68630</f>
        <v>96270</v>
      </c>
      <c r="J12" s="50">
        <f>27640+3736.39+68630</f>
        <v>100006.39</v>
      </c>
      <c r="K12" s="98">
        <f>18540+58460</f>
        <v>77000</v>
      </c>
      <c r="L12" s="50">
        <f>18540+3003.02+39360+19100</f>
        <v>80003.02</v>
      </c>
      <c r="M12" s="100">
        <f>G12+I12+K12</f>
        <v>1880190</v>
      </c>
      <c r="N12" s="13">
        <f>ROUND(H12+J12+L12,2)</f>
        <v>1780017.76</v>
      </c>
      <c r="O12" s="101">
        <v>0</v>
      </c>
      <c r="P12" s="50">
        <v>0</v>
      </c>
      <c r="Q12" s="101">
        <v>0</v>
      </c>
      <c r="R12" s="50">
        <v>0</v>
      </c>
      <c r="S12" s="97">
        <v>2089320</v>
      </c>
      <c r="T12" s="50">
        <f>2089320+24026.09</f>
        <v>2113346.09</v>
      </c>
      <c r="U12" s="13">
        <f>ROUND(D12+F12+N12+P12+R12+T12,2)</f>
        <v>15198373.02</v>
      </c>
      <c r="V12" s="38"/>
      <c r="W12" s="74"/>
      <c r="X12" s="96"/>
    </row>
    <row r="13" spans="1:24" s="1" customFormat="1" ht="12.75">
      <c r="A13" s="18" t="s">
        <v>35</v>
      </c>
      <c r="B13" s="29" t="s">
        <v>36</v>
      </c>
      <c r="C13" s="13">
        <f aca="true" t="shared" si="0" ref="C13:X13">SUM(C8:C12)</f>
        <v>33173770</v>
      </c>
      <c r="D13" s="57">
        <f t="shared" si="0"/>
        <v>33173770</v>
      </c>
      <c r="E13" s="57">
        <f t="shared" si="0"/>
        <v>906020</v>
      </c>
      <c r="F13" s="57">
        <f t="shared" si="0"/>
        <v>906020.0000000001</v>
      </c>
      <c r="G13" s="57">
        <f t="shared" si="0"/>
        <v>4901400</v>
      </c>
      <c r="H13" s="57">
        <f t="shared" si="0"/>
        <v>4901400</v>
      </c>
      <c r="I13" s="57">
        <f t="shared" si="0"/>
        <v>313630</v>
      </c>
      <c r="J13" s="57">
        <f t="shared" si="0"/>
        <v>313630</v>
      </c>
      <c r="K13" s="57">
        <f t="shared" si="0"/>
        <v>352100</v>
      </c>
      <c r="L13" s="57">
        <f t="shared" si="0"/>
        <v>352100</v>
      </c>
      <c r="M13" s="13">
        <f t="shared" si="0"/>
        <v>5567130</v>
      </c>
      <c r="N13" s="12">
        <f t="shared" si="0"/>
        <v>5567130</v>
      </c>
      <c r="O13" s="13">
        <f t="shared" si="0"/>
        <v>0</v>
      </c>
      <c r="P13" s="57">
        <f t="shared" si="0"/>
        <v>0</v>
      </c>
      <c r="Q13" s="13">
        <f t="shared" si="0"/>
        <v>0</v>
      </c>
      <c r="R13" s="57">
        <f t="shared" si="0"/>
        <v>0</v>
      </c>
      <c r="S13" s="13">
        <f t="shared" si="0"/>
        <v>2372000</v>
      </c>
      <c r="T13" s="57">
        <f t="shared" si="0"/>
        <v>2372000</v>
      </c>
      <c r="U13" s="12">
        <f t="shared" si="0"/>
        <v>42018920</v>
      </c>
      <c r="V13" s="12">
        <f t="shared" si="0"/>
        <v>26199721.939999998</v>
      </c>
      <c r="W13" s="79">
        <f t="shared" si="0"/>
        <v>-620825.04</v>
      </c>
      <c r="X13" s="102">
        <f t="shared" si="0"/>
        <v>26820546.98</v>
      </c>
    </row>
    <row r="14" spans="1:24" ht="12.75">
      <c r="A14" s="14">
        <v>8</v>
      </c>
      <c r="B14" s="19" t="s">
        <v>37</v>
      </c>
      <c r="C14" s="115">
        <v>8342803.4</v>
      </c>
      <c r="D14" s="56">
        <v>8342803.4</v>
      </c>
      <c r="E14" s="116">
        <v>200000</v>
      </c>
      <c r="F14" s="50">
        <v>200000</v>
      </c>
      <c r="G14" s="115">
        <v>1275000</v>
      </c>
      <c r="H14" s="50">
        <v>1275000</v>
      </c>
      <c r="I14" s="115">
        <v>80000</v>
      </c>
      <c r="J14" s="50">
        <v>80000</v>
      </c>
      <c r="K14" s="115">
        <v>70000</v>
      </c>
      <c r="L14" s="50">
        <v>70000</v>
      </c>
      <c r="M14" s="53">
        <f>G14+I14+K14</f>
        <v>1425000</v>
      </c>
      <c r="N14" s="13">
        <f>ROUND(H14+J14+L14,2)</f>
        <v>1425000</v>
      </c>
      <c r="O14" s="101">
        <v>0</v>
      </c>
      <c r="P14" s="56">
        <v>0</v>
      </c>
      <c r="Q14" s="101">
        <v>0</v>
      </c>
      <c r="R14" s="56">
        <v>0</v>
      </c>
      <c r="S14" s="101">
        <v>0</v>
      </c>
      <c r="T14" s="56">
        <v>0</v>
      </c>
      <c r="U14" s="13">
        <f>ROUND(D14+F14+N14+P14+R14+T14,2)</f>
        <v>9967803.4</v>
      </c>
      <c r="V14" s="38"/>
      <c r="W14" s="74"/>
      <c r="X14" s="96">
        <f>ROUND(D14+F14+H14+J14+L14+P14+R14+T14,2)</f>
        <v>9967803.4</v>
      </c>
    </row>
    <row r="15" spans="1:24" ht="12.75">
      <c r="A15" s="14">
        <v>9</v>
      </c>
      <c r="B15" s="15" t="s">
        <v>38</v>
      </c>
      <c r="C15" s="16"/>
      <c r="D15" s="56"/>
      <c r="E15" s="56"/>
      <c r="F15" s="50"/>
      <c r="G15" s="56"/>
      <c r="H15" s="50"/>
      <c r="I15" s="50"/>
      <c r="J15" s="50"/>
      <c r="K15" s="56"/>
      <c r="L15" s="50"/>
      <c r="M15" s="17"/>
      <c r="N15" s="13">
        <f>ROUND(H15+J15+L15,2)</f>
        <v>0</v>
      </c>
      <c r="O15" s="16"/>
      <c r="P15" s="80"/>
      <c r="Q15" s="81"/>
      <c r="R15" s="80"/>
      <c r="S15" s="16"/>
      <c r="T15" s="80"/>
      <c r="U15" s="13">
        <f>ROUND(D15+F15+N15+P15+R15+T15,2)</f>
        <v>0</v>
      </c>
      <c r="V15" s="38"/>
      <c r="W15" s="74"/>
      <c r="X15" s="96">
        <f>ROUND(D15+F15+H15+J15+L15+P15+R15+T15,2)</f>
        <v>0</v>
      </c>
    </row>
    <row r="16" spans="1:24" s="4" customFormat="1" ht="12.75">
      <c r="A16" s="14">
        <v>10</v>
      </c>
      <c r="B16" s="20" t="s">
        <v>39</v>
      </c>
      <c r="C16" s="21"/>
      <c r="D16" s="56"/>
      <c r="E16" s="56"/>
      <c r="F16" s="50"/>
      <c r="G16" s="56"/>
      <c r="H16" s="56"/>
      <c r="I16" s="50"/>
      <c r="J16" s="50"/>
      <c r="K16" s="56"/>
      <c r="L16" s="50"/>
      <c r="M16" s="24"/>
      <c r="N16" s="13">
        <f>ROUND(H16+J16+L16,2)</f>
        <v>0</v>
      </c>
      <c r="O16" s="21"/>
      <c r="P16" s="50"/>
      <c r="Q16" s="21"/>
      <c r="R16" s="50"/>
      <c r="S16" s="21"/>
      <c r="T16" s="50"/>
      <c r="U16" s="13">
        <f>ROUND(D16+F16+N16+P16+R16+T16,2)</f>
        <v>0</v>
      </c>
      <c r="V16" s="38"/>
      <c r="W16" s="74"/>
      <c r="X16" s="102">
        <f>ROUND(D16+F16+H16+J16+L16+P16+R16+T16,2)</f>
        <v>0</v>
      </c>
    </row>
    <row r="17" spans="1:24" ht="12.75">
      <c r="A17" s="22" t="s">
        <v>40</v>
      </c>
      <c r="B17" s="23" t="s">
        <v>41</v>
      </c>
      <c r="C17" s="13">
        <f>30547000-2408770</f>
        <v>28138230</v>
      </c>
      <c r="D17" s="12">
        <f>SUM(D14:D16)</f>
        <v>8342803.4</v>
      </c>
      <c r="E17" s="12">
        <f>656000-244020</f>
        <v>411980</v>
      </c>
      <c r="F17" s="12">
        <f>SUM(F14:F16)</f>
        <v>200000</v>
      </c>
      <c r="G17" s="12">
        <f>3823490</f>
        <v>3823490</v>
      </c>
      <c r="H17" s="12">
        <f>SUM(H14:H16)</f>
        <v>1275000</v>
      </c>
      <c r="I17" s="12">
        <f>251000</f>
        <v>251000</v>
      </c>
      <c r="J17" s="12">
        <f>SUM(J14:J16)</f>
        <v>80000</v>
      </c>
      <c r="K17" s="12">
        <f>220360-19100</f>
        <v>201260</v>
      </c>
      <c r="L17" s="12">
        <f>SUM(L14:L16)</f>
        <v>70000</v>
      </c>
      <c r="M17" s="13">
        <f>ROUND(G17+I17+K17,2)</f>
        <v>4275750</v>
      </c>
      <c r="N17" s="12">
        <f>SUM(N14:N16)</f>
        <v>1425000</v>
      </c>
      <c r="O17" s="13">
        <v>0</v>
      </c>
      <c r="P17" s="12">
        <f>SUM(P14:P16)</f>
        <v>0</v>
      </c>
      <c r="Q17" s="13">
        <v>0</v>
      </c>
      <c r="R17" s="12">
        <f>SUM(R14:R16)</f>
        <v>0</v>
      </c>
      <c r="S17" s="13">
        <f>262000</f>
        <v>262000</v>
      </c>
      <c r="T17" s="12">
        <f>SUM(T14:T16)</f>
        <v>0</v>
      </c>
      <c r="U17" s="12">
        <f>SUM(U14:U16)</f>
        <v>9967803.4</v>
      </c>
      <c r="V17" s="12">
        <f>SUM(V14:V16)</f>
        <v>0</v>
      </c>
      <c r="W17" s="79">
        <f>SUM(W13:W16)</f>
        <v>-620825.04</v>
      </c>
      <c r="X17" s="102">
        <f>SUM(X13:X16)</f>
        <v>36788350.38</v>
      </c>
    </row>
    <row r="18" spans="1:24" s="1" customFormat="1" ht="12.75">
      <c r="A18" s="18" t="s">
        <v>42</v>
      </c>
      <c r="B18" s="23" t="s">
        <v>43</v>
      </c>
      <c r="C18" s="13">
        <f aca="true" t="shared" si="1" ref="C18:V18">C13+C17</f>
        <v>61312000</v>
      </c>
      <c r="D18" s="12">
        <f t="shared" si="1"/>
        <v>41516573.4</v>
      </c>
      <c r="E18" s="13">
        <f>E13+E17</f>
        <v>1318000</v>
      </c>
      <c r="F18" s="12">
        <f t="shared" si="1"/>
        <v>1106020</v>
      </c>
      <c r="G18" s="13">
        <f t="shared" si="1"/>
        <v>8724890</v>
      </c>
      <c r="H18" s="12">
        <f t="shared" si="1"/>
        <v>6176400</v>
      </c>
      <c r="I18" s="13">
        <f t="shared" si="1"/>
        <v>564630</v>
      </c>
      <c r="J18" s="12">
        <f t="shared" si="1"/>
        <v>393630</v>
      </c>
      <c r="K18" s="13">
        <f t="shared" si="1"/>
        <v>553360</v>
      </c>
      <c r="L18" s="12">
        <f t="shared" si="1"/>
        <v>422100</v>
      </c>
      <c r="M18" s="12">
        <f t="shared" si="1"/>
        <v>9842880</v>
      </c>
      <c r="N18" s="12">
        <f t="shared" si="1"/>
        <v>6992130</v>
      </c>
      <c r="O18" s="13">
        <f t="shared" si="1"/>
        <v>0</v>
      </c>
      <c r="P18" s="12">
        <f t="shared" si="1"/>
        <v>0</v>
      </c>
      <c r="Q18" s="13">
        <f t="shared" si="1"/>
        <v>0</v>
      </c>
      <c r="R18" s="12">
        <f t="shared" si="1"/>
        <v>0</v>
      </c>
      <c r="S18" s="13">
        <f t="shared" si="1"/>
        <v>2634000</v>
      </c>
      <c r="T18" s="12">
        <f t="shared" si="1"/>
        <v>2372000</v>
      </c>
      <c r="U18" s="12">
        <f>ROUND(U13+U17,2)</f>
        <v>51986723.4</v>
      </c>
      <c r="V18" s="12">
        <f t="shared" si="1"/>
        <v>26199721.939999998</v>
      </c>
      <c r="W18" s="79">
        <f>ROUND(W17,2)</f>
        <v>-620825.04</v>
      </c>
      <c r="X18" s="102">
        <f>ROUND(X17,2)</f>
        <v>36788350.38</v>
      </c>
    </row>
    <row r="19" spans="1:24" ht="12.75">
      <c r="A19" s="14">
        <v>13</v>
      </c>
      <c r="B19" s="20" t="s">
        <v>44</v>
      </c>
      <c r="C19" s="16"/>
      <c r="D19" s="47"/>
      <c r="E19" s="47"/>
      <c r="F19" s="48"/>
      <c r="G19" s="47"/>
      <c r="H19" s="56"/>
      <c r="I19" s="48"/>
      <c r="J19" s="56"/>
      <c r="K19" s="47"/>
      <c r="L19" s="56"/>
      <c r="M19" s="49"/>
      <c r="N19" s="13">
        <f>ROUND(H19+J19+L19,2)</f>
        <v>0</v>
      </c>
      <c r="O19" s="16"/>
      <c r="P19" s="48"/>
      <c r="Q19" s="16"/>
      <c r="R19" s="48"/>
      <c r="S19" s="16"/>
      <c r="T19" s="48"/>
      <c r="U19" s="13">
        <f>ROUND(D19+F19+N19+P19+R19+T19,2)</f>
        <v>0</v>
      </c>
      <c r="V19" s="38"/>
      <c r="W19" s="74"/>
      <c r="X19" s="96">
        <f>ROUND(D19+F19+H19+J19+L19+P19+R19+T19,2)</f>
        <v>0</v>
      </c>
    </row>
    <row r="20" spans="1:24" ht="12.75">
      <c r="A20" s="14">
        <v>14</v>
      </c>
      <c r="B20" s="20" t="s">
        <v>45</v>
      </c>
      <c r="C20" s="16"/>
      <c r="D20" s="47"/>
      <c r="E20" s="48"/>
      <c r="F20" s="48"/>
      <c r="G20" s="48"/>
      <c r="H20" s="50"/>
      <c r="I20" s="50"/>
      <c r="J20" s="50"/>
      <c r="K20" s="50"/>
      <c r="L20" s="50"/>
      <c r="M20" s="17"/>
      <c r="N20" s="13">
        <f>ROUND(H20+J20+L20,2)</f>
        <v>0</v>
      </c>
      <c r="O20" s="16"/>
      <c r="P20" s="48"/>
      <c r="Q20" s="16"/>
      <c r="R20" s="48"/>
      <c r="S20" s="16"/>
      <c r="T20" s="48"/>
      <c r="U20" s="13">
        <f>ROUND(D20+F20+N20+P20+R20+T20,2)</f>
        <v>0</v>
      </c>
      <c r="V20" s="38"/>
      <c r="W20" s="74"/>
      <c r="X20" s="96">
        <f>ROUND(D20+F20+H20+J20+L20+P20+R20+T20,2)</f>
        <v>0</v>
      </c>
    </row>
    <row r="21" spans="1:24" ht="12.75">
      <c r="A21" s="14">
        <v>15</v>
      </c>
      <c r="B21" s="51" t="s">
        <v>46</v>
      </c>
      <c r="C21" s="75"/>
      <c r="D21" s="76"/>
      <c r="E21" s="75"/>
      <c r="F21" s="78"/>
      <c r="G21" s="48"/>
      <c r="H21" s="50"/>
      <c r="I21" s="86"/>
      <c r="J21" s="50"/>
      <c r="K21" s="93"/>
      <c r="L21" s="78"/>
      <c r="M21" s="17"/>
      <c r="N21" s="13">
        <f>ROUND(H21+J21+L21,2)</f>
        <v>0</v>
      </c>
      <c r="O21" s="17"/>
      <c r="P21" s="50"/>
      <c r="Q21" s="17"/>
      <c r="R21" s="50"/>
      <c r="S21" s="17"/>
      <c r="T21" s="50"/>
      <c r="U21" s="13">
        <f>ROUND(D21+F21+N21+P21+R21+T21,2)</f>
        <v>0</v>
      </c>
      <c r="V21" s="38"/>
      <c r="W21" s="74"/>
      <c r="X21" s="102">
        <f>ROUND(D21+F21+H21+J21+L21+P21+R21+T21,2)</f>
        <v>0</v>
      </c>
    </row>
    <row r="22" spans="1:24" s="1" customFormat="1" ht="12.75">
      <c r="A22" s="18" t="s">
        <v>47</v>
      </c>
      <c r="B22" s="23" t="s">
        <v>48</v>
      </c>
      <c r="C22" s="13"/>
      <c r="D22" s="12">
        <f>ROUND(D19+D20+D21,2)</f>
        <v>0</v>
      </c>
      <c r="E22" s="13"/>
      <c r="F22" s="12">
        <f>ROUND(F19+F20+F21,2)</f>
        <v>0</v>
      </c>
      <c r="G22" s="13"/>
      <c r="H22" s="12">
        <f>ROUND(H19+H20+H21,2)</f>
        <v>0</v>
      </c>
      <c r="I22" s="12"/>
      <c r="J22" s="12">
        <f>ROUND(J19+J20+J21,2)</f>
        <v>0</v>
      </c>
      <c r="K22" s="13"/>
      <c r="L22" s="12">
        <f>ROUND(L19+L20+L21,2)</f>
        <v>0</v>
      </c>
      <c r="M22" s="13">
        <f>ROUND(G22+I22+K22,2)</f>
        <v>0</v>
      </c>
      <c r="N22" s="12">
        <f>ROUND(N19+N20+N21,2)</f>
        <v>0</v>
      </c>
      <c r="O22" s="13">
        <v>0</v>
      </c>
      <c r="P22" s="12">
        <f>ROUND(P19+P20+P21,2)</f>
        <v>0</v>
      </c>
      <c r="Q22" s="13">
        <v>0</v>
      </c>
      <c r="R22" s="12">
        <f>ROUND(R19+R20+R21,2)</f>
        <v>0</v>
      </c>
      <c r="S22" s="13">
        <v>0</v>
      </c>
      <c r="T22" s="12">
        <f>ROUND(T19+T20+T21,2)</f>
        <v>0</v>
      </c>
      <c r="U22" s="12">
        <f>ROUND(U19+U20+U21,2)</f>
        <v>0</v>
      </c>
      <c r="V22" s="12">
        <f>ROUND(V19+V20+V21,2)</f>
        <v>0</v>
      </c>
      <c r="W22" s="79">
        <f>SUM(W18:W21)</f>
        <v>-620825.04</v>
      </c>
      <c r="X22" s="102">
        <f>SUM(X18:X21)</f>
        <v>36788350.38</v>
      </c>
    </row>
    <row r="23" spans="1:24" s="1" customFormat="1" ht="12.75">
      <c r="A23" s="18" t="s">
        <v>49</v>
      </c>
      <c r="B23" s="23" t="s">
        <v>50</v>
      </c>
      <c r="C23" s="13">
        <f>C18+C22</f>
        <v>61312000</v>
      </c>
      <c r="D23" s="12">
        <f>ROUND(D18+D22,2)</f>
        <v>41516573.4</v>
      </c>
      <c r="E23" s="13">
        <f>E18+E22</f>
        <v>1318000</v>
      </c>
      <c r="F23" s="12">
        <f>ROUND(F18+F22,2)</f>
        <v>1106020</v>
      </c>
      <c r="G23" s="13">
        <f>G18+G22</f>
        <v>8724890</v>
      </c>
      <c r="H23" s="12">
        <f>ROUND(H18+H22,2)</f>
        <v>6176400</v>
      </c>
      <c r="I23" s="13">
        <f>I18+I22</f>
        <v>564630</v>
      </c>
      <c r="J23" s="12">
        <f>ROUND(J18+J22,2)</f>
        <v>393630</v>
      </c>
      <c r="K23" s="13">
        <f>K18+K22</f>
        <v>553360</v>
      </c>
      <c r="L23" s="12">
        <f>ROUND(L18+L22,2)</f>
        <v>422100</v>
      </c>
      <c r="M23" s="12">
        <f>ROUND(M18+M22,2)</f>
        <v>9842880</v>
      </c>
      <c r="N23" s="12">
        <f>ROUND(N18+N22,2)</f>
        <v>6992130</v>
      </c>
      <c r="O23" s="13">
        <f>O18+O22</f>
        <v>0</v>
      </c>
      <c r="P23" s="12">
        <f>ROUND(P18+P22,2)</f>
        <v>0</v>
      </c>
      <c r="Q23" s="13">
        <f>Q18+Q22</f>
        <v>0</v>
      </c>
      <c r="R23" s="12">
        <f>ROUND(R18+R22,2)</f>
        <v>0</v>
      </c>
      <c r="S23" s="13">
        <f>S18+S22</f>
        <v>2634000</v>
      </c>
      <c r="T23" s="12">
        <f>ROUND(T18+T22,2)</f>
        <v>2372000</v>
      </c>
      <c r="U23" s="12">
        <f>ROUND(U18+U22,2)</f>
        <v>51986723.4</v>
      </c>
      <c r="V23" s="12">
        <f>ROUND(V18+V22,2)</f>
        <v>26199721.94</v>
      </c>
      <c r="W23" s="79">
        <f>W22</f>
        <v>-620825.04</v>
      </c>
      <c r="X23" s="102">
        <f>X22</f>
        <v>36788350.38</v>
      </c>
    </row>
    <row r="24" spans="1:24" ht="12.75">
      <c r="A24" s="14">
        <v>18</v>
      </c>
      <c r="B24" s="39" t="s">
        <v>51</v>
      </c>
      <c r="C24" s="77"/>
      <c r="D24" s="50"/>
      <c r="E24" s="77"/>
      <c r="F24" s="50"/>
      <c r="G24" s="50"/>
      <c r="H24" s="50"/>
      <c r="I24" s="50"/>
      <c r="J24" s="50"/>
      <c r="K24" s="93"/>
      <c r="L24" s="78"/>
      <c r="M24" s="30"/>
      <c r="N24" s="13">
        <f>ROUND(H24+J24+L24,2)</f>
        <v>0</v>
      </c>
      <c r="O24" s="17"/>
      <c r="P24" s="53"/>
      <c r="Q24" s="17"/>
      <c r="R24" s="53"/>
      <c r="S24" s="93"/>
      <c r="T24" s="78"/>
      <c r="U24" s="13">
        <f>ROUND(D24+F24+N24+P24+R24+T24,2)</f>
        <v>0</v>
      </c>
      <c r="V24" s="38"/>
      <c r="W24" s="74"/>
      <c r="X24" s="96">
        <f>ROUND(D24+F24+H24+J24+L24+P24+R24+T24,2)</f>
        <v>0</v>
      </c>
    </row>
    <row r="25" spans="1:24" ht="12.75">
      <c r="A25" s="14">
        <v>19</v>
      </c>
      <c r="B25" s="39" t="s">
        <v>52</v>
      </c>
      <c r="C25" s="48"/>
      <c r="D25" s="50"/>
      <c r="E25" s="77"/>
      <c r="F25" s="78"/>
      <c r="G25" s="50"/>
      <c r="H25" s="50"/>
      <c r="I25" s="50"/>
      <c r="J25" s="50"/>
      <c r="K25" s="93"/>
      <c r="L25" s="78"/>
      <c r="M25" s="30"/>
      <c r="N25" s="13">
        <f>ROUND(H25+J25+L25,2)</f>
        <v>0</v>
      </c>
      <c r="O25" s="17"/>
      <c r="P25" s="53"/>
      <c r="Q25" s="17"/>
      <c r="R25" s="53"/>
      <c r="S25" s="93"/>
      <c r="T25" s="78"/>
      <c r="U25" s="13">
        <f>ROUND(D25+F25+N25+P25+R25+T25,2)</f>
        <v>0</v>
      </c>
      <c r="V25" s="38"/>
      <c r="W25" s="74"/>
      <c r="X25" s="96">
        <f>ROUND(D25+F25+H25+J25+L25+P25+R25+T25,2)</f>
        <v>0</v>
      </c>
    </row>
    <row r="26" spans="1:24" ht="12.75">
      <c r="A26" s="14">
        <v>20</v>
      </c>
      <c r="B26" s="39" t="s">
        <v>53</v>
      </c>
      <c r="C26" s="48"/>
      <c r="D26" s="50"/>
      <c r="E26" s="50"/>
      <c r="F26" s="50"/>
      <c r="G26" s="50"/>
      <c r="H26" s="50"/>
      <c r="I26" s="50"/>
      <c r="J26" s="50"/>
      <c r="K26" s="50"/>
      <c r="L26" s="50"/>
      <c r="M26" s="30"/>
      <c r="N26" s="13">
        <f>ROUND(H26+J26+L26,2)</f>
        <v>0</v>
      </c>
      <c r="O26" s="17"/>
      <c r="P26" s="52"/>
      <c r="Q26" s="17"/>
      <c r="R26" s="52"/>
      <c r="S26" s="17"/>
      <c r="T26" s="52"/>
      <c r="U26" s="13">
        <f>ROUND(D26+F26+N26+P26+R26+T26,2)</f>
        <v>0</v>
      </c>
      <c r="V26" s="17"/>
      <c r="W26" s="74"/>
      <c r="X26" s="96">
        <f>ROUND(D26+F26+H26+J26+L26+P26+R26+T26,2)</f>
        <v>0</v>
      </c>
    </row>
    <row r="27" spans="1:24" ht="12.75">
      <c r="A27" s="18" t="s">
        <v>54</v>
      </c>
      <c r="B27" s="55" t="s">
        <v>55</v>
      </c>
      <c r="C27" s="13"/>
      <c r="D27" s="13">
        <f>D24+D25+D26</f>
        <v>0</v>
      </c>
      <c r="E27" s="13"/>
      <c r="F27" s="13">
        <f>F24+F25+F26</f>
        <v>0</v>
      </c>
      <c r="G27" s="13"/>
      <c r="H27" s="13">
        <f>H24+H25+H26</f>
        <v>0</v>
      </c>
      <c r="I27" s="13"/>
      <c r="J27" s="13">
        <f>J24+J25+J26</f>
        <v>0</v>
      </c>
      <c r="K27" s="13"/>
      <c r="L27" s="13">
        <f>L24+L25+L26</f>
        <v>0</v>
      </c>
      <c r="M27" s="13">
        <f>ROUND(G27+I27+K27,2)</f>
        <v>0</v>
      </c>
      <c r="N27" s="13">
        <f>N24+N25+N26</f>
        <v>0</v>
      </c>
      <c r="O27" s="13">
        <v>0</v>
      </c>
      <c r="P27" s="13">
        <f>P24+P25+P26</f>
        <v>0</v>
      </c>
      <c r="Q27" s="13">
        <v>0</v>
      </c>
      <c r="R27" s="13">
        <f>R24+R25+R26</f>
        <v>0</v>
      </c>
      <c r="S27" s="13">
        <v>0</v>
      </c>
      <c r="T27" s="13">
        <f>T24+T25+T26</f>
        <v>0</v>
      </c>
      <c r="U27" s="13">
        <f>ROUND(U24+U25+U26,2)</f>
        <v>0</v>
      </c>
      <c r="V27" s="13">
        <f>V24+V25+V26</f>
        <v>0</v>
      </c>
      <c r="W27" s="73">
        <f>SUM(W23:W26)</f>
        <v>-620825.04</v>
      </c>
      <c r="X27" s="96">
        <f>SUM(X23:X26)</f>
        <v>36788350.38</v>
      </c>
    </row>
    <row r="28" spans="1:24" ht="25.5">
      <c r="A28" s="18" t="s">
        <v>56</v>
      </c>
      <c r="B28" s="55" t="s">
        <v>57</v>
      </c>
      <c r="C28" s="13">
        <f aca="true" t="shared" si="2" ref="C28:V28">ROUND(C13+C17+C22+C27,2)</f>
        <v>61312000</v>
      </c>
      <c r="D28" s="13">
        <f t="shared" si="2"/>
        <v>41516573.4</v>
      </c>
      <c r="E28" s="13">
        <f t="shared" si="2"/>
        <v>1318000</v>
      </c>
      <c r="F28" s="13">
        <f t="shared" si="2"/>
        <v>1106020</v>
      </c>
      <c r="G28" s="13">
        <f t="shared" si="2"/>
        <v>8724890</v>
      </c>
      <c r="H28" s="13">
        <f t="shared" si="2"/>
        <v>6176400</v>
      </c>
      <c r="I28" s="13">
        <f t="shared" si="2"/>
        <v>564630</v>
      </c>
      <c r="J28" s="13">
        <f t="shared" si="2"/>
        <v>393630</v>
      </c>
      <c r="K28" s="13">
        <f t="shared" si="2"/>
        <v>553360</v>
      </c>
      <c r="L28" s="13">
        <f t="shared" si="2"/>
        <v>422100</v>
      </c>
      <c r="M28" s="13">
        <f t="shared" si="2"/>
        <v>9842880</v>
      </c>
      <c r="N28" s="13">
        <f t="shared" si="2"/>
        <v>6992130</v>
      </c>
      <c r="O28" s="13">
        <f t="shared" si="2"/>
        <v>0</v>
      </c>
      <c r="P28" s="13">
        <f t="shared" si="2"/>
        <v>0</v>
      </c>
      <c r="Q28" s="13">
        <f t="shared" si="2"/>
        <v>0</v>
      </c>
      <c r="R28" s="13">
        <f t="shared" si="2"/>
        <v>0</v>
      </c>
      <c r="S28" s="13">
        <f t="shared" si="2"/>
        <v>2634000</v>
      </c>
      <c r="T28" s="13">
        <f t="shared" si="2"/>
        <v>2372000</v>
      </c>
      <c r="U28" s="13">
        <f t="shared" si="2"/>
        <v>51986723.4</v>
      </c>
      <c r="V28" s="13">
        <f t="shared" si="2"/>
        <v>26199721.94</v>
      </c>
      <c r="W28" s="73">
        <f>W27</f>
        <v>-620825.04</v>
      </c>
      <c r="X28" s="96">
        <f>X27</f>
        <v>36788350.38</v>
      </c>
    </row>
    <row r="29" spans="1:24" ht="25.5">
      <c r="A29" s="103" t="s">
        <v>68</v>
      </c>
      <c r="B29" s="25" t="s">
        <v>58</v>
      </c>
      <c r="C29" s="25"/>
      <c r="D29" s="28">
        <f>ROUND(D8+D9+D10+D11,2)</f>
        <v>22115855</v>
      </c>
      <c r="E29" s="28"/>
      <c r="F29" s="28">
        <f aca="true" t="shared" si="3" ref="F29:L29">ROUND(F8+F9+F10+F11,2)</f>
        <v>658925.83</v>
      </c>
      <c r="G29" s="24"/>
      <c r="H29" s="28">
        <f t="shared" si="3"/>
        <v>3301391.65</v>
      </c>
      <c r="I29" s="28"/>
      <c r="J29" s="28">
        <f t="shared" si="3"/>
        <v>213623.61</v>
      </c>
      <c r="K29" s="24"/>
      <c r="L29" s="28">
        <f t="shared" si="3"/>
        <v>272096.98</v>
      </c>
      <c r="M29" s="28"/>
      <c r="N29" s="13">
        <f aca="true" t="shared" si="4" ref="N29:N34">ROUND(H29+J29+L29,2)</f>
        <v>3787112.24</v>
      </c>
      <c r="O29" s="25"/>
      <c r="P29" s="28">
        <f>ROUND(P8+P9+P10+P11,2)</f>
        <v>0</v>
      </c>
      <c r="Q29" s="25"/>
      <c r="R29" s="28">
        <f>ROUND(R8+R9+R10+R11,2)</f>
        <v>0</v>
      </c>
      <c r="S29" s="25"/>
      <c r="T29" s="28">
        <f>ROUND(T8+T9+T10+T11,2)</f>
        <v>258653.91</v>
      </c>
      <c r="U29" s="13">
        <f>ROUND(D29+F29+N29+P29+R29+T29,2)</f>
        <v>26820546.98</v>
      </c>
      <c r="V29" s="28"/>
      <c r="W29" s="74"/>
      <c r="X29" s="96"/>
    </row>
    <row r="30" spans="1:24" ht="12.75">
      <c r="A30" s="14" t="s">
        <v>59</v>
      </c>
      <c r="B30" s="26" t="s">
        <v>60</v>
      </c>
      <c r="C30" s="26"/>
      <c r="D30" s="28">
        <f>ROUND(D28-D29,2)</f>
        <v>19400718.4</v>
      </c>
      <c r="E30" s="28"/>
      <c r="F30" s="28">
        <f>ROUND(F28-F29,2)</f>
        <v>447094.17</v>
      </c>
      <c r="G30" s="24"/>
      <c r="H30" s="28">
        <f>ROUND(H28-H29,2)</f>
        <v>2875008.35</v>
      </c>
      <c r="I30" s="28"/>
      <c r="J30" s="28">
        <f>ROUND(J28-J29,2)</f>
        <v>180006.39</v>
      </c>
      <c r="K30" s="24"/>
      <c r="L30" s="28">
        <f>ROUND(L28-L29,2)</f>
        <v>150003.02</v>
      </c>
      <c r="M30" s="28"/>
      <c r="N30" s="13">
        <f t="shared" si="4"/>
        <v>3205017.76</v>
      </c>
      <c r="O30" s="26"/>
      <c r="P30" s="28">
        <f>ROUND(P28-P29,2)</f>
        <v>0</v>
      </c>
      <c r="Q30" s="26"/>
      <c r="R30" s="28">
        <f>ROUND(R28-R29,2)</f>
        <v>0</v>
      </c>
      <c r="S30" s="26"/>
      <c r="T30" s="28">
        <f>ROUND(T28-T29,2)</f>
        <v>2113346.09</v>
      </c>
      <c r="U30" s="13">
        <f>ROUND(D30+F30+N30+P30+R30+T30,2)</f>
        <v>25166176.42</v>
      </c>
      <c r="V30" s="28"/>
      <c r="W30" s="82"/>
      <c r="X30" s="73"/>
    </row>
    <row r="31" spans="1:24" s="62" customFormat="1" ht="25.5">
      <c r="A31" s="58" t="s">
        <v>61</v>
      </c>
      <c r="B31" s="59" t="s">
        <v>69</v>
      </c>
      <c r="C31" s="59"/>
      <c r="D31" s="60">
        <f>D7-D28</f>
        <v>19795426.6</v>
      </c>
      <c r="E31" s="60"/>
      <c r="F31" s="60">
        <f>F7-F28</f>
        <v>211980</v>
      </c>
      <c r="G31" s="60"/>
      <c r="H31" s="60">
        <f>H7-H28</f>
        <v>2548490</v>
      </c>
      <c r="I31" s="60"/>
      <c r="J31" s="60">
        <f>J7-J28</f>
        <v>171000</v>
      </c>
      <c r="K31" s="60"/>
      <c r="L31" s="60">
        <f>L7-L28</f>
        <v>131260</v>
      </c>
      <c r="M31" s="60"/>
      <c r="N31" s="61">
        <f t="shared" si="4"/>
        <v>2850750</v>
      </c>
      <c r="O31" s="59"/>
      <c r="P31" s="60">
        <f>P7-P28</f>
        <v>0</v>
      </c>
      <c r="Q31" s="59"/>
      <c r="R31" s="60">
        <f>R7-R28</f>
        <v>0</v>
      </c>
      <c r="S31" s="59"/>
      <c r="T31" s="60">
        <f>T7-T28</f>
        <v>262000</v>
      </c>
      <c r="U31" s="61">
        <f>ROUND(D31+F31+N31+P31+R31+T31,2)</f>
        <v>23120156.6</v>
      </c>
      <c r="V31" s="60"/>
      <c r="W31" s="83"/>
      <c r="X31" s="104"/>
    </row>
    <row r="32" spans="1:24" s="45" customFormat="1" ht="12.75">
      <c r="A32" s="84">
        <v>26</v>
      </c>
      <c r="B32" s="42" t="s">
        <v>62</v>
      </c>
      <c r="C32" s="42"/>
      <c r="D32" s="43">
        <v>0</v>
      </c>
      <c r="E32" s="43"/>
      <c r="F32" s="105">
        <f>210203.03-F8</f>
        <v>537.2200000000012</v>
      </c>
      <c r="G32" s="43"/>
      <c r="H32" s="43">
        <f>192522.36-H8-H9</f>
        <v>0</v>
      </c>
      <c r="I32" s="43"/>
      <c r="J32" s="43">
        <f>16693.1-J8-J9</f>
        <v>0</v>
      </c>
      <c r="K32" s="43"/>
      <c r="L32" s="105">
        <f>114551.82-L8-L9</f>
        <v>0</v>
      </c>
      <c r="M32" s="43"/>
      <c r="N32" s="44">
        <f t="shared" si="4"/>
        <v>0</v>
      </c>
      <c r="O32" s="42"/>
      <c r="P32" s="43">
        <v>0</v>
      </c>
      <c r="Q32" s="42"/>
      <c r="R32" s="43">
        <v>0</v>
      </c>
      <c r="S32" s="42"/>
      <c r="T32" s="78">
        <f>1446273.21-T8</f>
        <v>1358881.26</v>
      </c>
      <c r="U32" s="61">
        <f>ROUND(D32+F32+N32+P32+R32+T32,2)</f>
        <v>1359418.48</v>
      </c>
      <c r="V32" s="43"/>
      <c r="W32" s="83"/>
      <c r="X32" s="96"/>
    </row>
    <row r="33" spans="1:24" ht="12.75">
      <c r="A33" s="63">
        <v>27</v>
      </c>
      <c r="B33" s="25" t="s">
        <v>7</v>
      </c>
      <c r="C33" s="25"/>
      <c r="D33" s="38">
        <v>9210000.62</v>
      </c>
      <c r="E33" s="38"/>
      <c r="F33" s="38">
        <v>206481.58</v>
      </c>
      <c r="G33" s="17"/>
      <c r="H33" s="38">
        <v>1251315.64</v>
      </c>
      <c r="I33" s="17"/>
      <c r="J33" s="38">
        <v>81343.96</v>
      </c>
      <c r="K33" s="17"/>
      <c r="L33" s="38">
        <v>65075.95</v>
      </c>
      <c r="M33" s="17"/>
      <c r="N33" s="13">
        <f t="shared" si="4"/>
        <v>1397735.55</v>
      </c>
      <c r="O33" s="25"/>
      <c r="P33" s="38">
        <v>0</v>
      </c>
      <c r="Q33" s="25"/>
      <c r="R33" s="38">
        <v>0</v>
      </c>
      <c r="S33" s="25"/>
      <c r="T33" s="38">
        <v>751161.07</v>
      </c>
      <c r="U33" s="13">
        <f>ROUND(D33+F33+N33+P33+R33+T33,2)</f>
        <v>11565378.82</v>
      </c>
      <c r="V33" s="28"/>
      <c r="W33" s="82"/>
      <c r="X33" s="96"/>
    </row>
    <row r="34" spans="1:24" ht="26.25" thickBot="1">
      <c r="A34" s="106" t="s">
        <v>63</v>
      </c>
      <c r="B34" s="107" t="s">
        <v>64</v>
      </c>
      <c r="C34" s="107"/>
      <c r="D34" s="40">
        <f>ROUND((D29+D32-D8-D9)/2,2)</f>
        <v>11057927.5</v>
      </c>
      <c r="E34" s="40"/>
      <c r="F34" s="40">
        <f>ROUND((F29+F32-F8-F9)/2,2)</f>
        <v>224898.62</v>
      </c>
      <c r="G34" s="108"/>
      <c r="H34" s="40">
        <f>ROUND((H29+H32-H8-H9)/2,2)</f>
        <v>1554434.65</v>
      </c>
      <c r="I34" s="108"/>
      <c r="J34" s="40">
        <f>ROUND((J29+J32-J8-J9)/2,2)</f>
        <v>98465.26</v>
      </c>
      <c r="K34" s="108"/>
      <c r="L34" s="40">
        <f>ROUND((L29+L32-L8-L9)/2,2)</f>
        <v>78772.58</v>
      </c>
      <c r="M34" s="108"/>
      <c r="N34" s="41">
        <f t="shared" si="4"/>
        <v>1731672.49</v>
      </c>
      <c r="O34" s="107"/>
      <c r="P34" s="40">
        <f>ROUND((P29+P32-P8-P9)/2,2)</f>
        <v>0</v>
      </c>
      <c r="Q34" s="107"/>
      <c r="R34" s="40">
        <f>ROUND((R29+R32-R8-R9)/2,2)</f>
        <v>0</v>
      </c>
      <c r="S34" s="40"/>
      <c r="T34" s="40">
        <f>ROUND((T29-T8-T9)/2,2)</f>
        <v>85630.98</v>
      </c>
      <c r="U34" s="41">
        <f>ROUND(D34+F34+N34+P34+R34+T34,2)</f>
        <v>13100129.59</v>
      </c>
      <c r="V34" s="40"/>
      <c r="W34" s="85"/>
      <c r="X34" s="109"/>
    </row>
    <row r="35" spans="5:20" ht="15.75">
      <c r="E35" s="27"/>
      <c r="F35" s="87"/>
      <c r="G35" s="27"/>
      <c r="T35" s="54"/>
    </row>
    <row r="36" spans="3:27" ht="14.25">
      <c r="C36" s="88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3:25" ht="15.75">
      <c r="C37" s="88"/>
      <c r="H37" s="90"/>
      <c r="R37" s="111"/>
      <c r="S37" s="112"/>
      <c r="T37" s="112"/>
      <c r="U37" s="112"/>
      <c r="V37" s="112"/>
      <c r="W37" s="112"/>
      <c r="X37" s="112"/>
      <c r="Y37" s="111"/>
    </row>
    <row r="38" spans="3:25" ht="15.75">
      <c r="C38" s="88"/>
      <c r="R38" s="111"/>
      <c r="S38" s="112"/>
      <c r="T38" s="112"/>
      <c r="U38" s="112"/>
      <c r="V38" s="112"/>
      <c r="W38" s="112"/>
      <c r="X38" s="112"/>
      <c r="Y38" s="111"/>
    </row>
    <row r="39" ht="14.25">
      <c r="C39" s="88"/>
    </row>
    <row r="40" ht="14.25">
      <c r="C40" s="88"/>
    </row>
    <row r="41" ht="15.75">
      <c r="V41" s="89"/>
    </row>
    <row r="42" ht="15.75">
      <c r="V42" s="89"/>
    </row>
  </sheetData>
  <sheetProtection/>
  <mergeCells count="2">
    <mergeCell ref="C2:P2"/>
    <mergeCell ref="C3:P3"/>
  </mergeCells>
  <printOptions/>
  <pageMargins left="0.15748031496062992" right="0.15748031496062992" top="0.5118110236220472" bottom="0.984251968503937" header="0.5118110236220472" footer="0.5118110236220472"/>
  <pageSetup horizontalDpi="600" verticalDpi="600" orientation="landscape" paperSize="9" scale="5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2024-04-16T05:58:07Z</cp:lastPrinted>
  <dcterms:created xsi:type="dcterms:W3CDTF">2019-01-29T08:52:26Z</dcterms:created>
  <dcterms:modified xsi:type="dcterms:W3CDTF">2024-04-16T05:58:17Z</dcterms:modified>
  <cp:category/>
  <cp:version/>
  <cp:contentType/>
  <cp:contentStatus/>
</cp:coreProperties>
</file>