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520"/>
  </bookViews>
  <sheets>
    <sheet name="Foaie1" sheetId="1" r:id="rId1"/>
    <sheet name="Foaie2" sheetId="2" r:id="rId2"/>
    <sheet name="Foaie3" sheetId="3" r:id="rId3"/>
  </sheets>
  <definedNames>
    <definedName name="_xlnm.Print_Titles" localSheetId="0">Foaie1!$A:$B,Foaie1!$5:$6</definedName>
  </definedNames>
  <calcPr calcId="145621"/>
</workbook>
</file>

<file path=xl/calcChain.xml><?xml version="1.0" encoding="utf-8"?>
<calcChain xmlns="http://schemas.openxmlformats.org/spreadsheetml/2006/main">
  <c r="O33" i="1" l="1"/>
  <c r="BA32" i="1"/>
  <c r="AZ32" i="1"/>
  <c r="AW32" i="1"/>
  <c r="AS32" i="1"/>
  <c r="AP32" i="1"/>
  <c r="AX32" i="1" s="1"/>
  <c r="AL32" i="1"/>
  <c r="AB32" i="1"/>
  <c r="AA32" i="1"/>
  <c r="T32" i="1"/>
  <c r="P32" i="1"/>
  <c r="F32" i="1"/>
  <c r="L32" i="1" s="1"/>
  <c r="C32" i="1"/>
  <c r="BA31" i="1"/>
  <c r="AX31" i="1"/>
  <c r="BD31" i="1" s="1"/>
  <c r="AW31" i="1"/>
  <c r="BC31" i="1" s="1"/>
  <c r="AV31" i="1"/>
  <c r="AS31" i="1"/>
  <c r="AP31" i="1"/>
  <c r="AB31" i="1"/>
  <c r="AA31" i="1"/>
  <c r="T31" i="1"/>
  <c r="AZ31" i="1" s="1"/>
  <c r="AY31" i="1" s="1"/>
  <c r="P31" i="1"/>
  <c r="M31" i="1"/>
  <c r="F31" i="1"/>
  <c r="L31" i="1" s="1"/>
  <c r="C31" i="1"/>
  <c r="W28" i="1"/>
  <c r="R28" i="1"/>
  <c r="O28" i="1"/>
  <c r="O29" i="1" s="1"/>
  <c r="R27" i="1"/>
  <c r="AN26" i="1"/>
  <c r="AI26" i="1"/>
  <c r="X26" i="1"/>
  <c r="W26" i="1"/>
  <c r="S26" i="1"/>
  <c r="R26" i="1"/>
  <c r="O26" i="1"/>
  <c r="N26" i="1"/>
  <c r="G26" i="1"/>
  <c r="BA25" i="1"/>
  <c r="AZ25" i="1"/>
  <c r="AY25" i="1"/>
  <c r="AS25" i="1"/>
  <c r="AP25" i="1"/>
  <c r="AX25" i="1" s="1"/>
  <c r="AL25" i="1"/>
  <c r="AB25" i="1"/>
  <c r="AA25" i="1"/>
  <c r="T25" i="1"/>
  <c r="P25" i="1"/>
  <c r="L25" i="1"/>
  <c r="F25" i="1"/>
  <c r="C25" i="1"/>
  <c r="AU24" i="1"/>
  <c r="AT24" i="1"/>
  <c r="AR24" i="1"/>
  <c r="AQ24" i="1"/>
  <c r="AS24" i="1" s="1"/>
  <c r="AO24" i="1"/>
  <c r="AO26" i="1" s="1"/>
  <c r="AN24" i="1"/>
  <c r="AM24" i="1"/>
  <c r="AP24" i="1" s="1"/>
  <c r="AK24" i="1"/>
  <c r="AJ24" i="1"/>
  <c r="AI24" i="1"/>
  <c r="AH24" i="1"/>
  <c r="AG24" i="1"/>
  <c r="AF24" i="1"/>
  <c r="AF26" i="1" s="1"/>
  <c r="AE24" i="1"/>
  <c r="AD24" i="1"/>
  <c r="AC24" i="1"/>
  <c r="Z24" i="1"/>
  <c r="Y24" i="1"/>
  <c r="Y26" i="1" s="1"/>
  <c r="X24" i="1"/>
  <c r="W24" i="1"/>
  <c r="AA24" i="1" s="1"/>
  <c r="BA24" i="1" s="1"/>
  <c r="V24" i="1"/>
  <c r="U24" i="1"/>
  <c r="S24" i="1"/>
  <c r="Q24" i="1"/>
  <c r="T24" i="1" s="1"/>
  <c r="AZ24" i="1" s="1"/>
  <c r="P24" i="1"/>
  <c r="N24" i="1"/>
  <c r="K24" i="1"/>
  <c r="J24" i="1"/>
  <c r="I24" i="1"/>
  <c r="H24" i="1"/>
  <c r="H26" i="1" s="1"/>
  <c r="G24" i="1"/>
  <c r="E24" i="1"/>
  <c r="D24" i="1"/>
  <c r="C24" i="1" s="1"/>
  <c r="AZ23" i="1"/>
  <c r="AW23" i="1"/>
  <c r="AU23" i="1"/>
  <c r="AU26" i="1" s="1"/>
  <c r="AT23" i="1"/>
  <c r="AT26" i="1" s="1"/>
  <c r="AR23" i="1"/>
  <c r="AR26" i="1" s="1"/>
  <c r="AQ23" i="1"/>
  <c r="AO23" i="1"/>
  <c r="AN23" i="1"/>
  <c r="AM23" i="1"/>
  <c r="AP23" i="1" s="1"/>
  <c r="AK23" i="1"/>
  <c r="AK26" i="1" s="1"/>
  <c r="AJ23" i="1"/>
  <c r="AJ26" i="1" s="1"/>
  <c r="AI23" i="1"/>
  <c r="AH23" i="1"/>
  <c r="AH26" i="1" s="1"/>
  <c r="AG23" i="1"/>
  <c r="AG26" i="1" s="1"/>
  <c r="AF23" i="1"/>
  <c r="AE23" i="1"/>
  <c r="AE26" i="1" s="1"/>
  <c r="AD23" i="1"/>
  <c r="AD26" i="1" s="1"/>
  <c r="AC23" i="1"/>
  <c r="AB23" i="1" s="1"/>
  <c r="Z23" i="1"/>
  <c r="Y23" i="1"/>
  <c r="X23" i="1"/>
  <c r="W23" i="1"/>
  <c r="V23" i="1"/>
  <c r="V26" i="1" s="1"/>
  <c r="U23" i="1"/>
  <c r="U26" i="1" s="1"/>
  <c r="T23" i="1"/>
  <c r="S23" i="1"/>
  <c r="Q23" i="1"/>
  <c r="P23" i="1"/>
  <c r="P26" i="1" s="1"/>
  <c r="N23" i="1"/>
  <c r="L23" i="1"/>
  <c r="K23" i="1"/>
  <c r="K26" i="1" s="1"/>
  <c r="J23" i="1"/>
  <c r="J26" i="1" s="1"/>
  <c r="I23" i="1"/>
  <c r="H23" i="1"/>
  <c r="G23" i="1"/>
  <c r="F23" i="1" s="1"/>
  <c r="E23" i="1"/>
  <c r="D23" i="1"/>
  <c r="R22" i="1"/>
  <c r="AO21" i="1"/>
  <c r="AN21" i="1"/>
  <c r="AD21" i="1"/>
  <c r="X21" i="1"/>
  <c r="W21" i="1"/>
  <c r="V21" i="1"/>
  <c r="U21" i="1"/>
  <c r="U22" i="1" s="1"/>
  <c r="R21" i="1"/>
  <c r="Q21" i="1"/>
  <c r="O21" i="1"/>
  <c r="K21" i="1"/>
  <c r="I21" i="1"/>
  <c r="G21" i="1"/>
  <c r="AU20" i="1"/>
  <c r="AT20" i="1"/>
  <c r="AR20" i="1"/>
  <c r="AS20" i="1" s="1"/>
  <c r="AL20" i="1" s="1"/>
  <c r="AQ20" i="1"/>
  <c r="AP20" i="1"/>
  <c r="AO20" i="1"/>
  <c r="AN20" i="1"/>
  <c r="AM20" i="1"/>
  <c r="AK20" i="1"/>
  <c r="AJ20" i="1"/>
  <c r="AJ21" i="1" s="1"/>
  <c r="AI20" i="1"/>
  <c r="AH20" i="1"/>
  <c r="AG20" i="1"/>
  <c r="AF20" i="1"/>
  <c r="AE20" i="1"/>
  <c r="AD20" i="1"/>
  <c r="AC20" i="1"/>
  <c r="AA20" i="1"/>
  <c r="BA20" i="1" s="1"/>
  <c r="Z20" i="1"/>
  <c r="Y20" i="1"/>
  <c r="X20" i="1"/>
  <c r="W20" i="1"/>
  <c r="V20" i="1"/>
  <c r="V28" i="1" s="1"/>
  <c r="U20" i="1"/>
  <c r="U28" i="1" s="1"/>
  <c r="T20" i="1"/>
  <c r="AZ20" i="1" s="1"/>
  <c r="S20" i="1"/>
  <c r="Q20" i="1"/>
  <c r="P20" i="1"/>
  <c r="N20" i="1"/>
  <c r="K20" i="1"/>
  <c r="K28" i="1" s="1"/>
  <c r="J20" i="1"/>
  <c r="I20" i="1"/>
  <c r="H20" i="1"/>
  <c r="H21" i="1" s="1"/>
  <c r="G20" i="1"/>
  <c r="E20" i="1"/>
  <c r="D20" i="1"/>
  <c r="C20" i="1"/>
  <c r="AU19" i="1"/>
  <c r="AT19" i="1"/>
  <c r="AT21" i="1" s="1"/>
  <c r="AR19" i="1"/>
  <c r="AQ19" i="1"/>
  <c r="AS19" i="1" s="1"/>
  <c r="AL19" i="1" s="1"/>
  <c r="AP19" i="1"/>
  <c r="AO19" i="1"/>
  <c r="AN19" i="1"/>
  <c r="AM19" i="1"/>
  <c r="AK19" i="1"/>
  <c r="AK21" i="1" s="1"/>
  <c r="AJ19" i="1"/>
  <c r="AI19" i="1"/>
  <c r="AH19" i="1"/>
  <c r="AG19" i="1"/>
  <c r="AF19" i="1"/>
  <c r="AE19" i="1"/>
  <c r="AD19" i="1"/>
  <c r="AC19" i="1"/>
  <c r="AB19" i="1" s="1"/>
  <c r="Z19" i="1"/>
  <c r="AA19" i="1" s="1"/>
  <c r="Y19" i="1"/>
  <c r="X19" i="1"/>
  <c r="S19" i="1"/>
  <c r="Q19" i="1"/>
  <c r="T19" i="1" s="1"/>
  <c r="AZ19" i="1" s="1"/>
  <c r="N19" i="1"/>
  <c r="P19" i="1" s="1"/>
  <c r="L19" i="1"/>
  <c r="K19" i="1"/>
  <c r="J19" i="1"/>
  <c r="I19" i="1"/>
  <c r="H19" i="1"/>
  <c r="G19" i="1"/>
  <c r="F19" i="1"/>
  <c r="E19" i="1"/>
  <c r="D19" i="1"/>
  <c r="C19" i="1"/>
  <c r="AU18" i="1"/>
  <c r="AU21" i="1" s="1"/>
  <c r="AT18" i="1"/>
  <c r="AR18" i="1"/>
  <c r="AQ18" i="1"/>
  <c r="AO18" i="1"/>
  <c r="AN18" i="1"/>
  <c r="AM18" i="1"/>
  <c r="AK18" i="1"/>
  <c r="AJ18" i="1"/>
  <c r="AI18" i="1"/>
  <c r="AH18" i="1"/>
  <c r="AG18" i="1"/>
  <c r="AG21" i="1" s="1"/>
  <c r="AF18" i="1"/>
  <c r="AF21" i="1" s="1"/>
  <c r="AE18" i="1"/>
  <c r="AB18" i="1" s="1"/>
  <c r="AD18" i="1"/>
  <c r="AC18" i="1"/>
  <c r="Z18" i="1"/>
  <c r="Y18" i="1"/>
  <c r="AA18" i="1" s="1"/>
  <c r="X18" i="1"/>
  <c r="S18" i="1"/>
  <c r="S21" i="1" s="1"/>
  <c r="Q18" i="1"/>
  <c r="N18" i="1"/>
  <c r="P18" i="1" s="1"/>
  <c r="J18" i="1"/>
  <c r="I18" i="1"/>
  <c r="H18" i="1"/>
  <c r="G18" i="1"/>
  <c r="F18" i="1"/>
  <c r="L18" i="1" s="1"/>
  <c r="E18" i="1"/>
  <c r="D18" i="1"/>
  <c r="C18" i="1"/>
  <c r="W17" i="1"/>
  <c r="R17" i="1"/>
  <c r="K17" i="1"/>
  <c r="J17" i="1"/>
  <c r="AR16" i="1"/>
  <c r="AH16" i="1"/>
  <c r="AG16" i="1"/>
  <c r="X16" i="1"/>
  <c r="W16" i="1"/>
  <c r="W27" i="1" s="1"/>
  <c r="V16" i="1"/>
  <c r="U16" i="1"/>
  <c r="R16" i="1"/>
  <c r="O16" i="1"/>
  <c r="K16" i="1"/>
  <c r="J16" i="1"/>
  <c r="AU15" i="1"/>
  <c r="AT15" i="1"/>
  <c r="AR15" i="1"/>
  <c r="AQ15" i="1"/>
  <c r="AS15" i="1" s="1"/>
  <c r="AL15" i="1" s="1"/>
  <c r="AO15" i="1"/>
  <c r="AN15" i="1"/>
  <c r="AM15" i="1"/>
  <c r="AP15" i="1" s="1"/>
  <c r="AK15" i="1"/>
  <c r="AK16" i="1" s="1"/>
  <c r="AJ15" i="1"/>
  <c r="AI15" i="1"/>
  <c r="AH15" i="1"/>
  <c r="AG15" i="1"/>
  <c r="AF15" i="1"/>
  <c r="AE15" i="1"/>
  <c r="AD15" i="1"/>
  <c r="AC15" i="1"/>
  <c r="AA15" i="1"/>
  <c r="BA15" i="1" s="1"/>
  <c r="Z15" i="1"/>
  <c r="Y15" i="1"/>
  <c r="X15" i="1"/>
  <c r="S15" i="1"/>
  <c r="Q15" i="1"/>
  <c r="T15" i="1" s="1"/>
  <c r="AZ15" i="1" s="1"/>
  <c r="AY15" i="1" s="1"/>
  <c r="N15" i="1"/>
  <c r="P15" i="1" s="1"/>
  <c r="J15" i="1"/>
  <c r="I15" i="1"/>
  <c r="H15" i="1"/>
  <c r="G15" i="1"/>
  <c r="F15" i="1"/>
  <c r="L15" i="1" s="1"/>
  <c r="E15" i="1"/>
  <c r="AX15" i="1" s="1"/>
  <c r="BD15" i="1" s="1"/>
  <c r="D15" i="1"/>
  <c r="AU14" i="1"/>
  <c r="AT14" i="1"/>
  <c r="AR14" i="1"/>
  <c r="AQ14" i="1"/>
  <c r="AS14" i="1" s="1"/>
  <c r="AO14" i="1"/>
  <c r="AN14" i="1"/>
  <c r="AN16" i="1" s="1"/>
  <c r="AM14" i="1"/>
  <c r="AK14" i="1"/>
  <c r="AJ14" i="1"/>
  <c r="AI14" i="1"/>
  <c r="AH14" i="1"/>
  <c r="AG14" i="1"/>
  <c r="AF14" i="1"/>
  <c r="AE14" i="1"/>
  <c r="AE16" i="1" s="1"/>
  <c r="AD14" i="1"/>
  <c r="AC14" i="1"/>
  <c r="AA14" i="1"/>
  <c r="Z14" i="1"/>
  <c r="Y14" i="1"/>
  <c r="S14" i="1"/>
  <c r="T14" i="1" s="1"/>
  <c r="AZ14" i="1" s="1"/>
  <c r="Q14" i="1"/>
  <c r="P14" i="1"/>
  <c r="N14" i="1"/>
  <c r="I14" i="1"/>
  <c r="H14" i="1"/>
  <c r="H16" i="1" s="1"/>
  <c r="G14" i="1"/>
  <c r="F14" i="1"/>
  <c r="L14" i="1" s="1"/>
  <c r="E14" i="1"/>
  <c r="C14" i="1" s="1"/>
  <c r="D14" i="1"/>
  <c r="AZ13" i="1"/>
  <c r="AU13" i="1"/>
  <c r="AT13" i="1"/>
  <c r="AR13" i="1"/>
  <c r="AQ13" i="1"/>
  <c r="AO13" i="1"/>
  <c r="AO16" i="1" s="1"/>
  <c r="AN13" i="1"/>
  <c r="AM13" i="1"/>
  <c r="AK13" i="1"/>
  <c r="AJ13" i="1"/>
  <c r="AJ16" i="1" s="1"/>
  <c r="AI13" i="1"/>
  <c r="AH13" i="1"/>
  <c r="AG13" i="1"/>
  <c r="AF13" i="1"/>
  <c r="AE13" i="1"/>
  <c r="AD13" i="1"/>
  <c r="AC13" i="1"/>
  <c r="Z13" i="1"/>
  <c r="Z16" i="1" s="1"/>
  <c r="Y13" i="1"/>
  <c r="Y16" i="1" s="1"/>
  <c r="X13" i="1"/>
  <c r="S13" i="1"/>
  <c r="Q13" i="1"/>
  <c r="T13" i="1" s="1"/>
  <c r="N13" i="1"/>
  <c r="P13" i="1" s="1"/>
  <c r="I13" i="1"/>
  <c r="I16" i="1" s="1"/>
  <c r="H13" i="1"/>
  <c r="G13" i="1"/>
  <c r="G16" i="1" s="1"/>
  <c r="G27" i="1" s="1"/>
  <c r="F13" i="1"/>
  <c r="E13" i="1"/>
  <c r="D13" i="1"/>
  <c r="D16" i="1" s="1"/>
  <c r="C13" i="1"/>
  <c r="AQ12" i="1"/>
  <c r="AN12" i="1"/>
  <c r="AE12" i="1"/>
  <c r="W12" i="1"/>
  <c r="W22" i="1" s="1"/>
  <c r="V12" i="1"/>
  <c r="U12" i="1"/>
  <c r="R12" i="1"/>
  <c r="O12" i="1"/>
  <c r="K12" i="1"/>
  <c r="J12" i="1"/>
  <c r="E12" i="1"/>
  <c r="D12" i="1"/>
  <c r="C12" i="1"/>
  <c r="BA11" i="1"/>
  <c r="AS11" i="1"/>
  <c r="AP11" i="1"/>
  <c r="AK11" i="1"/>
  <c r="AH11" i="1"/>
  <c r="AB11" i="1"/>
  <c r="AA11" i="1"/>
  <c r="T11" i="1"/>
  <c r="AZ11" i="1" s="1"/>
  <c r="AY11" i="1" s="1"/>
  <c r="N11" i="1"/>
  <c r="P11" i="1" s="1"/>
  <c r="AW11" i="1" s="1"/>
  <c r="BC11" i="1" s="1"/>
  <c r="M11" i="1"/>
  <c r="F11" i="1"/>
  <c r="L11" i="1" s="1"/>
  <c r="C11" i="1"/>
  <c r="AU10" i="1"/>
  <c r="AT10" i="1"/>
  <c r="AR10" i="1"/>
  <c r="AS10" i="1" s="1"/>
  <c r="AQ10" i="1"/>
  <c r="AO10" i="1"/>
  <c r="AO12" i="1" s="1"/>
  <c r="AN10" i="1"/>
  <c r="AM10" i="1"/>
  <c r="AK10" i="1"/>
  <c r="AJ10" i="1"/>
  <c r="AI10" i="1"/>
  <c r="AH10" i="1"/>
  <c r="AG10" i="1"/>
  <c r="AW10" i="1" s="1"/>
  <c r="AF10" i="1"/>
  <c r="AF12" i="1" s="1"/>
  <c r="AE10" i="1"/>
  <c r="AD10" i="1"/>
  <c r="AC10" i="1"/>
  <c r="Z10" i="1"/>
  <c r="Y10" i="1"/>
  <c r="Y12" i="1" s="1"/>
  <c r="X10" i="1"/>
  <c r="AA10" i="1" s="1"/>
  <c r="BA10" i="1" s="1"/>
  <c r="S10" i="1"/>
  <c r="Q10" i="1"/>
  <c r="T10" i="1" s="1"/>
  <c r="P10" i="1"/>
  <c r="N10" i="1"/>
  <c r="I10" i="1"/>
  <c r="H10" i="1"/>
  <c r="G10" i="1"/>
  <c r="E10" i="1"/>
  <c r="D10" i="1"/>
  <c r="C10" i="1"/>
  <c r="AU9" i="1"/>
  <c r="AT9" i="1"/>
  <c r="AR9" i="1"/>
  <c r="AS9" i="1" s="1"/>
  <c r="AP9" i="1"/>
  <c r="AL9" i="1" s="1"/>
  <c r="AO9" i="1"/>
  <c r="AN9" i="1"/>
  <c r="AM9" i="1"/>
  <c r="AK9" i="1"/>
  <c r="AJ9" i="1"/>
  <c r="AI9" i="1"/>
  <c r="AH9" i="1"/>
  <c r="AG9" i="1"/>
  <c r="AF9" i="1"/>
  <c r="AE9" i="1"/>
  <c r="AD9" i="1"/>
  <c r="AC9" i="1"/>
  <c r="AC12" i="1" s="1"/>
  <c r="Z9" i="1"/>
  <c r="Z12" i="1" s="1"/>
  <c r="Y9" i="1"/>
  <c r="X9" i="1"/>
  <c r="S9" i="1"/>
  <c r="Q9" i="1"/>
  <c r="T9" i="1" s="1"/>
  <c r="AZ9" i="1" s="1"/>
  <c r="N9" i="1"/>
  <c r="P9" i="1" s="1"/>
  <c r="I9" i="1"/>
  <c r="H9" i="1"/>
  <c r="G9" i="1"/>
  <c r="G12" i="1" s="1"/>
  <c r="F9" i="1"/>
  <c r="E9" i="1"/>
  <c r="D9" i="1"/>
  <c r="C9" i="1"/>
  <c r="AU8" i="1"/>
  <c r="AT8" i="1"/>
  <c r="AR8" i="1"/>
  <c r="AR28" i="1" s="1"/>
  <c r="AO8" i="1"/>
  <c r="AN8" i="1"/>
  <c r="AM8" i="1"/>
  <c r="AK8" i="1"/>
  <c r="AJ8" i="1"/>
  <c r="AJ12" i="1" s="1"/>
  <c r="AI8" i="1"/>
  <c r="AH8" i="1"/>
  <c r="AH28" i="1" s="1"/>
  <c r="AG8" i="1"/>
  <c r="AF8" i="1"/>
  <c r="AE8" i="1"/>
  <c r="AD8" i="1"/>
  <c r="AC8" i="1"/>
  <c r="AA8" i="1"/>
  <c r="Z8" i="1"/>
  <c r="Y8" i="1"/>
  <c r="X8" i="1"/>
  <c r="S8" i="1"/>
  <c r="S12" i="1" s="1"/>
  <c r="Q8" i="1"/>
  <c r="N8" i="1"/>
  <c r="L8" i="1"/>
  <c r="H8" i="1"/>
  <c r="G8" i="1"/>
  <c r="F8" i="1"/>
  <c r="E8" i="1"/>
  <c r="D8" i="1"/>
  <c r="C8" i="1"/>
  <c r="AU7" i="1"/>
  <c r="AT7" i="1"/>
  <c r="AR7" i="1"/>
  <c r="AQ7" i="1"/>
  <c r="AP7" i="1"/>
  <c r="AO7" i="1"/>
  <c r="AN7" i="1"/>
  <c r="AM7" i="1"/>
  <c r="AK7" i="1"/>
  <c r="AJ7" i="1"/>
  <c r="AI7" i="1"/>
  <c r="AH7" i="1"/>
  <c r="AG7" i="1"/>
  <c r="AF7" i="1"/>
  <c r="AE7" i="1"/>
  <c r="AD7" i="1"/>
  <c r="AC7" i="1"/>
  <c r="AB7" i="1"/>
  <c r="AA7" i="1"/>
  <c r="BA7" i="1" s="1"/>
  <c r="Z7" i="1"/>
  <c r="Y7" i="1"/>
  <c r="X7" i="1"/>
  <c r="W7" i="1"/>
  <c r="V7" i="1"/>
  <c r="V29" i="1" s="1"/>
  <c r="U7" i="1"/>
  <c r="T7" i="1"/>
  <c r="AZ7" i="1" s="1"/>
  <c r="S7" i="1"/>
  <c r="Q7" i="1"/>
  <c r="P7" i="1"/>
  <c r="N7" i="1"/>
  <c r="K7" i="1"/>
  <c r="J7" i="1"/>
  <c r="I7" i="1"/>
  <c r="H7" i="1"/>
  <c r="G7" i="1"/>
  <c r="E7" i="1"/>
  <c r="D7" i="1"/>
  <c r="C7" i="1" s="1"/>
  <c r="BA19" i="1" l="1"/>
  <c r="AY19" i="1" s="1"/>
  <c r="M19" i="1"/>
  <c r="S22" i="1"/>
  <c r="AF27" i="1"/>
  <c r="AF22" i="1"/>
  <c r="K34" i="1"/>
  <c r="K29" i="1"/>
  <c r="K33" i="1"/>
  <c r="AR33" i="1"/>
  <c r="AR34" i="1"/>
  <c r="AO22" i="1"/>
  <c r="AO27" i="1"/>
  <c r="AO17" i="1"/>
  <c r="AS8" i="1"/>
  <c r="AS12" i="1" s="1"/>
  <c r="AW26" i="1"/>
  <c r="BC23" i="1"/>
  <c r="J21" i="1"/>
  <c r="J22" i="1" s="1"/>
  <c r="AB10" i="1"/>
  <c r="AP13" i="1"/>
  <c r="V22" i="1"/>
  <c r="V27" i="1"/>
  <c r="P21" i="1"/>
  <c r="AW20" i="1"/>
  <c r="AG12" i="1"/>
  <c r="AG28" i="1"/>
  <c r="AB8" i="1"/>
  <c r="AB12" i="1" s="1"/>
  <c r="AW9" i="1"/>
  <c r="AR12" i="1"/>
  <c r="AQ16" i="1"/>
  <c r="AQ17" i="1" s="1"/>
  <c r="AS13" i="1"/>
  <c r="AS16" i="1" s="1"/>
  <c r="AQ28" i="1"/>
  <c r="AQ29" i="1" s="1"/>
  <c r="AS29" i="1" s="1"/>
  <c r="AP18" i="1"/>
  <c r="AM21" i="1"/>
  <c r="W33" i="1"/>
  <c r="W34" i="1"/>
  <c r="AW18" i="1"/>
  <c r="AY7" i="1"/>
  <c r="AI12" i="1"/>
  <c r="AI28" i="1"/>
  <c r="T18" i="1"/>
  <c r="AB20" i="1"/>
  <c r="AP26" i="1"/>
  <c r="AJ22" i="1"/>
  <c r="AJ27" i="1"/>
  <c r="AJ17" i="1"/>
  <c r="BA14" i="1"/>
  <c r="AY14" i="1" s="1"/>
  <c r="AU16" i="1"/>
  <c r="AE21" i="1"/>
  <c r="AB14" i="1"/>
  <c r="AB15" i="1"/>
  <c r="AC16" i="1"/>
  <c r="AC17" i="1" s="1"/>
  <c r="AR21" i="1"/>
  <c r="AX20" i="1"/>
  <c r="BD20" i="1" s="1"/>
  <c r="AY24" i="1"/>
  <c r="AM26" i="1"/>
  <c r="I28" i="1"/>
  <c r="I29" i="1" s="1"/>
  <c r="I12" i="1"/>
  <c r="O27" i="1"/>
  <c r="O30" i="1" s="1"/>
  <c r="O17" i="1"/>
  <c r="O22" i="1"/>
  <c r="AZ16" i="1"/>
  <c r="D26" i="1"/>
  <c r="C23" i="1"/>
  <c r="C26" i="1" s="1"/>
  <c r="AL24" i="1"/>
  <c r="AY32" i="1"/>
  <c r="AZ10" i="1"/>
  <c r="AY10" i="1" s="1"/>
  <c r="M10" i="1"/>
  <c r="AB21" i="1"/>
  <c r="AB26" i="1"/>
  <c r="AH33" i="1"/>
  <c r="AH34" i="1"/>
  <c r="Z28" i="1"/>
  <c r="Z29" i="1" s="1"/>
  <c r="K22" i="1"/>
  <c r="AA13" i="1"/>
  <c r="M13" i="1" s="1"/>
  <c r="F10" i="1"/>
  <c r="L10" i="1" s="1"/>
  <c r="H12" i="1"/>
  <c r="BA18" i="1"/>
  <c r="AA21" i="1"/>
  <c r="AM28" i="1"/>
  <c r="AF16" i="1"/>
  <c r="AF17" i="1" s="1"/>
  <c r="AX23" i="1"/>
  <c r="E26" i="1"/>
  <c r="E27" i="1" s="1"/>
  <c r="AR29" i="1"/>
  <c r="AS7" i="1"/>
  <c r="AL7" i="1" s="1"/>
  <c r="S17" i="1"/>
  <c r="F16" i="1"/>
  <c r="E16" i="1"/>
  <c r="M20" i="1"/>
  <c r="AQ21" i="1"/>
  <c r="AQ27" i="1" s="1"/>
  <c r="AQ30" i="1" s="1"/>
  <c r="F26" i="1"/>
  <c r="AP10" i="1"/>
  <c r="AL10" i="1" s="1"/>
  <c r="AI16" i="1"/>
  <c r="AB13" i="1"/>
  <c r="AL11" i="1"/>
  <c r="AX11" i="1"/>
  <c r="BD11" i="1" s="1"/>
  <c r="BB11" i="1" s="1"/>
  <c r="X12" i="1"/>
  <c r="D28" i="1"/>
  <c r="AW19" i="1"/>
  <c r="D21" i="1"/>
  <c r="D22" i="1" s="1"/>
  <c r="AY20" i="1"/>
  <c r="AZ26" i="1"/>
  <c r="J29" i="1"/>
  <c r="Z22" i="1"/>
  <c r="Z17" i="1"/>
  <c r="Y17" i="1"/>
  <c r="AE27" i="1"/>
  <c r="AE17" i="1"/>
  <c r="AE22" i="1"/>
  <c r="L13" i="1"/>
  <c r="L16" i="1" s="1"/>
  <c r="AX19" i="1"/>
  <c r="BD19" i="1" s="1"/>
  <c r="E21" i="1"/>
  <c r="U34" i="1"/>
  <c r="U29" i="1"/>
  <c r="U33" i="1"/>
  <c r="BA8" i="1"/>
  <c r="AA9" i="1"/>
  <c r="BA9" i="1" s="1"/>
  <c r="AY9" i="1" s="1"/>
  <c r="P16" i="1"/>
  <c r="J28" i="1"/>
  <c r="L26" i="1"/>
  <c r="AX24" i="1"/>
  <c r="BD24" i="1" s="1"/>
  <c r="AB24" i="1"/>
  <c r="AC26" i="1"/>
  <c r="AH12" i="1"/>
  <c r="M14" i="1"/>
  <c r="AP14" i="1"/>
  <c r="AL14" i="1" s="1"/>
  <c r="AM16" i="1"/>
  <c r="M15" i="1"/>
  <c r="V17" i="1"/>
  <c r="AW24" i="1"/>
  <c r="F24" i="1"/>
  <c r="L24" i="1" s="1"/>
  <c r="H29" i="1"/>
  <c r="AX7" i="1"/>
  <c r="BD7" i="1" s="1"/>
  <c r="M7" i="1"/>
  <c r="D17" i="1"/>
  <c r="AF28" i="1"/>
  <c r="AN17" i="1"/>
  <c r="T26" i="1"/>
  <c r="V30" i="1"/>
  <c r="G22" i="1"/>
  <c r="AJ28" i="1"/>
  <c r="Y28" i="1"/>
  <c r="AO28" i="1"/>
  <c r="H28" i="1"/>
  <c r="AW13" i="1"/>
  <c r="AW15" i="1"/>
  <c r="BD25" i="1"/>
  <c r="M32" i="1"/>
  <c r="AM29" i="1"/>
  <c r="AC28" i="1"/>
  <c r="AH21" i="1"/>
  <c r="AQ26" i="1"/>
  <c r="AN27" i="1"/>
  <c r="Q28" i="1"/>
  <c r="E28" i="1"/>
  <c r="AM12" i="1"/>
  <c r="T16" i="1"/>
  <c r="Q16" i="1"/>
  <c r="AI21" i="1"/>
  <c r="Y21" i="1"/>
  <c r="Y27" i="1" s="1"/>
  <c r="Y30" i="1" s="1"/>
  <c r="AN22" i="1"/>
  <c r="I26" i="1"/>
  <c r="AA23" i="1"/>
  <c r="R33" i="1"/>
  <c r="R29" i="1"/>
  <c r="R30" i="1" s="1"/>
  <c r="BD32" i="1"/>
  <c r="AT12" i="1"/>
  <c r="AT28" i="1"/>
  <c r="E17" i="1"/>
  <c r="N16" i="1"/>
  <c r="V34" i="1"/>
  <c r="W29" i="1"/>
  <c r="AU28" i="1"/>
  <c r="AU12" i="1"/>
  <c r="Z26" i="1"/>
  <c r="Z27" i="1" s="1"/>
  <c r="V33" i="1"/>
  <c r="X29" i="1"/>
  <c r="AN29" i="1"/>
  <c r="AD12" i="1"/>
  <c r="AD28" i="1"/>
  <c r="Y29" i="1"/>
  <c r="F12" i="1"/>
  <c r="AE28" i="1"/>
  <c r="S16" i="1"/>
  <c r="S27" i="1" s="1"/>
  <c r="AW14" i="1"/>
  <c r="G17" i="1"/>
  <c r="F20" i="1"/>
  <c r="L20" i="1" s="1"/>
  <c r="L21" i="1" s="1"/>
  <c r="AS23" i="1"/>
  <c r="AS26" i="1" s="1"/>
  <c r="S28" i="1"/>
  <c r="G29" i="1"/>
  <c r="F29" i="1" s="1"/>
  <c r="F7" i="1"/>
  <c r="L7" i="1" s="1"/>
  <c r="K27" i="1"/>
  <c r="K30" i="1" s="1"/>
  <c r="M24" i="1"/>
  <c r="AL31" i="1"/>
  <c r="AV32" i="1"/>
  <c r="BC32" i="1"/>
  <c r="BB32" i="1" s="1"/>
  <c r="BB31" i="1"/>
  <c r="N12" i="1"/>
  <c r="N28" i="1"/>
  <c r="AB9" i="1"/>
  <c r="C16" i="1"/>
  <c r="C17" i="1" s="1"/>
  <c r="C21" i="1"/>
  <c r="N21" i="1"/>
  <c r="M25" i="1"/>
  <c r="AW25" i="1"/>
  <c r="P8" i="1"/>
  <c r="AK28" i="1"/>
  <c r="Z21" i="1"/>
  <c r="Q26" i="1"/>
  <c r="N29" i="1"/>
  <c r="P29" i="1" s="1"/>
  <c r="AW7" i="1"/>
  <c r="T8" i="1"/>
  <c r="Q12" i="1"/>
  <c r="AX9" i="1"/>
  <c r="AK12" i="1"/>
  <c r="AX13" i="1"/>
  <c r="AD16" i="1"/>
  <c r="AT16" i="1"/>
  <c r="AS18" i="1"/>
  <c r="AS21" i="1" s="1"/>
  <c r="L9" i="1"/>
  <c r="L12" i="1" s="1"/>
  <c r="E22" i="1"/>
  <c r="AH29" i="1"/>
  <c r="X28" i="1"/>
  <c r="AN28" i="1"/>
  <c r="AP8" i="1"/>
  <c r="AX8" i="1" s="1"/>
  <c r="U17" i="1"/>
  <c r="U27" i="1"/>
  <c r="U30" i="1" s="1"/>
  <c r="G28" i="1"/>
  <c r="W30" i="1"/>
  <c r="AC21" i="1"/>
  <c r="AC22" i="1" s="1"/>
  <c r="C15" i="1"/>
  <c r="E30" i="1" l="1"/>
  <c r="BD8" i="1"/>
  <c r="Z30" i="1"/>
  <c r="AJ30" i="1"/>
  <c r="L27" i="1"/>
  <c r="L22" i="1"/>
  <c r="L17" i="1"/>
  <c r="M26" i="1"/>
  <c r="BD13" i="1"/>
  <c r="AZ18" i="1"/>
  <c r="T21" i="1"/>
  <c r="M21" i="1" s="1"/>
  <c r="AA30" i="1"/>
  <c r="AS22" i="1"/>
  <c r="AS17" i="1"/>
  <c r="AS27" i="1"/>
  <c r="AE34" i="1"/>
  <c r="AE33" i="1"/>
  <c r="F27" i="1"/>
  <c r="F17" i="1"/>
  <c r="AM22" i="1"/>
  <c r="AM27" i="1"/>
  <c r="AM30" i="1" s="1"/>
  <c r="AM17" i="1"/>
  <c r="Y33" i="1"/>
  <c r="Y34" i="1"/>
  <c r="C27" i="1"/>
  <c r="BC19" i="1"/>
  <c r="BB19" i="1" s="1"/>
  <c r="AV19" i="1"/>
  <c r="H17" i="1"/>
  <c r="H27" i="1"/>
  <c r="H30" i="1" s="1"/>
  <c r="H22" i="1"/>
  <c r="AX14" i="1"/>
  <c r="BD14" i="1" s="1"/>
  <c r="AL13" i="1"/>
  <c r="AL16" i="1" s="1"/>
  <c r="AP16" i="1"/>
  <c r="L29" i="1"/>
  <c r="AB22" i="1"/>
  <c r="AB17" i="1"/>
  <c r="AK17" i="1"/>
  <c r="AK27" i="1"/>
  <c r="AK30" i="1" s="1"/>
  <c r="AK22" i="1"/>
  <c r="BA12" i="1"/>
  <c r="AG33" i="1"/>
  <c r="AG34" i="1"/>
  <c r="AO33" i="1"/>
  <c r="AO34" i="1"/>
  <c r="C22" i="1"/>
  <c r="AO29" i="1"/>
  <c r="AO30" i="1" s="1"/>
  <c r="D34" i="1"/>
  <c r="D33" i="1"/>
  <c r="C28" i="1"/>
  <c r="C34" i="1" s="1"/>
  <c r="D29" i="1"/>
  <c r="AW28" i="1"/>
  <c r="X17" i="1"/>
  <c r="X27" i="1"/>
  <c r="X30" i="1" s="1"/>
  <c r="X22" i="1"/>
  <c r="AP21" i="1"/>
  <c r="AL18" i="1"/>
  <c r="AL21" i="1" s="1"/>
  <c r="P12" i="1"/>
  <c r="M8" i="1"/>
  <c r="Q33" i="1"/>
  <c r="T33" i="1" s="1"/>
  <c r="AZ33" i="1" s="1"/>
  <c r="Q34" i="1"/>
  <c r="T28" i="1"/>
  <c r="AE30" i="1"/>
  <c r="AS28" i="1"/>
  <c r="AS34" i="1" s="1"/>
  <c r="AQ33" i="1"/>
  <c r="AS33" i="1" s="1"/>
  <c r="AQ34" i="1"/>
  <c r="AX18" i="1"/>
  <c r="AG29" i="1"/>
  <c r="G30" i="1"/>
  <c r="F30" i="1" s="1"/>
  <c r="AN30" i="1"/>
  <c r="AL23" i="1"/>
  <c r="AL26" i="1" s="1"/>
  <c r="AD29" i="1"/>
  <c r="AD34" i="1"/>
  <c r="AD33" i="1"/>
  <c r="Y22" i="1"/>
  <c r="J27" i="1"/>
  <c r="J30" i="1" s="1"/>
  <c r="I17" i="1"/>
  <c r="I27" i="1"/>
  <c r="I30" i="1" s="1"/>
  <c r="I22" i="1"/>
  <c r="E33" i="1"/>
  <c r="E29" i="1"/>
  <c r="E34" i="1"/>
  <c r="AT29" i="1"/>
  <c r="AT34" i="1"/>
  <c r="AT33" i="1"/>
  <c r="AJ33" i="1"/>
  <c r="AJ34" i="1"/>
  <c r="AX10" i="1"/>
  <c r="AE29" i="1"/>
  <c r="AT27" i="1"/>
  <c r="AT22" i="1"/>
  <c r="AT17" i="1"/>
  <c r="J33" i="1"/>
  <c r="J34" i="1"/>
  <c r="Z33" i="1"/>
  <c r="Z34" i="1"/>
  <c r="BC25" i="1"/>
  <c r="BB25" i="1" s="1"/>
  <c r="AV25" i="1"/>
  <c r="AD27" i="1"/>
  <c r="AD22" i="1"/>
  <c r="AD17" i="1"/>
  <c r="Q29" i="1"/>
  <c r="T29" i="1" s="1"/>
  <c r="AZ29" i="1" s="1"/>
  <c r="BC24" i="1"/>
  <c r="BB24" i="1" s="1"/>
  <c r="AV24" i="1"/>
  <c r="AB16" i="1"/>
  <c r="AB27" i="1" s="1"/>
  <c r="I33" i="1"/>
  <c r="I34" i="1"/>
  <c r="AQ22" i="1"/>
  <c r="AR27" i="1"/>
  <c r="AR30" i="1" s="1"/>
  <c r="AS30" i="1" s="1"/>
  <c r="AR22" i="1"/>
  <c r="AR17" i="1"/>
  <c r="BC10" i="1"/>
  <c r="AK34" i="1"/>
  <c r="AK33" i="1"/>
  <c r="AK29" i="1"/>
  <c r="AA16" i="1"/>
  <c r="M16" i="1" s="1"/>
  <c r="BA13" i="1"/>
  <c r="AC34" i="1"/>
  <c r="AC33" i="1"/>
  <c r="AB28" i="1"/>
  <c r="AB34" i="1" s="1"/>
  <c r="AC29" i="1"/>
  <c r="AV11" i="1"/>
  <c r="AV9" i="1"/>
  <c r="BC9" i="1"/>
  <c r="BB9" i="1" s="1"/>
  <c r="BC26" i="1"/>
  <c r="AI33" i="1"/>
  <c r="AI34" i="1"/>
  <c r="AI29" i="1"/>
  <c r="BD9" i="1"/>
  <c r="AA12" i="1"/>
  <c r="AI27" i="1"/>
  <c r="AI30" i="1" s="1"/>
  <c r="AI17" i="1"/>
  <c r="AI22" i="1"/>
  <c r="AU27" i="1"/>
  <c r="AU30" i="1" s="1"/>
  <c r="AU17" i="1"/>
  <c r="AU22" i="1"/>
  <c r="AM33" i="1"/>
  <c r="AM34" i="1"/>
  <c r="AP28" i="1"/>
  <c r="AX28" i="1" s="1"/>
  <c r="AV20" i="1"/>
  <c r="BC20" i="1"/>
  <c r="BB20" i="1" s="1"/>
  <c r="N34" i="1"/>
  <c r="P28" i="1"/>
  <c r="N33" i="1"/>
  <c r="P33" i="1" s="1"/>
  <c r="AU34" i="1"/>
  <c r="AU33" i="1"/>
  <c r="F21" i="1"/>
  <c r="F22" i="1" s="1"/>
  <c r="D27" i="1"/>
  <c r="D30" i="1" s="1"/>
  <c r="AA28" i="1"/>
  <c r="M9" i="1"/>
  <c r="AJ29" i="1"/>
  <c r="M18" i="1"/>
  <c r="AN34" i="1"/>
  <c r="AN33" i="1"/>
  <c r="AV7" i="1"/>
  <c r="BC7" i="1"/>
  <c r="BB7" i="1" s="1"/>
  <c r="N17" i="1"/>
  <c r="N27" i="1"/>
  <c r="N30" i="1" s="1"/>
  <c r="P30" i="1" s="1"/>
  <c r="N22" i="1"/>
  <c r="BC14" i="1"/>
  <c r="AW8" i="1"/>
  <c r="BC13" i="1"/>
  <c r="AV13" i="1"/>
  <c r="AW16" i="1"/>
  <c r="AC27" i="1"/>
  <c r="AC30" i="1" s="1"/>
  <c r="S33" i="1"/>
  <c r="S34" i="1"/>
  <c r="S29" i="1"/>
  <c r="S30" i="1" s="1"/>
  <c r="AX26" i="1"/>
  <c r="BD23" i="1"/>
  <c r="BD26" i="1" s="1"/>
  <c r="AA29" i="1"/>
  <c r="BA29" i="1" s="1"/>
  <c r="AL8" i="1"/>
  <c r="AL12" i="1" s="1"/>
  <c r="AP12" i="1"/>
  <c r="AZ8" i="1"/>
  <c r="T12" i="1"/>
  <c r="AV15" i="1"/>
  <c r="BC15" i="1"/>
  <c r="BB15" i="1" s="1"/>
  <c r="AH27" i="1"/>
  <c r="AH30" i="1" s="1"/>
  <c r="AH22" i="1"/>
  <c r="AH17" i="1"/>
  <c r="X34" i="1"/>
  <c r="X33" i="1"/>
  <c r="AA33" i="1" s="1"/>
  <c r="BA33" i="1" s="1"/>
  <c r="AU29" i="1"/>
  <c r="H33" i="1"/>
  <c r="H34" i="1"/>
  <c r="BA21" i="1"/>
  <c r="AW21" i="1"/>
  <c r="BC18" i="1"/>
  <c r="AA26" i="1"/>
  <c r="BA23" i="1"/>
  <c r="M23" i="1"/>
  <c r="F28" i="1"/>
  <c r="G34" i="1"/>
  <c r="G33" i="1"/>
  <c r="F33" i="1" s="1"/>
  <c r="AV23" i="1"/>
  <c r="AV26" i="1" s="1"/>
  <c r="AF34" i="1"/>
  <c r="AF33" i="1"/>
  <c r="AF29" i="1"/>
  <c r="AF30" i="1" s="1"/>
  <c r="AG27" i="1"/>
  <c r="AG30" i="1" s="1"/>
  <c r="AG22" i="1"/>
  <c r="AG17" i="1"/>
  <c r="Q17" i="1"/>
  <c r="Q22" i="1"/>
  <c r="Q27" i="1"/>
  <c r="BD28" i="1" l="1"/>
  <c r="BD34" i="1" s="1"/>
  <c r="AX34" i="1"/>
  <c r="C30" i="1"/>
  <c r="BA16" i="1"/>
  <c r="AY13" i="1"/>
  <c r="AY16" i="1" s="1"/>
  <c r="AY18" i="1"/>
  <c r="AY21" i="1" s="1"/>
  <c r="AZ21" i="1"/>
  <c r="AP29" i="1"/>
  <c r="AL29" i="1" s="1"/>
  <c r="AV8" i="1"/>
  <c r="AW12" i="1"/>
  <c r="AW17" i="1" s="1"/>
  <c r="AW22" i="1" s="1"/>
  <c r="AW27" i="1" s="1"/>
  <c r="BC8" i="1"/>
  <c r="AA27" i="1"/>
  <c r="AA17" i="1"/>
  <c r="AA22" i="1"/>
  <c r="BA26" i="1"/>
  <c r="AY23" i="1"/>
  <c r="AY26" i="1" s="1"/>
  <c r="AP30" i="1"/>
  <c r="AL30" i="1" s="1"/>
  <c r="AY8" i="1"/>
  <c r="AY12" i="1" s="1"/>
  <c r="AZ12" i="1"/>
  <c r="AZ17" i="1" s="1"/>
  <c r="AZ22" i="1" s="1"/>
  <c r="AZ27" i="1" s="1"/>
  <c r="M33" i="1"/>
  <c r="AX21" i="1"/>
  <c r="BD18" i="1"/>
  <c r="BD21" i="1" s="1"/>
  <c r="AW29" i="1"/>
  <c r="C29" i="1"/>
  <c r="Q30" i="1"/>
  <c r="T30" i="1" s="1"/>
  <c r="AZ30" i="1" s="1"/>
  <c r="AV18" i="1"/>
  <c r="AV21" i="1" s="1"/>
  <c r="AP22" i="1"/>
  <c r="AP27" i="1"/>
  <c r="AP17" i="1"/>
  <c r="M28" i="1"/>
  <c r="M34" i="1" s="1"/>
  <c r="P34" i="1"/>
  <c r="AB33" i="1"/>
  <c r="BA30" i="1"/>
  <c r="L33" i="1"/>
  <c r="BA28" i="1"/>
  <c r="BA34" i="1" s="1"/>
  <c r="AA34" i="1"/>
  <c r="AY29" i="1"/>
  <c r="BA17" i="1"/>
  <c r="BA22" i="1" s="1"/>
  <c r="BA27" i="1" s="1"/>
  <c r="F34" i="1"/>
  <c r="L28" i="1"/>
  <c r="L34" i="1" s="1"/>
  <c r="BB13" i="1"/>
  <c r="BC16" i="1"/>
  <c r="AD30" i="1"/>
  <c r="AW30" i="1" s="1"/>
  <c r="L30" i="1"/>
  <c r="AX16" i="1"/>
  <c r="T22" i="1"/>
  <c r="T27" i="1"/>
  <c r="T17" i="1"/>
  <c r="AV14" i="1"/>
  <c r="AV16" i="1" s="1"/>
  <c r="AV28" i="1"/>
  <c r="AV34" i="1" s="1"/>
  <c r="AW34" i="1"/>
  <c r="BD16" i="1"/>
  <c r="BB14" i="1"/>
  <c r="BC21" i="1"/>
  <c r="BB18" i="1"/>
  <c r="BB21" i="1" s="1"/>
  <c r="AL27" i="1"/>
  <c r="AL22" i="1"/>
  <c r="AL17" i="1"/>
  <c r="C33" i="1"/>
  <c r="AW33" i="1"/>
  <c r="BB23" i="1"/>
  <c r="BB26" i="1" s="1"/>
  <c r="AL28" i="1"/>
  <c r="AL34" i="1" s="1"/>
  <c r="AP34" i="1"/>
  <c r="T34" i="1"/>
  <c r="AZ28" i="1"/>
  <c r="AP33" i="1"/>
  <c r="AL33" i="1" s="1"/>
  <c r="AT30" i="1"/>
  <c r="AY33" i="1"/>
  <c r="AB29" i="1"/>
  <c r="M29" i="1"/>
  <c r="BD10" i="1"/>
  <c r="BB10" i="1" s="1"/>
  <c r="AV10" i="1"/>
  <c r="P17" i="1"/>
  <c r="P22" i="1"/>
  <c r="P27" i="1"/>
  <c r="M12" i="1"/>
  <c r="AX12" i="1"/>
  <c r="AX17" i="1" s="1"/>
  <c r="BC30" i="1" l="1"/>
  <c r="BB16" i="1"/>
  <c r="AY30" i="1"/>
  <c r="AY28" i="1"/>
  <c r="AY34" i="1" s="1"/>
  <c r="AZ34" i="1"/>
  <c r="BC28" i="1"/>
  <c r="BC29" i="1"/>
  <c r="BB29" i="1" s="1"/>
  <c r="AV29" i="1"/>
  <c r="BD12" i="1"/>
  <c r="BD17" i="1" s="1"/>
  <c r="BD22" i="1" s="1"/>
  <c r="BD27" i="1" s="1"/>
  <c r="BC12" i="1"/>
  <c r="BC17" i="1" s="1"/>
  <c r="BC22" i="1" s="1"/>
  <c r="BC27" i="1" s="1"/>
  <c r="BB8" i="1"/>
  <c r="BB12" i="1" s="1"/>
  <c r="BB17" i="1" s="1"/>
  <c r="BB22" i="1" s="1"/>
  <c r="BB27" i="1" s="1"/>
  <c r="AV12" i="1"/>
  <c r="AV17" i="1" s="1"/>
  <c r="AV22" i="1" s="1"/>
  <c r="AV27" i="1" s="1"/>
  <c r="AX22" i="1"/>
  <c r="AX27" i="1" s="1"/>
  <c r="BC33" i="1"/>
  <c r="BB33" i="1" s="1"/>
  <c r="AV33" i="1"/>
  <c r="AB30" i="1"/>
  <c r="AY17" i="1"/>
  <c r="AY22" i="1" s="1"/>
  <c r="AY27" i="1" s="1"/>
  <c r="M27" i="1"/>
  <c r="AX29" i="1"/>
  <c r="BD29" i="1" s="1"/>
  <c r="M22" i="1"/>
  <c r="AX33" i="1"/>
  <c r="BD33" i="1" s="1"/>
  <c r="M17" i="1"/>
  <c r="M30" i="1"/>
  <c r="AX30" i="1"/>
  <c r="BD30" i="1" s="1"/>
  <c r="BB30" i="1" l="1"/>
  <c r="AV30" i="1"/>
  <c r="BB28" i="1"/>
  <c r="BB34" i="1" s="1"/>
  <c r="BE28" i="1"/>
  <c r="BE30" i="1" s="1"/>
  <c r="BC34" i="1"/>
</calcChain>
</file>

<file path=xl/sharedStrings.xml><?xml version="1.0" encoding="utf-8"?>
<sst xmlns="http://schemas.openxmlformats.org/spreadsheetml/2006/main" count="123" uniqueCount="123">
  <si>
    <t>CASA DE ASIGURARI DE SANATATE OLT</t>
  </si>
  <si>
    <t>SITUATIA</t>
  </si>
  <si>
    <t>Nr. crt.</t>
  </si>
  <si>
    <t>9=6+7+8</t>
  </si>
  <si>
    <t>10=5+9</t>
  </si>
  <si>
    <t>14=11+12+13</t>
  </si>
  <si>
    <t>15=10+14</t>
  </si>
  <si>
    <t>22=1-21</t>
  </si>
  <si>
    <t>4bis</t>
  </si>
  <si>
    <t>TOTAL SUME COST VOLUM</t>
  </si>
  <si>
    <t>Credite angajament aprobate an 2023, din care:</t>
  </si>
  <si>
    <t>Credite neconsumate AN 2023</t>
  </si>
  <si>
    <t>26=(21+ 24)/ nr. luni</t>
  </si>
  <si>
    <t>T1</t>
  </si>
  <si>
    <t>T2</t>
  </si>
  <si>
    <t>T3=T1+T2</t>
  </si>
  <si>
    <t>Luna/an 2023</t>
  </si>
  <si>
    <t>P3 - TOTAL ONCOLOGIE ACTIVITATE CURENTA, din care:</t>
  </si>
  <si>
    <t>P3- ONCOLOGIE (farmacii circuit deschis)</t>
  </si>
  <si>
    <t>P3- ONCOLOGIE (spitale)</t>
  </si>
  <si>
    <t>P3 - TOTAL ONCOLOGIE COST VOLUM, din care:</t>
  </si>
  <si>
    <t>P3 ONCOLOGIE COST VOLUM  (farmacii c.d.)</t>
  </si>
  <si>
    <t>P3 ONCOLOGIE COST VOLUM  (spitale)</t>
  </si>
  <si>
    <t>P6.4 - MUCOVISC. COST VOLUM (farmacii c.d)</t>
  </si>
  <si>
    <t xml:space="preserve">P5- TOTAL DIABET ZAHARAT, din care: </t>
  </si>
  <si>
    <t>P5 - DIABET ZAHARAT (medicamente)- activitate curenta (farmacii c.d.)</t>
  </si>
  <si>
    <t>P5 - DIABET ZAHARAT (medicamente)- OUG 15/2022 (farmacii c.d.)</t>
  </si>
  <si>
    <t>TOTAL DIABET ZAHARAT- MEDICAMENTE (farmacii c.d.)</t>
  </si>
  <si>
    <t>P5 - DIABET TESTE ADULŢI- activitate curenta (farmacii c.d)</t>
  </si>
  <si>
    <t>P5 - DIABET TESTE ADULŢI- OUG 15/2022 (farmacii c.d)</t>
  </si>
  <si>
    <t>P5 - DIABET TESTE COPII (farmacii c.d)</t>
  </si>
  <si>
    <t>P5 - TOTAL TESTE (farmacii c.d.)</t>
  </si>
  <si>
    <t>DIABET - SETURI CONSUMAB. POMPE (spitale)</t>
  </si>
  <si>
    <t>DIABET - CONSUMAB. SISTEME MONIT. CONT. GLICEMIE (spitale)</t>
  </si>
  <si>
    <t>DIABET - CONSUMAB SIST POMPE INSUL. CU SENZORI MONIT. CONTINUA (spitale)</t>
  </si>
  <si>
    <t>P6 - TOTAL BOLI RARE, din care:</t>
  </si>
  <si>
    <t>P6.10 - TIROZINEMIE (spitale)</t>
  </si>
  <si>
    <t>P6.4 - MUCOV. COPII (farmacii c.d.)</t>
  </si>
  <si>
    <t>P6.4 - MUCOV. ADULTI (farmacii c.d.)</t>
  </si>
  <si>
    <t>P6.20 - FIBROZA PULMONARA IDIOPATICA (farmacii c.d.)</t>
  </si>
  <si>
    <t>P6.22 - ANGIOEDEM EREDITAR (farmacii c.d.)</t>
  </si>
  <si>
    <t>P6.28- LIMFANGIOLEIOMIOMATOZA (farmacii c.d.)</t>
  </si>
  <si>
    <t>P6.24 - ATROFIE MUSCULARA SPINALA (farmacii c.d.)</t>
  </si>
  <si>
    <t>P9 - TOTAL STARE POSTTRANSPLANT (farmacii c.d.)</t>
  </si>
  <si>
    <t>P6.1 TOTAL PROGRAM HEMOFILIE + TALASEMIE, din care:</t>
  </si>
  <si>
    <t>HEMOFILIE CU SUBSTITUTIE ON DEMAND (spitale)</t>
  </si>
  <si>
    <t>HEMOFILIE PROFILAXIE CONTINUA (spitale)</t>
  </si>
  <si>
    <t>HEMOFILIE PROFILAXIE INTERMITENTA (spitale)</t>
  </si>
  <si>
    <t>TOTAL HEMOFILIE (spitale)</t>
  </si>
  <si>
    <t>6.1- TALASEMIE - injectabile (spitale)</t>
  </si>
  <si>
    <t>6.1- TALASEMIE - orale (farmacii c.d.)</t>
  </si>
  <si>
    <t>TOTAL TALASEMIE</t>
  </si>
  <si>
    <t>P7 - TOTAL ENDOCRINE - OSTEOPOROZA (spitale)</t>
  </si>
  <si>
    <t>P8 - TOTAL ORTOPEDIE - ENDOPROTEZATI ADULTI (spitale)</t>
  </si>
  <si>
    <t>TOTAL  PNS MEDICAMENTE 2023, din care:</t>
  </si>
  <si>
    <t>TOTAL  PNS MEDICAMENTE 2023 - FARMACII CIRCUIT DESCHIS</t>
  </si>
  <si>
    <t>TOTAL  PNS MEDICAMENTE 2023 - SPITALE</t>
  </si>
  <si>
    <t>TOTAL  PNS MATERIALE SANITARE 2023, din care:</t>
  </si>
  <si>
    <t>TOTAL  PNS MATERIALE SANITARE 2023 - FARMACII CIRCUIT DESCHIS</t>
  </si>
  <si>
    <t>TOTAL  PNS MATERIALE SANITARE 2023 - SPITALE</t>
  </si>
  <si>
    <t>TOTAL GENERAL PNS AN 2023, DIN CARE:</t>
  </si>
  <si>
    <t>TOTAL  PNS 2023 - SPITALE</t>
  </si>
  <si>
    <t>2=3+4</t>
  </si>
  <si>
    <t>5=6+7</t>
  </si>
  <si>
    <t>ianuarie 2023- consum+cereri validate</t>
  </si>
  <si>
    <t>februarie 2023- consum+cereri validate</t>
  </si>
  <si>
    <t xml:space="preserve">Validat art. 12(3) HG423/2022-decemb.2022 </t>
  </si>
  <si>
    <t>5=2+3+4</t>
  </si>
  <si>
    <t>Consum + Cereri justificative inregistrate in limita credite angajament AN 2023</t>
  </si>
  <si>
    <t>Consum+cereri justificative - medie AN 2022</t>
  </si>
  <si>
    <t>Consum +cereri justificative - medie lunară AN 2023</t>
  </si>
  <si>
    <t>P6.27 - PROGRAM  COST VOLUM -medicamente incluse condiționat (spitale- Hemofilie)</t>
  </si>
  <si>
    <t>11=14+18+22</t>
  </si>
  <si>
    <t>14=12+13</t>
  </si>
  <si>
    <t>18=15+16+ 17</t>
  </si>
  <si>
    <t>46=47+48</t>
  </si>
  <si>
    <t>49=50+51</t>
  </si>
  <si>
    <t>martie 2023- consum validat in limita CA trim I 2023 +cereri validate</t>
  </si>
  <si>
    <t>Trim. I 2023 - consum validat in limita CA trim I 2023 +cereri validate</t>
  </si>
  <si>
    <t>aprilie 2023- consum realizat+diferente martie validate (P3=255341,33, P5MED=642042,72, P5TA=20911,60)</t>
  </si>
  <si>
    <t>mai 2023-consum + cereri validate</t>
  </si>
  <si>
    <t>19 = 16 + 17 + 18</t>
  </si>
  <si>
    <t>20 = 5 + 9 + 14 + 19</t>
  </si>
  <si>
    <t>CREDITE RAMASE DE ANGAJAT AN 2023:</t>
  </si>
  <si>
    <t>P11.2 - SUBPR. TRATAMENT TULBURARE DEPRESIVA MAJORA COST VOLUM (spitale)</t>
  </si>
  <si>
    <t>9'</t>
  </si>
  <si>
    <t>10=5+8+9+9'</t>
  </si>
  <si>
    <t>iunie 2023- consum validat in limita CA sem I 2023 +cereri validate</t>
  </si>
  <si>
    <t>Trim. II 2023- consum validat in limita CA sem I 2023 +cereri validate</t>
  </si>
  <si>
    <t>Total sem. I 2023- consum validat in limita CA sem I 2023 +cereri validate</t>
  </si>
  <si>
    <t>DIABET - POMPE INSULINA (SPITALE)</t>
  </si>
  <si>
    <t>DIABET - SISTEME POMPE INSULINA CU SENZORI (SPITALE)</t>
  </si>
  <si>
    <t>DIABET - SISTEME MONITORIZARE CONTINUA GLICEMIE (SPITALE)</t>
  </si>
  <si>
    <t>TOTAL DIABET POMPE+ SENZORI+ SISTEME+ CONSUMABILE (spitale)</t>
  </si>
  <si>
    <t>P6.5.2 - SCLEROZĂ LATERALĂ (farmacii c.d.)</t>
  </si>
  <si>
    <t>TOTAL PNS 2023 - FARMACII CIRCUIT DESCHIS</t>
  </si>
  <si>
    <t>25=19+...+ 24</t>
  </si>
  <si>
    <t>26=27+...+34</t>
  </si>
  <si>
    <t>36=40+43</t>
  </si>
  <si>
    <t>40=37+38+ 39</t>
  </si>
  <si>
    <t>43=41+42</t>
  </si>
  <si>
    <t>52=53+54</t>
  </si>
  <si>
    <t>53=47+50</t>
  </si>
  <si>
    <t>54=48+51</t>
  </si>
  <si>
    <t>iulie 2023-consum realizat+difer iunie (P3=89517,85+P9.7=9731,94) + cereri validate</t>
  </si>
  <si>
    <t>august 2023- consum realizat</t>
  </si>
  <si>
    <t>septembrie 2023- consum validat in limita CA 9 luni 2023 +cereri validate</t>
  </si>
  <si>
    <t>Total trim. III 2023- consum validat in limita CA 9 luni 2023 +cereri validate</t>
  </si>
  <si>
    <t>Total 9 luni 2023- consum validat in limita CA 9 luni 2023 +cereri validate</t>
  </si>
  <si>
    <t>octombrie 2023- consum realizat+diferente sept validate (P3=682571,65, P5MED=1955967,57)</t>
  </si>
  <si>
    <t>noiembrie 2023-consum + cereri validate</t>
  </si>
  <si>
    <t>CREDITELOR DE ANGAJAMENT REALIZATE LUNAR PENTRU DERULAREA PROGRAMELOR NATIONALE DE SANATATE PENTRU ANUL 2023, CA URMARE A VALIDĂRII CONSUMULUI ȘI CERERILOR JUSTIFICATIVE RAPORTATE PENTRU LUNA DECEMBRIE 2023, CU INCADRAREA IN CREDITELE DE ANGAJAMENT APROBATE PENTRU ANUL 2023, CONFORM ADRESEI CNAS NR. CC10239/28.12.2023</t>
  </si>
  <si>
    <t>decembrie 2023-consum + cereri validate</t>
  </si>
  <si>
    <t>Total trim. IV 2023 -consum + cereri validate</t>
  </si>
  <si>
    <t>TOTAL AN 2023 -consum + cereri validate</t>
  </si>
  <si>
    <t>21=20</t>
  </si>
  <si>
    <t>PNS 2023</t>
  </si>
  <si>
    <t>PNS SIUI</t>
  </si>
  <si>
    <t>23=1-20-22</t>
  </si>
  <si>
    <t>HOT JUD.</t>
  </si>
  <si>
    <t>Depășire la 31.12.2023 (consum nevalidat)</t>
  </si>
  <si>
    <t>Grad realizare PNS 2023</t>
  </si>
  <si>
    <r>
      <rPr>
        <b/>
        <u/>
        <sz val="10"/>
        <rFont val="Times New Roman"/>
        <family val="1"/>
      </rPr>
      <t>NOTA</t>
    </r>
    <r>
      <rPr>
        <sz val="10"/>
        <rFont val="Times New Roman"/>
        <family val="1"/>
      </rPr>
      <t xml:space="preserve">: Consumul total validat pentru anul 2023 include suma de </t>
    </r>
    <r>
      <rPr>
        <b/>
        <sz val="10"/>
        <rFont val="Times New Roman"/>
        <family val="1"/>
      </rPr>
      <t>594.740,55 lei</t>
    </r>
    <r>
      <rPr>
        <sz val="10"/>
        <rFont val="Times New Roman"/>
        <family val="1"/>
      </rPr>
      <t xml:space="preserve"> reprezentand tratament aprobat conform hotarari judecatoresti , din care: </t>
    </r>
    <r>
      <rPr>
        <b/>
        <sz val="10"/>
        <rFont val="Times New Roman"/>
        <family val="1"/>
      </rPr>
      <t>587.892,25 lei</t>
    </r>
    <r>
      <rPr>
        <sz val="10"/>
        <rFont val="Times New Roman"/>
        <family val="1"/>
      </rPr>
      <t xml:space="preserve"> - M.I. pentru perioada 01.01-31.10.2023 (KALYDECO eliberat conf. Act.adit. 10/05.10.2022 si Ordin CNAS nr. 848/03.10.2022) și </t>
    </r>
    <r>
      <rPr>
        <b/>
        <sz val="10"/>
        <rFont val="Times New Roman"/>
        <family val="1"/>
      </rPr>
      <t>6.848,30 lei</t>
    </r>
    <r>
      <rPr>
        <sz val="10"/>
        <rFont val="Times New Roman"/>
        <family val="1"/>
      </rPr>
      <t xml:space="preserve"> - I.G.D. pentru perioada 01.08-30.09.2023 (AVASTIN eliberat conf. Act adit. 42/02.08.2023 și Ordin CNAS nr. 638/31.07.2023).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</si>
</sst>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sz val="10"/>
      <name val="Times New Roman"/>
      <family val="1"/>
    </font>
    <font>
      <sz val="8"/>
      <name val="Arial"/>
      <family val="2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Times New Roman"/>
      <family val="1"/>
      <charset val="238"/>
    </font>
    <font>
      <b/>
      <sz val="9"/>
      <name val="Times New Roman"/>
      <family val="1"/>
    </font>
    <font>
      <b/>
      <sz val="12"/>
      <color rgb="FFFF0000"/>
      <name val="Times New Roman"/>
      <family val="1"/>
      <charset val="238"/>
    </font>
    <font>
      <b/>
      <sz val="9"/>
      <color rgb="FFFF000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rgb="FF7030A0"/>
      <name val="Times New Roman"/>
      <family val="1"/>
    </font>
    <font>
      <sz val="10"/>
      <color indexed="10"/>
      <name val="Times New Roman"/>
      <family val="1"/>
    </font>
    <font>
      <b/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4" fontId="5" fillId="0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4" fontId="6" fillId="0" borderId="4" xfId="0" applyNumberFormat="1" applyFont="1" applyBorder="1" applyAlignment="1">
      <alignment vertical="top"/>
    </xf>
    <xf numFmtId="49" fontId="6" fillId="0" borderId="4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4" fontId="8" fillId="0" borderId="4" xfId="0" applyNumberFormat="1" applyFont="1" applyBorder="1" applyAlignment="1">
      <alignment vertical="top"/>
    </xf>
    <xf numFmtId="4" fontId="8" fillId="2" borderId="4" xfId="0" applyNumberFormat="1" applyFont="1" applyFill="1" applyBorder="1" applyAlignment="1">
      <alignment vertical="top"/>
    </xf>
    <xf numFmtId="4" fontId="8" fillId="2" borderId="4" xfId="0" applyNumberFormat="1" applyFont="1" applyFill="1" applyBorder="1" applyAlignment="1">
      <alignment horizontal="right" vertical="top"/>
    </xf>
    <xf numFmtId="0" fontId="8" fillId="0" borderId="0" xfId="0" applyFont="1" applyAlignment="1">
      <alignment vertical="top"/>
    </xf>
    <xf numFmtId="0" fontId="1" fillId="0" borderId="0" xfId="0" applyFont="1"/>
    <xf numFmtId="3" fontId="1" fillId="0" borderId="0" xfId="0" applyNumberFormat="1" applyFont="1"/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0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vertical="top" wrapText="1"/>
    </xf>
    <xf numFmtId="4" fontId="1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0" fontId="17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4" borderId="4" xfId="0" applyFont="1" applyFill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5" borderId="4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3" fontId="3" fillId="4" borderId="3" xfId="0" applyNumberFormat="1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horizontal="left" vertical="top"/>
    </xf>
    <xf numFmtId="4" fontId="3" fillId="4" borderId="4" xfId="0" applyNumberFormat="1" applyFont="1" applyFill="1" applyBorder="1" applyAlignment="1">
      <alignment horizontal="right" vertical="top"/>
    </xf>
    <xf numFmtId="4" fontId="3" fillId="4" borderId="5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left" vertical="top" wrapText="1"/>
    </xf>
    <xf numFmtId="4" fontId="6" fillId="0" borderId="4" xfId="0" applyNumberFormat="1" applyFont="1" applyFill="1" applyBorder="1" applyAlignment="1">
      <alignment horizontal="right" vertical="top"/>
    </xf>
    <xf numFmtId="4" fontId="3" fillId="3" borderId="4" xfId="0" applyNumberFormat="1" applyFont="1" applyFill="1" applyBorder="1" applyAlignment="1">
      <alignment horizontal="right" vertical="top"/>
    </xf>
    <xf numFmtId="4" fontId="3" fillId="2" borderId="4" xfId="0" applyNumberFormat="1" applyFont="1" applyFill="1" applyBorder="1" applyAlignment="1">
      <alignment horizontal="right" vertical="top"/>
    </xf>
    <xf numFmtId="4" fontId="3" fillId="5" borderId="4" xfId="0" applyNumberFormat="1" applyFont="1" applyFill="1" applyBorder="1" applyAlignment="1">
      <alignment horizontal="right" vertical="top"/>
    </xf>
    <xf numFmtId="4" fontId="3" fillId="5" borderId="5" xfId="0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49" fontId="6" fillId="0" borderId="4" xfId="0" applyNumberFormat="1" applyFont="1" applyBorder="1" applyAlignment="1">
      <alignment horizontal="left" vertical="top"/>
    </xf>
    <xf numFmtId="4" fontId="6" fillId="0" borderId="4" xfId="0" applyNumberFormat="1" applyFont="1" applyFill="1" applyBorder="1" applyAlignment="1">
      <alignment vertical="top"/>
    </xf>
    <xf numFmtId="4" fontId="6" fillId="3" borderId="4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49" fontId="16" fillId="0" borderId="4" xfId="0" applyNumberFormat="1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right" vertical="top"/>
    </xf>
    <xf numFmtId="49" fontId="6" fillId="0" borderId="4" xfId="0" applyNumberFormat="1" applyFont="1" applyBorder="1" applyAlignment="1">
      <alignment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4" fontId="3" fillId="4" borderId="4" xfId="0" applyNumberFormat="1" applyFont="1" applyFill="1" applyBorder="1" applyAlignment="1">
      <alignment vertical="top"/>
    </xf>
    <xf numFmtId="4" fontId="3" fillId="5" borderId="4" xfId="0" applyNumberFormat="1" applyFont="1" applyFill="1" applyBorder="1" applyAlignment="1">
      <alignment vertical="top"/>
    </xf>
    <xf numFmtId="0" fontId="21" fillId="0" borderId="0" xfId="0" applyFont="1" applyAlignment="1">
      <alignment vertical="top"/>
    </xf>
    <xf numFmtId="4" fontId="8" fillId="4" borderId="4" xfId="0" applyNumberFormat="1" applyFont="1" applyFill="1" applyBorder="1" applyAlignment="1">
      <alignment vertical="top"/>
    </xf>
    <xf numFmtId="4" fontId="8" fillId="5" borderId="4" xfId="0" applyNumberFormat="1" applyFont="1" applyFill="1" applyBorder="1" applyAlignment="1">
      <alignment vertical="top"/>
    </xf>
    <xf numFmtId="4" fontId="8" fillId="4" borderId="4" xfId="0" applyNumberFormat="1" applyFont="1" applyFill="1" applyBorder="1" applyAlignment="1">
      <alignment horizontal="right" vertical="top"/>
    </xf>
    <xf numFmtId="4" fontId="8" fillId="3" borderId="4" xfId="0" applyNumberFormat="1" applyFont="1" applyFill="1" applyBorder="1" applyAlignment="1">
      <alignment horizontal="right" vertical="top"/>
    </xf>
    <xf numFmtId="4" fontId="8" fillId="2" borderId="5" xfId="0" applyNumberFormat="1" applyFont="1" applyFill="1" applyBorder="1" applyAlignment="1">
      <alignment horizontal="right" vertical="top"/>
    </xf>
    <xf numFmtId="4" fontId="6" fillId="0" borderId="4" xfId="0" applyNumberFormat="1" applyFont="1" applyBorder="1" applyAlignment="1">
      <alignment vertical="top" wrapText="1"/>
    </xf>
    <xf numFmtId="0" fontId="2" fillId="0" borderId="0" xfId="0" applyFont="1"/>
    <xf numFmtId="4" fontId="6" fillId="0" borderId="0" xfId="0" applyNumberFormat="1" applyFont="1" applyAlignment="1">
      <alignment vertical="top" wrapText="1"/>
    </xf>
    <xf numFmtId="4" fontId="8" fillId="0" borderId="4" xfId="0" applyNumberFormat="1" applyFont="1" applyFill="1" applyBorder="1" applyAlignment="1">
      <alignment horizontal="right" vertical="top"/>
    </xf>
    <xf numFmtId="4" fontId="3" fillId="4" borderId="4" xfId="0" applyNumberFormat="1" applyFont="1" applyFill="1" applyBorder="1" applyAlignment="1">
      <alignment horizontal="left" vertical="top" wrapText="1"/>
    </xf>
    <xf numFmtId="0" fontId="1" fillId="3" borderId="0" xfId="0" applyFont="1" applyFill="1"/>
    <xf numFmtId="0" fontId="3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 vertical="top" wrapText="1"/>
    </xf>
    <xf numFmtId="0" fontId="19" fillId="3" borderId="4" xfId="0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vertical="top"/>
    </xf>
    <xf numFmtId="4" fontId="8" fillId="3" borderId="4" xfId="0" applyNumberFormat="1" applyFont="1" applyFill="1" applyBorder="1" applyAlignment="1">
      <alignment vertical="top"/>
    </xf>
    <xf numFmtId="4" fontId="6" fillId="0" borderId="0" xfId="0" applyNumberFormat="1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4" fontId="3" fillId="4" borderId="8" xfId="0" applyNumberFormat="1" applyFont="1" applyFill="1" applyBorder="1" applyAlignment="1">
      <alignment horizontal="right" vertical="top"/>
    </xf>
    <xf numFmtId="4" fontId="3" fillId="2" borderId="8" xfId="0" applyNumberFormat="1" applyFont="1" applyFill="1" applyBorder="1" applyAlignment="1">
      <alignment vertical="top"/>
    </xf>
    <xf numFmtId="4" fontId="6" fillId="3" borderId="8" xfId="0" applyNumberFormat="1" applyFont="1" applyFill="1" applyBorder="1" applyAlignment="1">
      <alignment vertical="top"/>
    </xf>
    <xf numFmtId="4" fontId="3" fillId="5" borderId="8" xfId="0" applyNumberFormat="1" applyFont="1" applyFill="1" applyBorder="1" applyAlignment="1">
      <alignment vertical="top"/>
    </xf>
    <xf numFmtId="4" fontId="3" fillId="3" borderId="8" xfId="0" applyNumberFormat="1" applyFont="1" applyFill="1" applyBorder="1" applyAlignment="1">
      <alignment horizontal="right" vertical="top"/>
    </xf>
    <xf numFmtId="4" fontId="3" fillId="2" borderId="8" xfId="0" applyNumberFormat="1" applyFont="1" applyFill="1" applyBorder="1" applyAlignment="1">
      <alignment horizontal="right" vertical="top"/>
    </xf>
    <xf numFmtId="4" fontId="3" fillId="2" borderId="9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/>
    <xf numFmtId="4" fontId="3" fillId="4" borderId="11" xfId="0" applyNumberFormat="1" applyFont="1" applyFill="1" applyBorder="1" applyAlignment="1">
      <alignment vertical="top"/>
    </xf>
    <xf numFmtId="4" fontId="4" fillId="0" borderId="11" xfId="0" applyNumberFormat="1" applyFont="1" applyBorder="1"/>
    <xf numFmtId="4" fontId="4" fillId="0" borderId="12" xfId="0" applyNumberFormat="1" applyFont="1" applyBorder="1"/>
    <xf numFmtId="0" fontId="4" fillId="0" borderId="0" xfId="0" applyFont="1"/>
    <xf numFmtId="4" fontId="15" fillId="0" borderId="0" xfId="0" applyNumberFormat="1" applyFont="1" applyAlignment="1">
      <alignment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8"/>
  <sheetViews>
    <sheetView tabSelected="1" topLeftCell="AO22" workbookViewId="0">
      <selection activeCell="AT37" sqref="AT37"/>
    </sheetView>
  </sheetViews>
  <sheetFormatPr defaultRowHeight="15.75" x14ac:dyDescent="0.25"/>
  <cols>
    <col min="1" max="1" width="9.42578125" style="2" customWidth="1"/>
    <col min="2" max="2" width="40.28515625" style="16" customWidth="1"/>
    <col min="3" max="3" width="13.85546875" style="16" customWidth="1"/>
    <col min="4" max="4" width="13.5703125" style="16" customWidth="1"/>
    <col min="5" max="5" width="12.85546875" style="16" customWidth="1"/>
    <col min="6" max="6" width="14" style="16" customWidth="1"/>
    <col min="7" max="9" width="13.7109375" style="16" customWidth="1"/>
    <col min="10" max="10" width="16.7109375" style="16" customWidth="1"/>
    <col min="11" max="11" width="16" style="16" customWidth="1"/>
    <col min="12" max="12" width="12.7109375" style="16" customWidth="1"/>
    <col min="13" max="13" width="12.85546875" style="16" customWidth="1"/>
    <col min="14" max="14" width="14.28515625" style="16" customWidth="1"/>
    <col min="15" max="15" width="13.7109375" style="16" customWidth="1"/>
    <col min="16" max="17" width="13.5703125" style="16" customWidth="1"/>
    <col min="18" max="18" width="12.42578125" style="16" customWidth="1"/>
    <col min="19" max="19" width="10.42578125" style="16" customWidth="1"/>
    <col min="20" max="20" width="11.85546875" style="16" customWidth="1"/>
    <col min="21" max="21" width="10.7109375" style="80" customWidth="1"/>
    <col min="22" max="22" width="11.85546875" style="80" customWidth="1"/>
    <col min="23" max="23" width="15.7109375" style="80" customWidth="1"/>
    <col min="24" max="24" width="12.7109375" style="16" customWidth="1"/>
    <col min="25" max="25" width="13.85546875" style="16" customWidth="1"/>
    <col min="26" max="26" width="16.5703125" style="16" customWidth="1"/>
    <col min="27" max="27" width="15.28515625" style="16" customWidth="1"/>
    <col min="28" max="28" width="14.85546875" style="16" customWidth="1"/>
    <col min="29" max="29" width="11.5703125" style="16" customWidth="1"/>
    <col min="30" max="30" width="11" style="16" customWidth="1"/>
    <col min="31" max="31" width="11.28515625" style="16" customWidth="1"/>
    <col min="32" max="32" width="11.140625" style="16" customWidth="1"/>
    <col min="33" max="33" width="13" style="16" customWidth="1"/>
    <col min="34" max="34" width="11.7109375" style="16" customWidth="1"/>
    <col min="35" max="35" width="11.28515625" style="16" customWidth="1"/>
    <col min="36" max="36" width="12.28515625" style="16" customWidth="1"/>
    <col min="37" max="38" width="14.85546875" style="16" customWidth="1"/>
    <col min="39" max="39" width="11.85546875" style="16" customWidth="1"/>
    <col min="40" max="41" width="12.5703125" style="16" customWidth="1"/>
    <col min="42" max="42" width="11" style="76" customWidth="1"/>
    <col min="43" max="44" width="11" style="16" customWidth="1"/>
    <col min="45" max="45" width="11.85546875" style="76" customWidth="1"/>
    <col min="46" max="46" width="15" style="16" customWidth="1"/>
    <col min="47" max="47" width="14" style="16" customWidth="1"/>
    <col min="48" max="48" width="14.140625" style="16" customWidth="1"/>
    <col min="49" max="49" width="13.7109375" style="16" customWidth="1"/>
    <col min="50" max="50" width="12.85546875" style="16" customWidth="1"/>
    <col min="51" max="51" width="12.7109375" style="16" customWidth="1"/>
    <col min="52" max="52" width="14.140625" style="16" customWidth="1"/>
    <col min="53" max="53" width="12.42578125" style="16" customWidth="1"/>
    <col min="54" max="54" width="14.140625" style="16" customWidth="1"/>
    <col min="55" max="55" width="13.28515625" style="16" customWidth="1"/>
    <col min="56" max="56" width="14.5703125" style="16" customWidth="1"/>
    <col min="57" max="57" width="11.85546875" style="16" customWidth="1"/>
    <col min="58" max="58" width="8.7109375" style="16" customWidth="1"/>
    <col min="59" max="59" width="11.140625" style="16" bestFit="1" customWidth="1"/>
    <col min="60" max="60" width="9.140625" style="16"/>
    <col min="61" max="61" width="11.140625" style="16" bestFit="1" customWidth="1"/>
    <col min="62" max="16384" width="9.140625" style="16"/>
  </cols>
  <sheetData>
    <row r="1" spans="1:60" x14ac:dyDescent="0.25">
      <c r="A1" s="7" t="s">
        <v>0</v>
      </c>
      <c r="C1" s="17"/>
      <c r="D1" s="17"/>
      <c r="E1" s="17"/>
      <c r="F1" s="17"/>
      <c r="G1" s="17"/>
      <c r="H1" s="17"/>
      <c r="I1" s="17"/>
      <c r="J1" s="17"/>
      <c r="M1" s="18"/>
      <c r="X1" s="19"/>
      <c r="Y1" s="19"/>
      <c r="Z1" s="19"/>
      <c r="AA1" s="19"/>
      <c r="AB1" s="17"/>
      <c r="AK1" s="17"/>
      <c r="AL1" s="17"/>
      <c r="AM1" s="19"/>
      <c r="AN1" s="19"/>
      <c r="AO1" s="19"/>
      <c r="AP1" s="19"/>
      <c r="AQ1" s="19"/>
      <c r="AR1" s="19"/>
      <c r="AS1" s="19"/>
      <c r="AT1" s="17"/>
      <c r="AU1" s="17"/>
      <c r="AV1" s="19"/>
      <c r="AW1" s="19"/>
      <c r="AX1" s="19"/>
      <c r="AY1" s="19"/>
      <c r="AZ1" s="19"/>
      <c r="BA1" s="19"/>
      <c r="BB1" s="19"/>
      <c r="BC1" s="19"/>
      <c r="BD1" s="19"/>
    </row>
    <row r="2" spans="1:60" ht="14.25" customHeight="1" x14ac:dyDescent="0.25">
      <c r="B2" s="1"/>
      <c r="C2" s="93" t="s">
        <v>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0"/>
      <c r="O2" s="90"/>
      <c r="P2" s="90"/>
      <c r="Q2" s="90"/>
      <c r="R2" s="90"/>
      <c r="S2" s="90"/>
      <c r="T2" s="90"/>
      <c r="U2" s="81"/>
      <c r="V2" s="81"/>
      <c r="W2" s="81"/>
      <c r="X2" s="20"/>
      <c r="Y2" s="20"/>
      <c r="Z2" s="20"/>
      <c r="AA2" s="20"/>
      <c r="AB2" s="90"/>
      <c r="AC2" s="90"/>
      <c r="AD2" s="5"/>
      <c r="AE2" s="5"/>
      <c r="AF2" s="5"/>
      <c r="AG2" s="5"/>
      <c r="AH2" s="5"/>
      <c r="AI2" s="5"/>
      <c r="AJ2" s="5"/>
      <c r="AK2" s="90"/>
      <c r="AL2" s="90"/>
      <c r="AM2" s="20"/>
      <c r="AN2" s="20"/>
      <c r="AO2" s="20"/>
      <c r="AP2" s="21"/>
      <c r="AQ2" s="20"/>
      <c r="AR2" s="20"/>
      <c r="AS2" s="21"/>
      <c r="AT2" s="90"/>
      <c r="AU2" s="90"/>
      <c r="AV2" s="20"/>
      <c r="AW2" s="1"/>
      <c r="AX2" s="1"/>
      <c r="AY2" s="20"/>
      <c r="AZ2" s="1"/>
      <c r="BA2" s="1"/>
      <c r="BB2" s="20"/>
      <c r="BC2" s="1"/>
      <c r="BD2" s="1"/>
    </row>
    <row r="3" spans="1:60" s="2" customFormat="1" ht="39" customHeight="1" x14ac:dyDescent="0.2">
      <c r="B3" s="1"/>
      <c r="C3" s="94" t="s">
        <v>111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89"/>
      <c r="O3" s="89"/>
      <c r="P3" s="89"/>
      <c r="Q3" s="89"/>
      <c r="R3" s="89"/>
      <c r="S3" s="89"/>
      <c r="T3" s="89"/>
      <c r="U3" s="82"/>
      <c r="V3" s="82"/>
      <c r="W3" s="82"/>
      <c r="X3" s="20"/>
      <c r="Y3" s="20"/>
      <c r="Z3" s="20"/>
      <c r="AA3" s="20"/>
      <c r="AB3" s="22"/>
      <c r="AC3" s="89"/>
      <c r="AD3" s="5"/>
      <c r="AE3" s="5"/>
      <c r="AF3" s="5"/>
      <c r="AG3" s="5"/>
      <c r="AH3" s="5"/>
      <c r="AI3" s="5"/>
      <c r="AJ3" s="5"/>
      <c r="AK3" s="89"/>
      <c r="AL3" s="89"/>
      <c r="AM3" s="20"/>
      <c r="AN3" s="20"/>
      <c r="AO3" s="20"/>
      <c r="AP3" s="21"/>
      <c r="AQ3" s="20"/>
      <c r="AR3" s="20"/>
      <c r="AS3" s="21"/>
      <c r="AT3" s="89"/>
      <c r="AU3" s="89"/>
      <c r="AV3" s="20"/>
      <c r="AW3" s="1"/>
      <c r="AX3" s="1"/>
      <c r="AY3" s="20"/>
      <c r="AZ3" s="1"/>
      <c r="BA3" s="1"/>
      <c r="BB3" s="20"/>
      <c r="BC3" s="1"/>
      <c r="BD3" s="1"/>
    </row>
    <row r="4" spans="1:60" s="24" customFormat="1" ht="16.5" thickBot="1" x14ac:dyDescent="0.3">
      <c r="A4" s="23"/>
      <c r="C4" s="25">
        <v>1</v>
      </c>
      <c r="D4" s="25"/>
      <c r="E4" s="25"/>
      <c r="F4" s="25">
        <v>2</v>
      </c>
      <c r="G4" s="25"/>
      <c r="H4" s="25"/>
      <c r="I4" s="25"/>
      <c r="J4" s="25"/>
      <c r="K4" s="25"/>
      <c r="L4" s="25">
        <v>3</v>
      </c>
      <c r="M4" s="25">
        <v>4</v>
      </c>
      <c r="U4" s="83"/>
      <c r="V4" s="83"/>
      <c r="W4" s="83"/>
      <c r="AB4" s="25">
        <v>5</v>
      </c>
      <c r="AK4" s="25">
        <v>6</v>
      </c>
      <c r="AL4" s="25">
        <v>7</v>
      </c>
      <c r="AT4" s="25">
        <v>8</v>
      </c>
      <c r="AU4" s="25">
        <v>9</v>
      </c>
      <c r="AV4" s="25" t="s">
        <v>13</v>
      </c>
      <c r="AW4" s="25"/>
      <c r="AX4" s="25"/>
      <c r="AY4" s="25" t="s">
        <v>14</v>
      </c>
      <c r="AZ4" s="25"/>
      <c r="BA4" s="25"/>
      <c r="BB4" s="25" t="s">
        <v>15</v>
      </c>
    </row>
    <row r="5" spans="1:60" s="34" customFormat="1" ht="81.75" customHeight="1" x14ac:dyDescent="0.2">
      <c r="A5" s="26" t="s">
        <v>2</v>
      </c>
      <c r="B5" s="27" t="s">
        <v>16</v>
      </c>
      <c r="C5" s="28" t="s">
        <v>17</v>
      </c>
      <c r="D5" s="27" t="s">
        <v>18</v>
      </c>
      <c r="E5" s="27" t="s">
        <v>19</v>
      </c>
      <c r="F5" s="28" t="s">
        <v>20</v>
      </c>
      <c r="G5" s="27" t="s">
        <v>21</v>
      </c>
      <c r="H5" s="27" t="s">
        <v>22</v>
      </c>
      <c r="I5" s="27" t="s">
        <v>23</v>
      </c>
      <c r="J5" s="27" t="s">
        <v>71</v>
      </c>
      <c r="K5" s="27" t="s">
        <v>84</v>
      </c>
      <c r="L5" s="28" t="s">
        <v>9</v>
      </c>
      <c r="M5" s="28" t="s">
        <v>24</v>
      </c>
      <c r="N5" s="27" t="s">
        <v>25</v>
      </c>
      <c r="O5" s="29" t="s">
        <v>26</v>
      </c>
      <c r="P5" s="30" t="s">
        <v>27</v>
      </c>
      <c r="Q5" s="27" t="s">
        <v>28</v>
      </c>
      <c r="R5" s="29" t="s">
        <v>29</v>
      </c>
      <c r="S5" s="27" t="s">
        <v>30</v>
      </c>
      <c r="T5" s="30" t="s">
        <v>31</v>
      </c>
      <c r="U5" s="84" t="s">
        <v>90</v>
      </c>
      <c r="V5" s="84" t="s">
        <v>91</v>
      </c>
      <c r="W5" s="84" t="s">
        <v>92</v>
      </c>
      <c r="X5" s="27" t="s">
        <v>32</v>
      </c>
      <c r="Y5" s="27" t="s">
        <v>33</v>
      </c>
      <c r="Z5" s="27" t="s">
        <v>34</v>
      </c>
      <c r="AA5" s="31" t="s">
        <v>93</v>
      </c>
      <c r="AB5" s="28" t="s">
        <v>35</v>
      </c>
      <c r="AC5" s="27" t="s">
        <v>36</v>
      </c>
      <c r="AD5" s="27" t="s">
        <v>37</v>
      </c>
      <c r="AE5" s="27" t="s">
        <v>38</v>
      </c>
      <c r="AF5" s="27" t="s">
        <v>94</v>
      </c>
      <c r="AG5" s="27" t="s">
        <v>39</v>
      </c>
      <c r="AH5" s="27" t="s">
        <v>40</v>
      </c>
      <c r="AI5" s="27" t="s">
        <v>41</v>
      </c>
      <c r="AJ5" s="27" t="s">
        <v>42</v>
      </c>
      <c r="AK5" s="28" t="s">
        <v>43</v>
      </c>
      <c r="AL5" s="28" t="s">
        <v>44</v>
      </c>
      <c r="AM5" s="32" t="s">
        <v>45</v>
      </c>
      <c r="AN5" s="27" t="s">
        <v>46</v>
      </c>
      <c r="AO5" s="27" t="s">
        <v>47</v>
      </c>
      <c r="AP5" s="31" t="s">
        <v>48</v>
      </c>
      <c r="AQ5" s="27" t="s">
        <v>49</v>
      </c>
      <c r="AR5" s="27" t="s">
        <v>50</v>
      </c>
      <c r="AS5" s="31" t="s">
        <v>51</v>
      </c>
      <c r="AT5" s="28" t="s">
        <v>52</v>
      </c>
      <c r="AU5" s="28" t="s">
        <v>53</v>
      </c>
      <c r="AV5" s="28" t="s">
        <v>54</v>
      </c>
      <c r="AW5" s="30" t="s">
        <v>55</v>
      </c>
      <c r="AX5" s="30" t="s">
        <v>56</v>
      </c>
      <c r="AY5" s="28" t="s">
        <v>57</v>
      </c>
      <c r="AZ5" s="30" t="s">
        <v>58</v>
      </c>
      <c r="BA5" s="30" t="s">
        <v>59</v>
      </c>
      <c r="BB5" s="28" t="s">
        <v>60</v>
      </c>
      <c r="BC5" s="30" t="s">
        <v>95</v>
      </c>
      <c r="BD5" s="33" t="s">
        <v>61</v>
      </c>
    </row>
    <row r="6" spans="1:60" s="42" customFormat="1" ht="25.5" x14ac:dyDescent="0.2">
      <c r="A6" s="35">
        <v>0</v>
      </c>
      <c r="B6" s="36">
        <v>1</v>
      </c>
      <c r="C6" s="37" t="s">
        <v>62</v>
      </c>
      <c r="D6" s="38">
        <v>3</v>
      </c>
      <c r="E6" s="38">
        <v>4</v>
      </c>
      <c r="F6" s="37" t="s">
        <v>63</v>
      </c>
      <c r="G6" s="38">
        <v>6</v>
      </c>
      <c r="H6" s="38">
        <v>7</v>
      </c>
      <c r="I6" s="38">
        <v>8</v>
      </c>
      <c r="J6" s="38">
        <v>9</v>
      </c>
      <c r="K6" s="38" t="s">
        <v>85</v>
      </c>
      <c r="L6" s="37" t="s">
        <v>86</v>
      </c>
      <c r="M6" s="37" t="s">
        <v>72</v>
      </c>
      <c r="N6" s="38">
        <v>12</v>
      </c>
      <c r="O6" s="38">
        <v>13</v>
      </c>
      <c r="P6" s="39" t="s">
        <v>73</v>
      </c>
      <c r="Q6" s="38">
        <v>15</v>
      </c>
      <c r="R6" s="38">
        <v>16</v>
      </c>
      <c r="S6" s="38">
        <v>17</v>
      </c>
      <c r="T6" s="39" t="s">
        <v>74</v>
      </c>
      <c r="U6" s="85">
        <v>19</v>
      </c>
      <c r="V6" s="85">
        <v>20</v>
      </c>
      <c r="W6" s="85">
        <v>21</v>
      </c>
      <c r="X6" s="38">
        <v>22</v>
      </c>
      <c r="Y6" s="38">
        <v>23</v>
      </c>
      <c r="Z6" s="38">
        <v>24</v>
      </c>
      <c r="AA6" s="40" t="s">
        <v>96</v>
      </c>
      <c r="AB6" s="37" t="s">
        <v>97</v>
      </c>
      <c r="AC6" s="38">
        <v>27</v>
      </c>
      <c r="AD6" s="38">
        <v>28</v>
      </c>
      <c r="AE6" s="38">
        <v>29</v>
      </c>
      <c r="AF6" s="38">
        <v>30</v>
      </c>
      <c r="AG6" s="38">
        <v>31</v>
      </c>
      <c r="AH6" s="38">
        <v>32</v>
      </c>
      <c r="AI6" s="38">
        <v>33</v>
      </c>
      <c r="AJ6" s="38">
        <v>34</v>
      </c>
      <c r="AK6" s="37">
        <v>35</v>
      </c>
      <c r="AL6" s="37" t="s">
        <v>98</v>
      </c>
      <c r="AM6" s="38">
        <v>37</v>
      </c>
      <c r="AN6" s="38">
        <v>38</v>
      </c>
      <c r="AO6" s="38">
        <v>39</v>
      </c>
      <c r="AP6" s="40" t="s">
        <v>99</v>
      </c>
      <c r="AQ6" s="38">
        <v>41</v>
      </c>
      <c r="AR6" s="38">
        <v>42</v>
      </c>
      <c r="AS6" s="40" t="s">
        <v>100</v>
      </c>
      <c r="AT6" s="37">
        <v>44</v>
      </c>
      <c r="AU6" s="37">
        <v>45</v>
      </c>
      <c r="AV6" s="37" t="s">
        <v>75</v>
      </c>
      <c r="AW6" s="39">
        <v>47</v>
      </c>
      <c r="AX6" s="39">
        <v>48</v>
      </c>
      <c r="AY6" s="37" t="s">
        <v>76</v>
      </c>
      <c r="AZ6" s="39">
        <v>50</v>
      </c>
      <c r="BA6" s="39">
        <v>51</v>
      </c>
      <c r="BB6" s="37" t="s">
        <v>101</v>
      </c>
      <c r="BC6" s="39" t="s">
        <v>102</v>
      </c>
      <c r="BD6" s="41" t="s">
        <v>103</v>
      </c>
    </row>
    <row r="7" spans="1:60" s="47" customFormat="1" ht="12.75" x14ac:dyDescent="0.2">
      <c r="A7" s="43">
        <v>1</v>
      </c>
      <c r="B7" s="44" t="s">
        <v>10</v>
      </c>
      <c r="C7" s="45">
        <f>ROUND(D7+E7,2)</f>
        <v>21757450</v>
      </c>
      <c r="D7" s="45">
        <f>1538000+1700000+2567280+1432000+2605500+730000+176870+684680+1462080+2405540+2775500</f>
        <v>18077450</v>
      </c>
      <c r="E7" s="45">
        <f>500000+420000+900000+660000+110000+420000+620000+50000</f>
        <v>3680000</v>
      </c>
      <c r="F7" s="45">
        <f>ROUND(G7+H7,2)</f>
        <v>10188780</v>
      </c>
      <c r="G7" s="45">
        <f>659000+202600+417400+30050+340000+50000+199950+160080+257040-45000-10000</f>
        <v>2261120</v>
      </c>
      <c r="H7" s="45">
        <f>500000+170000+400000+356520+693870+400000+900000+926010+737390+360000+950000+1280000+243870+10000</f>
        <v>7927660</v>
      </c>
      <c r="I7" s="45">
        <f>10000+10000+3070+6500+6820+4560-4560</f>
        <v>36390</v>
      </c>
      <c r="J7" s="45">
        <f>354700+94920+117680+214000+150000</f>
        <v>931300</v>
      </c>
      <c r="K7" s="45">
        <f>71050+68000</f>
        <v>139050</v>
      </c>
      <c r="L7" s="45">
        <f>ROUND(F7+I7+J7+K7,2)</f>
        <v>11295520</v>
      </c>
      <c r="M7" s="45">
        <f t="shared" ref="M7:M33" si="0">ROUND(P7+T7+AA7,2)</f>
        <v>46734080</v>
      </c>
      <c r="N7" s="45">
        <f>5660000+4200000+160740+7857280+3110370+4830000+2696900+1952910+2254170+7701810+303800+3440880</f>
        <v>44168860</v>
      </c>
      <c r="O7" s="45">
        <v>0</v>
      </c>
      <c r="P7" s="45">
        <f>ROUND(N7+O7,2)</f>
        <v>44168860</v>
      </c>
      <c r="Q7" s="45">
        <f>276000+144500+398520+43230+315000+51610+85880+109500+149600+173140</f>
        <v>1746980</v>
      </c>
      <c r="R7" s="45">
        <v>0</v>
      </c>
      <c r="S7" s="45">
        <f>10000+5000+13620+8380+1040+3090+3190+3490</f>
        <v>47810</v>
      </c>
      <c r="T7" s="45">
        <f>ROUND(Q7+R7+S7,2)</f>
        <v>1794790</v>
      </c>
      <c r="U7" s="45">
        <f>8240+5190-5200</f>
        <v>8230</v>
      </c>
      <c r="V7" s="45">
        <f>19950+12570-12750</f>
        <v>19770</v>
      </c>
      <c r="W7" s="45">
        <f>27230+17150</f>
        <v>44380</v>
      </c>
      <c r="X7" s="45">
        <f>6000+6840+19000+5430+10370+7090+8500</f>
        <v>63230</v>
      </c>
      <c r="Y7" s="45">
        <f>12000+42000+30610+60000+130000+25660+98000+59880+90000+5200</f>
        <v>553350</v>
      </c>
      <c r="Z7" s="45">
        <f>6500+5020+15000+250+14000+3550+24400+12750</f>
        <v>81470</v>
      </c>
      <c r="AA7" s="45">
        <f>ROUND(X7+Y7+Z7+U7+V7+W7,2)</f>
        <v>770430</v>
      </c>
      <c r="AB7" s="45">
        <f>ROUND(AC7+AD7+AE7+AF7+AG7+AH7+AI7+AJ7,2)</f>
        <v>7029010</v>
      </c>
      <c r="AC7" s="45">
        <f>26000+13000+17720+4000+35000+14000+14000</f>
        <v>123720</v>
      </c>
      <c r="AD7" s="45">
        <f>17000+164000+257000+120000+238000+62000+232370+105000+62260+8900+328420-162000</f>
        <v>1432950</v>
      </c>
      <c r="AE7" s="45">
        <f>18000+282000+168000+468000+118800+364500+69000+271620+38800+393660+223280-114960</f>
        <v>2300700</v>
      </c>
      <c r="AF7" s="45">
        <f>5000+3000+6780-1800+3130+5000+2980+7360+3170</f>
        <v>34620</v>
      </c>
      <c r="AG7" s="45">
        <f>20000+10460+30600+15150+5010+26970+3000</f>
        <v>111190</v>
      </c>
      <c r="AH7" s="45">
        <f>279000+150000+19160+411000-38000+196030+78000+10520+103150+14090+256390+132850-23230</f>
        <v>1588960</v>
      </c>
      <c r="AI7" s="45">
        <f>4000+2290+6300+3090+1100+2020+300+4530+2100</f>
        <v>25730</v>
      </c>
      <c r="AJ7" s="45">
        <f>132380+132380+132380+132380+132380+132380+253500+121120+121120+121120</f>
        <v>1411140</v>
      </c>
      <c r="AK7" s="45">
        <f>113000+59800+6660+166800+86300+98610+50370+53530+75400</f>
        <v>710470</v>
      </c>
      <c r="AL7" s="45">
        <f>ROUND(AP7+AS7,2)</f>
        <v>1719110</v>
      </c>
      <c r="AM7" s="45">
        <f>7000+24140+16000+88000+32000+10000</f>
        <v>177140</v>
      </c>
      <c r="AN7" s="45">
        <f>111000+60000+153900+153290+141000+118000+65620+90430+37570</f>
        <v>930810</v>
      </c>
      <c r="AO7" s="45">
        <f>24000+30000+16000+27320+42790</f>
        <v>140110</v>
      </c>
      <c r="AP7" s="45">
        <f>ROUND(AM7+AN7+AO7,2)</f>
        <v>1248060</v>
      </c>
      <c r="AQ7" s="45">
        <f>2000+4000+2000+2000</f>
        <v>10000</v>
      </c>
      <c r="AR7" s="45">
        <f>79000+40000+134480+7200+112910+36000+27430+20030+4000</f>
        <v>461050</v>
      </c>
      <c r="AS7" s="45">
        <f>ROUND(AQ7+AR7,2)</f>
        <v>471050</v>
      </c>
      <c r="AT7" s="45">
        <f>3000+2240+1710+1740+1130+2830</f>
        <v>12650</v>
      </c>
      <c r="AU7" s="45">
        <f>177000+79000+210040+27810+149990+112000+101870+185100+251000</f>
        <v>1293810</v>
      </c>
      <c r="AV7" s="45">
        <f>ROUND(AW7+AX7,2)</f>
        <v>86693070</v>
      </c>
      <c r="AW7" s="45">
        <f>ROUND(D7+G7+I7+P7+AD7+AE7+AF7+AG7+AH7+AI7+AJ7+AK7+AR7,2)</f>
        <v>72620630</v>
      </c>
      <c r="AX7" s="45">
        <f>ROUND(E7+H7+J7+K7+AC7+AP7+AQ7+AT7,2)</f>
        <v>14072440</v>
      </c>
      <c r="AY7" s="45">
        <f>ROUND(AZ7+BA7,2)</f>
        <v>3859030</v>
      </c>
      <c r="AZ7" s="45">
        <f>ROUND(T7,2)</f>
        <v>1794790</v>
      </c>
      <c r="BA7" s="45">
        <f>ROUND(AA7+AU7,2)</f>
        <v>2064240</v>
      </c>
      <c r="BB7" s="45">
        <f>ROUND(BC7+BD7,2)</f>
        <v>90552100</v>
      </c>
      <c r="BC7" s="45">
        <f>ROUND(AW7+AZ7,2)</f>
        <v>74415420</v>
      </c>
      <c r="BD7" s="46">
        <f>ROUND(AX7+BA7,2)</f>
        <v>16136680</v>
      </c>
      <c r="BF7" s="77"/>
      <c r="BG7" s="77"/>
      <c r="BH7" s="77"/>
    </row>
    <row r="8" spans="1:60" s="55" customFormat="1" ht="12.75" x14ac:dyDescent="0.2">
      <c r="A8" s="48">
        <v>2</v>
      </c>
      <c r="B8" s="49" t="s">
        <v>64</v>
      </c>
      <c r="C8" s="45">
        <f>ROUND(D8+E8,2)</f>
        <v>1448881.77</v>
      </c>
      <c r="D8" s="50">
        <f>1150000-112547.81</f>
        <v>1037452.19</v>
      </c>
      <c r="E8" s="50">
        <f>250000+161429.58</f>
        <v>411429.57999999996</v>
      </c>
      <c r="F8" s="45">
        <f t="shared" ref="F8:F11" si="1">ROUND(G8+H8,2)</f>
        <v>765108.22</v>
      </c>
      <c r="G8" s="50">
        <f>340000-55966.23</f>
        <v>284033.77</v>
      </c>
      <c r="H8" s="50">
        <f>250000+231074.45</f>
        <v>481074.45</v>
      </c>
      <c r="I8" s="50">
        <v>0</v>
      </c>
      <c r="J8" s="50">
        <v>0</v>
      </c>
      <c r="K8" s="50">
        <v>0</v>
      </c>
      <c r="L8" s="45">
        <f t="shared" ref="L8:L15" si="2">ROUND(F8+I8+J8+K8,2)</f>
        <v>765108.22</v>
      </c>
      <c r="M8" s="45">
        <f t="shared" si="0"/>
        <v>3670977.14</v>
      </c>
      <c r="N8" s="50">
        <f>3300000+195696.89</f>
        <v>3495696.89</v>
      </c>
      <c r="O8" s="58">
        <v>0</v>
      </c>
      <c r="P8" s="52">
        <f t="shared" ref="P8:P15" si="3">ROUND(N8+O8,2)</f>
        <v>3495696.89</v>
      </c>
      <c r="Q8" s="50">
        <f>140000+6854.8</f>
        <v>146854.79999999999</v>
      </c>
      <c r="R8" s="50">
        <v>0</v>
      </c>
      <c r="S8" s="50">
        <f>5000-440</f>
        <v>4560</v>
      </c>
      <c r="T8" s="52">
        <f>ROUND(Q8+R8+S8,2)</f>
        <v>151414.79999999999</v>
      </c>
      <c r="U8" s="58">
        <v>0</v>
      </c>
      <c r="V8" s="58">
        <v>0</v>
      </c>
      <c r="W8" s="58">
        <v>0</v>
      </c>
      <c r="X8" s="6">
        <f>3000-3000</f>
        <v>0</v>
      </c>
      <c r="Y8" s="6">
        <f>6000+21000-8947.7</f>
        <v>18052.3</v>
      </c>
      <c r="Z8" s="6">
        <f>3000+2813.15</f>
        <v>5813.15</v>
      </c>
      <c r="AA8" s="53">
        <f>ROUND(U8+V8+W8+X8+Y8+Z8,2)</f>
        <v>23865.45</v>
      </c>
      <c r="AB8" s="45">
        <f t="shared" ref="AB8:AB15" si="4">ROUND(AC8+AD8+AE8+AF8+AG8+AH8+AI8+AJ8,2)</f>
        <v>657442.64</v>
      </c>
      <c r="AC8" s="50">
        <f>13000-13000</f>
        <v>0</v>
      </c>
      <c r="AD8" s="50">
        <f>17000+74000-6233.82</f>
        <v>84766.18</v>
      </c>
      <c r="AE8" s="50">
        <f>18000+132000-117.76</f>
        <v>149882.23999999999</v>
      </c>
      <c r="AF8" s="50">
        <f>3000+238.23</f>
        <v>3238.23</v>
      </c>
      <c r="AG8" s="50">
        <f>10140-3.35</f>
        <v>10136.65</v>
      </c>
      <c r="AH8" s="50">
        <f>140000+2593.72</f>
        <v>142593.72</v>
      </c>
      <c r="AI8" s="50">
        <f>2081-0.4</f>
        <v>2080.6</v>
      </c>
      <c r="AJ8" s="50">
        <f>132380+132380-14.98</f>
        <v>264745.02</v>
      </c>
      <c r="AK8" s="45">
        <f>60000+16688.06</f>
        <v>76688.06</v>
      </c>
      <c r="AL8" s="45">
        <f t="shared" ref="AL8:AL11" si="5">ROUND(AP8+AS8,2)</f>
        <v>120243.27</v>
      </c>
      <c r="AM8" s="50">
        <f>3500+3253.73</f>
        <v>6753.73</v>
      </c>
      <c r="AN8" s="50">
        <f>60000-9347.05</f>
        <v>50652.95</v>
      </c>
      <c r="AO8" s="50">
        <f>12000+11638.05</f>
        <v>23638.05</v>
      </c>
      <c r="AP8" s="53">
        <f t="shared" ref="AP8:AP15" si="6">ROUND(AM8+AN8+AO8,2)</f>
        <v>81044.73</v>
      </c>
      <c r="AQ8" s="50">
        <v>0</v>
      </c>
      <c r="AR8" s="50">
        <f>50000-10801.46</f>
        <v>39198.54</v>
      </c>
      <c r="AS8" s="53">
        <f t="shared" ref="AS8:AS15" si="7">ROUND(AQ8+AR8,2)</f>
        <v>39198.54</v>
      </c>
      <c r="AT8" s="45">
        <f>1500-1500</f>
        <v>0</v>
      </c>
      <c r="AU8" s="45">
        <f>90000-90000</f>
        <v>0</v>
      </c>
      <c r="AV8" s="45">
        <f t="shared" ref="AV8:AV15" si="8">ROUND(AW8+AX8,2)</f>
        <v>6564060.8499999996</v>
      </c>
      <c r="AW8" s="53">
        <f>ROUND(D8+G8+I8+P8+AD8+AE8+AF8+AG8+AH8+AI8+AJ8+AK8+AR8,2)</f>
        <v>5590512.0899999999</v>
      </c>
      <c r="AX8" s="53">
        <f>ROUND(E8+H8+J8+K8+AC8+AP8+AQ8+AT8,2)</f>
        <v>973548.76</v>
      </c>
      <c r="AY8" s="45">
        <f t="shared" ref="AY8:AY11" si="9">ROUND(AZ8+BA8,2)</f>
        <v>175280.25</v>
      </c>
      <c r="AZ8" s="53">
        <f>ROUND(T8,2)</f>
        <v>151414.79999999999</v>
      </c>
      <c r="BA8" s="53">
        <f>ROUND(AA8+AU8,2)</f>
        <v>23865.45</v>
      </c>
      <c r="BB8" s="45">
        <f t="shared" ref="BB8:BB11" si="10">ROUND(BC8+BD8,2)</f>
        <v>6739341.0999999996</v>
      </c>
      <c r="BC8" s="53">
        <f>ROUND(AW8+AZ8,2)</f>
        <v>5741926.8899999997</v>
      </c>
      <c r="BD8" s="54">
        <f>ROUND(AX8+BA8,2)</f>
        <v>997414.21</v>
      </c>
      <c r="BF8" s="77"/>
      <c r="BG8" s="77"/>
      <c r="BH8" s="77"/>
    </row>
    <row r="9" spans="1:60" s="55" customFormat="1" ht="12.75" x14ac:dyDescent="0.2">
      <c r="A9" s="48">
        <v>3</v>
      </c>
      <c r="B9" s="56" t="s">
        <v>65</v>
      </c>
      <c r="C9" s="45">
        <f t="shared" ref="C9:C11" si="11">ROUND(D9+E9,2)</f>
        <v>1218316.8700000001</v>
      </c>
      <c r="D9" s="57">
        <f>388000+112547.81+694774.28</f>
        <v>1195322.0900000001</v>
      </c>
      <c r="E9" s="57">
        <f>250000-161429.58-65575.64</f>
        <v>22994.780000000013</v>
      </c>
      <c r="F9" s="45">
        <f t="shared" si="1"/>
        <v>424345.8</v>
      </c>
      <c r="G9" s="57">
        <f>319000+55966.23-115611.3</f>
        <v>259354.93</v>
      </c>
      <c r="H9" s="57">
        <f>250000+170000-231074.45-23934.68</f>
        <v>164990.87</v>
      </c>
      <c r="I9" s="57">
        <f>5000+5000-5467.32</f>
        <v>4532.68</v>
      </c>
      <c r="J9" s="57">
        <v>0</v>
      </c>
      <c r="K9" s="57">
        <v>0</v>
      </c>
      <c r="L9" s="45">
        <f t="shared" si="2"/>
        <v>428878.48</v>
      </c>
      <c r="M9" s="45">
        <f t="shared" si="0"/>
        <v>3668027.45</v>
      </c>
      <c r="N9" s="57">
        <f>2360000-195696.89+1311128.83</f>
        <v>3475431.94</v>
      </c>
      <c r="O9" s="58">
        <v>0</v>
      </c>
      <c r="P9" s="52">
        <f t="shared" si="3"/>
        <v>3475431.94</v>
      </c>
      <c r="Q9" s="57">
        <f>136000-6854.8+19117.2</f>
        <v>148262.39999999999</v>
      </c>
      <c r="R9" s="57">
        <v>0</v>
      </c>
      <c r="S9" s="57">
        <f>5000+440-1240</f>
        <v>4200</v>
      </c>
      <c r="T9" s="52">
        <f t="shared" ref="T9:T15" si="12">ROUND(Q9+R9+S9,2)</f>
        <v>152462.39999999999</v>
      </c>
      <c r="U9" s="58">
        <v>0</v>
      </c>
      <c r="V9" s="58">
        <v>0</v>
      </c>
      <c r="W9" s="58">
        <v>0</v>
      </c>
      <c r="X9" s="6">
        <f>3000+3000-930.24</f>
        <v>5069.76</v>
      </c>
      <c r="Y9" s="6">
        <f>6000+21000+8947.7-884.35</f>
        <v>35063.35</v>
      </c>
      <c r="Z9" s="6">
        <f>3500-2813.15-686.85</f>
        <v>0</v>
      </c>
      <c r="AA9" s="53">
        <f t="shared" ref="AA9:AA11" si="13">ROUND(U9+V9+W9+X9+Y9+Z9,2)</f>
        <v>40133.11</v>
      </c>
      <c r="AB9" s="45">
        <f t="shared" si="4"/>
        <v>592841.93999999994</v>
      </c>
      <c r="AC9" s="8">
        <f>13000+13000-26000</f>
        <v>0</v>
      </c>
      <c r="AD9" s="57">
        <f>90000+6233.82+75866.52</f>
        <v>172100.34000000003</v>
      </c>
      <c r="AE9" s="57">
        <f>150000+117.76+3938.82</f>
        <v>154056.58000000002</v>
      </c>
      <c r="AF9" s="57">
        <f>2000-238.23-547.43</f>
        <v>1214.3400000000001</v>
      </c>
      <c r="AG9" s="57">
        <f>9860+3.35+273.3</f>
        <v>10136.65</v>
      </c>
      <c r="AH9" s="57">
        <f>139000-2593.72-15525.36</f>
        <v>120880.92</v>
      </c>
      <c r="AI9" s="57">
        <f>1919+0.4+161.2</f>
        <v>2080.6</v>
      </c>
      <c r="AJ9" s="57">
        <f>14.98+132380-22.47</f>
        <v>132372.51</v>
      </c>
      <c r="AK9" s="45">
        <f>53000-16688.06+3048.94</f>
        <v>39360.880000000005</v>
      </c>
      <c r="AL9" s="45">
        <f t="shared" si="5"/>
        <v>129040.16</v>
      </c>
      <c r="AM9" s="50">
        <f>3500-3253.73-246.27</f>
        <v>0</v>
      </c>
      <c r="AN9" s="50">
        <f>51000+9347.05-334.39</f>
        <v>60012.66</v>
      </c>
      <c r="AO9" s="50">
        <f>12000+30000-11638.05-532.99</f>
        <v>29828.959999999999</v>
      </c>
      <c r="AP9" s="53">
        <f t="shared" si="6"/>
        <v>89841.62</v>
      </c>
      <c r="AQ9" s="50">
        <v>0</v>
      </c>
      <c r="AR9" s="57">
        <f>29000+10801.46-602.92</f>
        <v>39198.54</v>
      </c>
      <c r="AS9" s="53">
        <f t="shared" si="7"/>
        <v>39198.54</v>
      </c>
      <c r="AT9" s="45">
        <f>1500+1500-3000</f>
        <v>0</v>
      </c>
      <c r="AU9" s="45">
        <f>87000+90000-77751.14</f>
        <v>99248.86</v>
      </c>
      <c r="AV9" s="45">
        <f t="shared" si="8"/>
        <v>5883870.2699999996</v>
      </c>
      <c r="AW9" s="53">
        <f>ROUND(D9+G9+I9+P9+AD9+AE9+AF9+AG9+AH9+AI9+AJ9+AK9+AR9,2)</f>
        <v>5606043</v>
      </c>
      <c r="AX9" s="53">
        <f>ROUND(E9+H9+J9+K9+AC9+AP9+AQ9+AT9,2)</f>
        <v>277827.27</v>
      </c>
      <c r="AY9" s="45">
        <f t="shared" si="9"/>
        <v>291844.37</v>
      </c>
      <c r="AZ9" s="53">
        <f>ROUND(T9,2)</f>
        <v>152462.39999999999</v>
      </c>
      <c r="BA9" s="53">
        <f t="shared" ref="BA9:BA11" si="14">ROUND(AA9+AU9,2)</f>
        <v>139381.97</v>
      </c>
      <c r="BB9" s="45">
        <f t="shared" si="10"/>
        <v>6175714.6399999997</v>
      </c>
      <c r="BC9" s="53">
        <f t="shared" ref="BC9:BD11" si="15">ROUND(AW9+AZ9,2)</f>
        <v>5758505.4000000004</v>
      </c>
      <c r="BD9" s="54">
        <f t="shared" si="15"/>
        <v>417209.24</v>
      </c>
      <c r="BF9" s="77"/>
      <c r="BG9" s="77"/>
      <c r="BH9" s="77"/>
    </row>
    <row r="10" spans="1:60" s="59" customFormat="1" ht="25.5" x14ac:dyDescent="0.2">
      <c r="A10" s="48">
        <v>4</v>
      </c>
      <c r="B10" s="49" t="s">
        <v>77</v>
      </c>
      <c r="C10" s="45">
        <f t="shared" si="11"/>
        <v>1445032.18</v>
      </c>
      <c r="D10" s="78">
        <f>1700000-694774.28</f>
        <v>1005225.72</v>
      </c>
      <c r="E10" s="50">
        <f>420000+65575.64-45769.18</f>
        <v>439806.46</v>
      </c>
      <c r="F10" s="45">
        <f t="shared" si="1"/>
        <v>896557.58</v>
      </c>
      <c r="G10" s="50">
        <f>202600+115611.3-93857.07</f>
        <v>224354.22999999998</v>
      </c>
      <c r="H10" s="50">
        <f>400000+356520+23934.68-108251.33</f>
        <v>672203.35000000009</v>
      </c>
      <c r="I10" s="58">
        <f>5467.32-934.64</f>
        <v>4532.6799999999994</v>
      </c>
      <c r="J10" s="58">
        <v>0</v>
      </c>
      <c r="K10" s="58">
        <v>0</v>
      </c>
      <c r="L10" s="45">
        <f t="shared" si="2"/>
        <v>901090.26</v>
      </c>
      <c r="M10" s="45">
        <f t="shared" si="0"/>
        <v>3113143.05</v>
      </c>
      <c r="N10" s="78">
        <f>4200000-1311128.83+9.13</f>
        <v>2888880.3</v>
      </c>
      <c r="O10" s="58">
        <v>0</v>
      </c>
      <c r="P10" s="52">
        <f t="shared" si="3"/>
        <v>2888880.3</v>
      </c>
      <c r="Q10" s="78">
        <f>144500-19117.2</f>
        <v>125382.8</v>
      </c>
      <c r="R10" s="58">
        <v>0</v>
      </c>
      <c r="S10" s="50">
        <f>5000+1240-1800</f>
        <v>4440</v>
      </c>
      <c r="T10" s="52">
        <f t="shared" si="12"/>
        <v>129822.8</v>
      </c>
      <c r="U10" s="58">
        <v>0</v>
      </c>
      <c r="V10" s="58">
        <v>0</v>
      </c>
      <c r="W10" s="58">
        <v>0</v>
      </c>
      <c r="X10" s="50">
        <f>6840+930.24-2200.68</f>
        <v>5569.5599999999995</v>
      </c>
      <c r="Y10" s="50">
        <f>30610+60000+884.35-2623.96</f>
        <v>88870.39</v>
      </c>
      <c r="Z10" s="50">
        <f>5020+686.85-5706.85</f>
        <v>0</v>
      </c>
      <c r="AA10" s="53">
        <f t="shared" si="13"/>
        <v>94439.95</v>
      </c>
      <c r="AB10" s="45">
        <f t="shared" si="4"/>
        <v>627346.12</v>
      </c>
      <c r="AC10" s="50">
        <f>26000-8202.7</f>
        <v>17797.3</v>
      </c>
      <c r="AD10" s="50">
        <f>257000-75866.52-14524.62</f>
        <v>166608.85999999999</v>
      </c>
      <c r="AE10" s="50">
        <f>168000-3938.82-10328.6</f>
        <v>153732.57999999999</v>
      </c>
      <c r="AF10" s="50">
        <f>3000+547.43-1523.53</f>
        <v>2023.8999999999999</v>
      </c>
      <c r="AG10" s="50">
        <f>10460-273.3-50.05</f>
        <v>10136.650000000001</v>
      </c>
      <c r="AH10" s="50">
        <f>150000+15525.36+3.63-22935.27</f>
        <v>142593.72</v>
      </c>
      <c r="AI10" s="50">
        <f>2290-161.2-48.2</f>
        <v>2080.6000000000004</v>
      </c>
      <c r="AJ10" s="58">
        <f>22.47+132380-29.96</f>
        <v>132372.51</v>
      </c>
      <c r="AK10" s="45">
        <f>59800-3048.94+4.97-8178.89</f>
        <v>48577.14</v>
      </c>
      <c r="AL10" s="45">
        <f t="shared" si="5"/>
        <v>140578.29999999999</v>
      </c>
      <c r="AM10" s="50">
        <f>24140+246.27-331.07</f>
        <v>24055.200000000001</v>
      </c>
      <c r="AN10" s="50">
        <f>60000+334.39-676.47</f>
        <v>59657.919999999998</v>
      </c>
      <c r="AO10" s="50">
        <f>16000+532.99-774.29</f>
        <v>15758.7</v>
      </c>
      <c r="AP10" s="53">
        <f t="shared" si="6"/>
        <v>99471.82</v>
      </c>
      <c r="AQ10" s="50">
        <f>2000-92.06</f>
        <v>1907.94</v>
      </c>
      <c r="AR10" s="58">
        <f>40000+602.92-1404.38</f>
        <v>39198.54</v>
      </c>
      <c r="AS10" s="53">
        <f t="shared" si="7"/>
        <v>41106.480000000003</v>
      </c>
      <c r="AT10" s="45">
        <f>3000-3000</f>
        <v>0</v>
      </c>
      <c r="AU10" s="45">
        <f>79000+77751.14-73638.64</f>
        <v>83112.500000000015</v>
      </c>
      <c r="AV10" s="45">
        <f t="shared" si="8"/>
        <v>6051504.2999999998</v>
      </c>
      <c r="AW10" s="53">
        <f>ROUND(D10+G10+I10+P10+AD10+AE10+AF10+AG10+AH10+AI10+AJ10+AK10+AR10,2)</f>
        <v>4820317.43</v>
      </c>
      <c r="AX10" s="53">
        <f>ROUND(E10+H10+J10+K10+AC10+AP10+AQ10+AT10,2)</f>
        <v>1231186.8700000001</v>
      </c>
      <c r="AY10" s="45">
        <f t="shared" si="9"/>
        <v>307375.25</v>
      </c>
      <c r="AZ10" s="53">
        <f>ROUND(T10,2)</f>
        <v>129822.8</v>
      </c>
      <c r="BA10" s="53">
        <f t="shared" si="14"/>
        <v>177552.45</v>
      </c>
      <c r="BB10" s="45">
        <f t="shared" si="10"/>
        <v>6358879.5499999998</v>
      </c>
      <c r="BC10" s="53">
        <f t="shared" si="15"/>
        <v>4950140.2300000004</v>
      </c>
      <c r="BD10" s="54">
        <f t="shared" si="15"/>
        <v>1408739.32</v>
      </c>
      <c r="BF10" s="77"/>
      <c r="BG10" s="77"/>
      <c r="BH10" s="77"/>
    </row>
    <row r="11" spans="1:60" s="59" customFormat="1" ht="12.75" x14ac:dyDescent="0.2">
      <c r="A11" s="48" t="s">
        <v>8</v>
      </c>
      <c r="B11" s="49" t="s">
        <v>66</v>
      </c>
      <c r="C11" s="45">
        <f t="shared" si="11"/>
        <v>0</v>
      </c>
      <c r="D11" s="50">
        <v>0</v>
      </c>
      <c r="E11" s="50">
        <v>0</v>
      </c>
      <c r="F11" s="45">
        <f t="shared" si="1"/>
        <v>0</v>
      </c>
      <c r="G11" s="50">
        <v>0</v>
      </c>
      <c r="H11" s="50">
        <v>0</v>
      </c>
      <c r="I11" s="58">
        <v>0</v>
      </c>
      <c r="J11" s="58">
        <v>0</v>
      </c>
      <c r="K11" s="58">
        <v>0</v>
      </c>
      <c r="L11" s="45">
        <f t="shared" si="2"/>
        <v>0</v>
      </c>
      <c r="M11" s="45">
        <f t="shared" si="0"/>
        <v>160730.87</v>
      </c>
      <c r="N11" s="50">
        <f>160740-9.13</f>
        <v>160730.87</v>
      </c>
      <c r="O11" s="58">
        <v>0</v>
      </c>
      <c r="P11" s="52">
        <f t="shared" si="3"/>
        <v>160730.87</v>
      </c>
      <c r="Q11" s="50">
        <v>0</v>
      </c>
      <c r="R11" s="58">
        <v>0</v>
      </c>
      <c r="S11" s="50">
        <v>0</v>
      </c>
      <c r="T11" s="52">
        <f t="shared" si="12"/>
        <v>0</v>
      </c>
      <c r="U11" s="58">
        <v>0</v>
      </c>
      <c r="V11" s="58">
        <v>0</v>
      </c>
      <c r="W11" s="58">
        <v>0</v>
      </c>
      <c r="X11" s="50">
        <v>0</v>
      </c>
      <c r="Y11" s="50">
        <v>0</v>
      </c>
      <c r="Z11" s="50">
        <v>0</v>
      </c>
      <c r="AA11" s="53">
        <f t="shared" si="13"/>
        <v>0</v>
      </c>
      <c r="AB11" s="45">
        <f t="shared" si="4"/>
        <v>19156.37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f>19160-3.63</f>
        <v>19156.37</v>
      </c>
      <c r="AI11" s="50">
        <v>0</v>
      </c>
      <c r="AJ11" s="58">
        <v>0</v>
      </c>
      <c r="AK11" s="45">
        <f>6660-4.97</f>
        <v>6655.03</v>
      </c>
      <c r="AL11" s="45">
        <f t="shared" si="5"/>
        <v>0</v>
      </c>
      <c r="AM11" s="50">
        <v>0</v>
      </c>
      <c r="AN11" s="50">
        <v>0</v>
      </c>
      <c r="AO11" s="50">
        <v>0</v>
      </c>
      <c r="AP11" s="53">
        <f t="shared" si="6"/>
        <v>0</v>
      </c>
      <c r="AQ11" s="50">
        <v>0</v>
      </c>
      <c r="AR11" s="58">
        <v>0</v>
      </c>
      <c r="AS11" s="53">
        <f t="shared" si="7"/>
        <v>0</v>
      </c>
      <c r="AT11" s="45">
        <v>0</v>
      </c>
      <c r="AU11" s="45">
        <v>0</v>
      </c>
      <c r="AV11" s="45">
        <f t="shared" si="8"/>
        <v>186542.27</v>
      </c>
      <c r="AW11" s="53">
        <f>ROUND(D11+G11+I11+P11+AD11+AE11+AF11+AG11+AH11+AI11+AJ11+AK11+AR11,2)</f>
        <v>186542.27</v>
      </c>
      <c r="AX11" s="53">
        <f>ROUND(E11+H11+J11+K11+AC11+AP11+AQ11+AT11,2)</f>
        <v>0</v>
      </c>
      <c r="AY11" s="45">
        <f t="shared" si="9"/>
        <v>0</v>
      </c>
      <c r="AZ11" s="53">
        <f>ROUND(T11,2)</f>
        <v>0</v>
      </c>
      <c r="BA11" s="53">
        <f t="shared" si="14"/>
        <v>0</v>
      </c>
      <c r="BB11" s="45">
        <f t="shared" si="10"/>
        <v>186542.27</v>
      </c>
      <c r="BC11" s="53">
        <f t="shared" si="15"/>
        <v>186542.27</v>
      </c>
      <c r="BD11" s="54">
        <f t="shared" si="15"/>
        <v>0</v>
      </c>
      <c r="BF11" s="77"/>
      <c r="BG11" s="77"/>
      <c r="BH11" s="77"/>
    </row>
    <row r="12" spans="1:60" s="60" customFormat="1" ht="25.5" x14ac:dyDescent="0.2">
      <c r="A12" s="43" t="s">
        <v>67</v>
      </c>
      <c r="B12" s="79" t="s">
        <v>78</v>
      </c>
      <c r="C12" s="45">
        <f>SUM(C8:C11)</f>
        <v>4112230.8200000003</v>
      </c>
      <c r="D12" s="45">
        <f t="shared" ref="D12:BD12" si="16">SUM(D8:D11)</f>
        <v>3238000</v>
      </c>
      <c r="E12" s="45">
        <f t="shared" si="16"/>
        <v>874230.82000000007</v>
      </c>
      <c r="F12" s="45">
        <f t="shared" si="16"/>
        <v>2086011.6</v>
      </c>
      <c r="G12" s="45">
        <f t="shared" si="16"/>
        <v>767742.92999999993</v>
      </c>
      <c r="H12" s="45">
        <f t="shared" si="16"/>
        <v>1318268.6700000002</v>
      </c>
      <c r="I12" s="45">
        <f t="shared" si="16"/>
        <v>9065.36</v>
      </c>
      <c r="J12" s="45">
        <f t="shared" si="16"/>
        <v>0</v>
      </c>
      <c r="K12" s="45">
        <f t="shared" si="16"/>
        <v>0</v>
      </c>
      <c r="L12" s="45">
        <f t="shared" si="16"/>
        <v>2095076.96</v>
      </c>
      <c r="M12" s="45">
        <f t="shared" si="0"/>
        <v>10612878.51</v>
      </c>
      <c r="N12" s="45">
        <f t="shared" si="16"/>
        <v>10020739.999999998</v>
      </c>
      <c r="O12" s="45">
        <f t="shared" si="16"/>
        <v>0</v>
      </c>
      <c r="P12" s="45">
        <f t="shared" si="16"/>
        <v>10020739.999999998</v>
      </c>
      <c r="Q12" s="45">
        <f t="shared" si="16"/>
        <v>420499.99999999994</v>
      </c>
      <c r="R12" s="45">
        <f t="shared" si="16"/>
        <v>0</v>
      </c>
      <c r="S12" s="45">
        <f t="shared" si="16"/>
        <v>13200</v>
      </c>
      <c r="T12" s="45">
        <f t="shared" si="16"/>
        <v>433699.99999999994</v>
      </c>
      <c r="U12" s="45">
        <f t="shared" si="16"/>
        <v>0</v>
      </c>
      <c r="V12" s="45">
        <f t="shared" si="16"/>
        <v>0</v>
      </c>
      <c r="W12" s="45">
        <f t="shared" si="16"/>
        <v>0</v>
      </c>
      <c r="X12" s="45">
        <f>SUM(X8:X11)</f>
        <v>10639.32</v>
      </c>
      <c r="Y12" s="45">
        <f>SUM(Y8:Y11)</f>
        <v>141986.03999999998</v>
      </c>
      <c r="Z12" s="45">
        <f>SUM(Z8:Z11)</f>
        <v>5813.15</v>
      </c>
      <c r="AA12" s="45">
        <f>SUM(AA8:AA11)</f>
        <v>158438.51</v>
      </c>
      <c r="AB12" s="45">
        <f t="shared" ref="AB12" si="17">SUM(AB8:AB11)</f>
        <v>1896787.0700000003</v>
      </c>
      <c r="AC12" s="45">
        <f t="shared" si="16"/>
        <v>17797.3</v>
      </c>
      <c r="AD12" s="45">
        <f t="shared" si="16"/>
        <v>423475.38</v>
      </c>
      <c r="AE12" s="45">
        <f t="shared" si="16"/>
        <v>457671.4</v>
      </c>
      <c r="AF12" s="45">
        <f t="shared" si="16"/>
        <v>6476.4699999999993</v>
      </c>
      <c r="AG12" s="45">
        <f t="shared" si="16"/>
        <v>30409.95</v>
      </c>
      <c r="AH12" s="45">
        <f t="shared" si="16"/>
        <v>425224.73</v>
      </c>
      <c r="AI12" s="45">
        <f t="shared" si="16"/>
        <v>6241.8</v>
      </c>
      <c r="AJ12" s="45">
        <f t="shared" si="16"/>
        <v>529490.04</v>
      </c>
      <c r="AK12" s="45">
        <f t="shared" si="16"/>
        <v>171281.11000000002</v>
      </c>
      <c r="AL12" s="45">
        <f>SUM(AL8:AL11)</f>
        <v>389861.73</v>
      </c>
      <c r="AM12" s="45">
        <f t="shared" si="16"/>
        <v>30808.93</v>
      </c>
      <c r="AN12" s="45">
        <f t="shared" si="16"/>
        <v>170323.53</v>
      </c>
      <c r="AO12" s="45">
        <f t="shared" si="16"/>
        <v>69225.709999999992</v>
      </c>
      <c r="AP12" s="45">
        <f t="shared" si="16"/>
        <v>270358.17</v>
      </c>
      <c r="AQ12" s="45">
        <f t="shared" si="16"/>
        <v>1907.94</v>
      </c>
      <c r="AR12" s="45">
        <f t="shared" si="16"/>
        <v>117595.62</v>
      </c>
      <c r="AS12" s="45">
        <f t="shared" si="16"/>
        <v>119503.56</v>
      </c>
      <c r="AT12" s="45">
        <f t="shared" si="16"/>
        <v>0</v>
      </c>
      <c r="AU12" s="45">
        <f t="shared" si="16"/>
        <v>182361.36000000002</v>
      </c>
      <c r="AV12" s="45">
        <f>SUM(AV8:AV11)</f>
        <v>18685977.689999998</v>
      </c>
      <c r="AW12" s="45">
        <f t="shared" ref="AW12:AX12" si="18">SUM(AW8:AW11)</f>
        <v>16203414.789999999</v>
      </c>
      <c r="AX12" s="45">
        <f t="shared" si="18"/>
        <v>2482562.9000000004</v>
      </c>
      <c r="AY12" s="45">
        <f t="shared" si="16"/>
        <v>774499.87</v>
      </c>
      <c r="AZ12" s="45">
        <f t="shared" si="16"/>
        <v>433699.99999999994</v>
      </c>
      <c r="BA12" s="45">
        <f t="shared" si="16"/>
        <v>340799.87</v>
      </c>
      <c r="BB12" s="45">
        <f t="shared" si="16"/>
        <v>19460477.559999999</v>
      </c>
      <c r="BC12" s="45">
        <f t="shared" si="16"/>
        <v>16637114.789999999</v>
      </c>
      <c r="BD12" s="46">
        <f t="shared" si="16"/>
        <v>2823362.77</v>
      </c>
      <c r="BF12" s="77"/>
      <c r="BG12" s="77"/>
      <c r="BH12" s="77"/>
    </row>
    <row r="13" spans="1:60" s="59" customFormat="1" ht="36" x14ac:dyDescent="0.2">
      <c r="A13" s="48">
        <v>6</v>
      </c>
      <c r="B13" s="61" t="s">
        <v>79</v>
      </c>
      <c r="C13" s="45">
        <f t="shared" ref="C13:C15" si="19">ROUND(D13+E13,2)</f>
        <v>1749023.82</v>
      </c>
      <c r="D13" s="78">
        <f>1100000+399297.81</f>
        <v>1499297.81</v>
      </c>
      <c r="E13" s="50">
        <f>350000+45769.18-146043.17</f>
        <v>249726.00999999998</v>
      </c>
      <c r="F13" s="45">
        <f t="shared" ref="F13:F15" si="20">ROUND(G13+H13,2)</f>
        <v>691422.63</v>
      </c>
      <c r="G13" s="50">
        <f>310000-108337.2</f>
        <v>201662.8</v>
      </c>
      <c r="H13" s="50">
        <f>500000+108251.33-118491.5</f>
        <v>489759.82999999996</v>
      </c>
      <c r="I13" s="50">
        <f>10000+934.64-6401.96</f>
        <v>4532.6799999999994</v>
      </c>
      <c r="J13" s="50">
        <v>0</v>
      </c>
      <c r="K13" s="50">
        <v>0</v>
      </c>
      <c r="L13" s="45">
        <f t="shared" si="2"/>
        <v>695955.31</v>
      </c>
      <c r="M13" s="45">
        <f t="shared" si="0"/>
        <v>4235300.41</v>
      </c>
      <c r="N13" s="78">
        <f>3200000+771507.29</f>
        <v>3971507.29</v>
      </c>
      <c r="O13" s="50">
        <v>0</v>
      </c>
      <c r="P13" s="52">
        <f t="shared" si="3"/>
        <v>3971507.29</v>
      </c>
      <c r="Q13" s="78">
        <f>136500+17825.2</f>
        <v>154325.20000000001</v>
      </c>
      <c r="R13" s="50">
        <v>0</v>
      </c>
      <c r="S13" s="50">
        <f>5000-680</f>
        <v>4320</v>
      </c>
      <c r="T13" s="52">
        <f t="shared" si="12"/>
        <v>158645.20000000001</v>
      </c>
      <c r="U13" s="58">
        <v>0</v>
      </c>
      <c r="V13" s="58">
        <v>0</v>
      </c>
      <c r="W13" s="58">
        <v>0</v>
      </c>
      <c r="X13" s="58">
        <f>19000-6256.77</f>
        <v>12743.23</v>
      </c>
      <c r="Y13" s="58">
        <f>130000-45401.71</f>
        <v>84598.290000000008</v>
      </c>
      <c r="Z13" s="58">
        <f>15000-7193.6</f>
        <v>7806.4</v>
      </c>
      <c r="AA13" s="53">
        <f t="shared" ref="AA13:AA15" si="21">ROUND(U13+V13+W13+X13+Y13+Z13,2)</f>
        <v>105147.92</v>
      </c>
      <c r="AB13" s="45">
        <f t="shared" si="4"/>
        <v>452970.22</v>
      </c>
      <c r="AC13" s="50">
        <f>13000-13000</f>
        <v>0</v>
      </c>
      <c r="AD13" s="58">
        <f>120000+14524.62+45000-7178.37</f>
        <v>172346.25</v>
      </c>
      <c r="AE13" s="50">
        <f>156000+10328.6-9808.02</f>
        <v>156520.58000000002</v>
      </c>
      <c r="AF13" s="50">
        <f>2500-476.1</f>
        <v>2023.9</v>
      </c>
      <c r="AG13" s="50">
        <f>10200+50.05-113.4</f>
        <v>10136.65</v>
      </c>
      <c r="AH13" s="50">
        <f>140000+22935.27-53073.03</f>
        <v>109862.23999999999</v>
      </c>
      <c r="AI13" s="50">
        <f>2100+48.2-67.6</f>
        <v>2080.6</v>
      </c>
      <c r="AJ13" s="50">
        <f>29.96-29.96</f>
        <v>0</v>
      </c>
      <c r="AK13" s="45">
        <f>56600+8178.89+3658.65</f>
        <v>68437.539999999994</v>
      </c>
      <c r="AL13" s="45">
        <f t="shared" ref="AL13:AL15" si="22">ROUND(AP13+AS13,2)</f>
        <v>218372.15</v>
      </c>
      <c r="AM13" s="50">
        <f>331.07-331.07</f>
        <v>0</v>
      </c>
      <c r="AN13" s="50">
        <f>57000+676.47+86194.97</f>
        <v>143871.44</v>
      </c>
      <c r="AO13" s="50">
        <f>27320+774.29-1079.38</f>
        <v>27014.91</v>
      </c>
      <c r="AP13" s="53">
        <f t="shared" si="6"/>
        <v>170886.35</v>
      </c>
      <c r="AQ13" s="50">
        <f>1000+92.06-1092.06</f>
        <v>0</v>
      </c>
      <c r="AR13" s="50">
        <f>40000+1404.38+6081.42</f>
        <v>47485.799999999996</v>
      </c>
      <c r="AS13" s="53">
        <f t="shared" si="7"/>
        <v>47485.8</v>
      </c>
      <c r="AT13" s="45">
        <f>2240+2994.18</f>
        <v>5234.18</v>
      </c>
      <c r="AU13" s="45">
        <f>79000+73638.64-26143.05</f>
        <v>126495.59000000001</v>
      </c>
      <c r="AV13" s="45">
        <f t="shared" si="8"/>
        <v>7161500.5099999998</v>
      </c>
      <c r="AW13" s="52">
        <f>ROUND(D13+G13+I13+P13+AD13+AE13+AF13+AG13+AH13+AI13+AJ13+AK13+AR13,2)</f>
        <v>6245894.1399999997</v>
      </c>
      <c r="AX13" s="52">
        <f>ROUND(E13+H13+J13+K13+AC13+AP13+AQ13+AT13,2)</f>
        <v>915606.37</v>
      </c>
      <c r="AY13" s="45">
        <f t="shared" ref="AY13:AY15" si="23">ROUND(AZ13+BA13,2)</f>
        <v>390288.71</v>
      </c>
      <c r="AZ13" s="52">
        <f>ROUND(T13,2)</f>
        <v>158645.20000000001</v>
      </c>
      <c r="BA13" s="52">
        <f t="shared" ref="BA13:BA15" si="24">ROUND(AA13+AU13,2)</f>
        <v>231643.51</v>
      </c>
      <c r="BB13" s="45">
        <f t="shared" ref="BB13:BB15" si="25">ROUND(BC13+BD13,2)</f>
        <v>7551789.2199999997</v>
      </c>
      <c r="BC13" s="52">
        <f t="shared" ref="BC13:BD15" si="26">ROUND(AW13+AZ13,2)</f>
        <v>6404539.3399999999</v>
      </c>
      <c r="BD13" s="63">
        <f t="shared" si="26"/>
        <v>1147249.8799999999</v>
      </c>
      <c r="BF13" s="77"/>
      <c r="BG13" s="77"/>
      <c r="BH13" s="77"/>
    </row>
    <row r="14" spans="1:60" s="59" customFormat="1" ht="12.75" x14ac:dyDescent="0.2">
      <c r="A14" s="48">
        <v>7</v>
      </c>
      <c r="B14" s="56" t="s">
        <v>80</v>
      </c>
      <c r="C14" s="45">
        <f t="shared" si="19"/>
        <v>1674147.3</v>
      </c>
      <c r="D14" s="58">
        <f>1100000-399297.81+500000+283280.29</f>
        <v>1483982.48</v>
      </c>
      <c r="E14" s="50">
        <f>350000+146043.17-305878.35</f>
        <v>190164.82000000007</v>
      </c>
      <c r="F14" s="45">
        <f t="shared" si="20"/>
        <v>577398.54</v>
      </c>
      <c r="G14" s="50">
        <f>107400+93857.07+108337.2-159114.04</f>
        <v>150480.23000000001</v>
      </c>
      <c r="H14" s="58">
        <f>193870+400000+118491.5-285443.19</f>
        <v>426918.31</v>
      </c>
      <c r="I14" s="50">
        <f>3070+6401.96-4913.84</f>
        <v>4558.119999999999</v>
      </c>
      <c r="J14" s="50">
        <v>0</v>
      </c>
      <c r="K14" s="50">
        <v>0</v>
      </c>
      <c r="L14" s="45">
        <f t="shared" si="2"/>
        <v>581956.66</v>
      </c>
      <c r="M14" s="45">
        <f t="shared" si="0"/>
        <v>4156940.35</v>
      </c>
      <c r="N14" s="58">
        <f>3200000-771507.29+1000000+564094.44</f>
        <v>3992587.15</v>
      </c>
      <c r="O14" s="50">
        <v>0</v>
      </c>
      <c r="P14" s="52">
        <f t="shared" si="3"/>
        <v>3992587.15</v>
      </c>
      <c r="Q14" s="58">
        <f>136500-17825.2+30000+12438.4</f>
        <v>161113.19999999998</v>
      </c>
      <c r="R14" s="50">
        <v>0</v>
      </c>
      <c r="S14" s="50">
        <f>5000+680-2440</f>
        <v>3240</v>
      </c>
      <c r="T14" s="52">
        <f t="shared" si="12"/>
        <v>164353.20000000001</v>
      </c>
      <c r="U14" s="58">
        <v>0</v>
      </c>
      <c r="V14" s="58">
        <v>0</v>
      </c>
      <c r="W14" s="58">
        <v>0</v>
      </c>
      <c r="X14" s="50">
        <v>0</v>
      </c>
      <c r="Y14" s="50">
        <f>2623.96+45401.71-48025.67</f>
        <v>0</v>
      </c>
      <c r="Z14" s="50">
        <f>5706.85+7193.6-12900.45</f>
        <v>0</v>
      </c>
      <c r="AA14" s="53">
        <f t="shared" si="21"/>
        <v>0</v>
      </c>
      <c r="AB14" s="45">
        <f t="shared" si="4"/>
        <v>758471.5</v>
      </c>
      <c r="AC14" s="50">
        <f>8202.7+13000-3405.4</f>
        <v>17797.3</v>
      </c>
      <c r="AD14" s="58">
        <f>193000+7178.37-33569.51</f>
        <v>166608.85999999999</v>
      </c>
      <c r="AE14" s="58">
        <f>156000+9808.02-15346.47</f>
        <v>150461.54999999999</v>
      </c>
      <c r="AF14" s="58">
        <f>2500+476.1+1071.7</f>
        <v>4047.8</v>
      </c>
      <c r="AG14" s="58">
        <f>10200+113.4-176.75</f>
        <v>10136.65</v>
      </c>
      <c r="AH14" s="58">
        <f>140000+53073.03-38000-12479.31</f>
        <v>142593.72</v>
      </c>
      <c r="AI14" s="58">
        <f>2100+67.6-87</f>
        <v>2080.6</v>
      </c>
      <c r="AJ14" s="58">
        <f>132380+29.96+132380-44.94</f>
        <v>264745.01999999996</v>
      </c>
      <c r="AK14" s="45">
        <f>56600-3658.65-5087.43</f>
        <v>47853.919999999998</v>
      </c>
      <c r="AL14" s="45">
        <f t="shared" si="22"/>
        <v>65343.8</v>
      </c>
      <c r="AM14" s="58">
        <f>16000+331.07-16331.07</f>
        <v>0</v>
      </c>
      <c r="AN14" s="50">
        <f>57000-46294.97-699.29</f>
        <v>10005.739999999998</v>
      </c>
      <c r="AO14" s="50">
        <f>1079.38-1079.38</f>
        <v>0</v>
      </c>
      <c r="AP14" s="53">
        <f t="shared" si="6"/>
        <v>10005.74</v>
      </c>
      <c r="AQ14" s="50">
        <f>1500+1092.06-684.12</f>
        <v>1907.94</v>
      </c>
      <c r="AR14" s="58">
        <f>40000-6081.42+7200+12311.54</f>
        <v>53430.12</v>
      </c>
      <c r="AS14" s="53">
        <f t="shared" si="7"/>
        <v>55338.06</v>
      </c>
      <c r="AT14" s="45">
        <f>3000-2994.18-5.82</f>
        <v>1.6342482922482304E-13</v>
      </c>
      <c r="AU14" s="45">
        <f>79000+26143.05-105143.05</f>
        <v>0</v>
      </c>
      <c r="AV14" s="45">
        <f t="shared" si="8"/>
        <v>7120360.3300000001</v>
      </c>
      <c r="AW14" s="52">
        <f>ROUND(D14+G14+I14+P14+AD14+AE14+AF14+AG14+AH14+AI14+AJ14+AK14+AR14,2)</f>
        <v>6473566.2199999997</v>
      </c>
      <c r="AX14" s="52">
        <f>ROUND(E14+H14+J14+K14+AC14+AP14+AQ14+AT14,2)</f>
        <v>646794.11</v>
      </c>
      <c r="AY14" s="45">
        <f t="shared" si="23"/>
        <v>164353.20000000001</v>
      </c>
      <c r="AZ14" s="52">
        <f>ROUND(T14,2)</f>
        <v>164353.20000000001</v>
      </c>
      <c r="BA14" s="52">
        <f t="shared" si="24"/>
        <v>0</v>
      </c>
      <c r="BB14" s="45">
        <f t="shared" si="25"/>
        <v>7284713.5300000003</v>
      </c>
      <c r="BC14" s="52">
        <f t="shared" si="26"/>
        <v>6637919.4199999999</v>
      </c>
      <c r="BD14" s="63">
        <f t="shared" si="26"/>
        <v>646794.11</v>
      </c>
      <c r="BF14" s="77"/>
      <c r="BG14" s="77"/>
      <c r="BH14" s="77"/>
    </row>
    <row r="15" spans="1:60" s="60" customFormat="1" ht="25.5" x14ac:dyDescent="0.2">
      <c r="A15" s="48">
        <v>8</v>
      </c>
      <c r="B15" s="9" t="s">
        <v>87</v>
      </c>
      <c r="C15" s="45">
        <f t="shared" si="19"/>
        <v>1821878.06</v>
      </c>
      <c r="D15" s="73">
        <f>367280+932000-283280.29+300000+20302.02</f>
        <v>1336301.73</v>
      </c>
      <c r="E15" s="50">
        <f>200000+305878.35-20302.02</f>
        <v>485576.32999999996</v>
      </c>
      <c r="F15" s="45">
        <f t="shared" si="20"/>
        <v>1372942.35</v>
      </c>
      <c r="G15" s="58">
        <f>30050+159114.04+837.01</f>
        <v>190001.05000000002</v>
      </c>
      <c r="H15" s="58">
        <f>900000+285443.19-2501.89</f>
        <v>1182941.3</v>
      </c>
      <c r="I15" s="50">
        <f>4913.84-355.72</f>
        <v>4558.12</v>
      </c>
      <c r="J15" s="58">
        <f>354700-118000-546.62</f>
        <v>236153.38</v>
      </c>
      <c r="K15" s="58">
        <v>0</v>
      </c>
      <c r="L15" s="45">
        <f t="shared" si="2"/>
        <v>1613653.85</v>
      </c>
      <c r="M15" s="45">
        <f t="shared" si="0"/>
        <v>3600260.7</v>
      </c>
      <c r="N15" s="58">
        <f>1457280+2110370-564094.44+600000-193047.63+1648.61</f>
        <v>3412156.54</v>
      </c>
      <c r="O15" s="50">
        <v>0</v>
      </c>
      <c r="P15" s="52">
        <f t="shared" si="3"/>
        <v>3412156.54</v>
      </c>
      <c r="Q15" s="58">
        <f>125520+13230-12438.4+23000-11909.2</f>
        <v>137402.4</v>
      </c>
      <c r="R15" s="50">
        <v>0</v>
      </c>
      <c r="S15" s="58">
        <f>3620+1800+2440-3600+660</f>
        <v>4920</v>
      </c>
      <c r="T15" s="52">
        <f t="shared" si="12"/>
        <v>142322.4</v>
      </c>
      <c r="U15" s="58">
        <v>0</v>
      </c>
      <c r="V15" s="58">
        <v>0</v>
      </c>
      <c r="W15" s="58">
        <v>0</v>
      </c>
      <c r="X15" s="50">
        <f>8457.45-2145.69</f>
        <v>6311.76</v>
      </c>
      <c r="Y15" s="50">
        <f>48025.67-8555.67</f>
        <v>39470</v>
      </c>
      <c r="Z15" s="50">
        <f>12900.45-12900.45</f>
        <v>0</v>
      </c>
      <c r="AA15" s="53">
        <f t="shared" si="21"/>
        <v>45781.760000000002</v>
      </c>
      <c r="AB15" s="45">
        <f t="shared" si="4"/>
        <v>468093.65</v>
      </c>
      <c r="AC15" s="50">
        <f>3405.4-3405.4</f>
        <v>0</v>
      </c>
      <c r="AD15" s="58">
        <f>62000+33569.51-10798.38</f>
        <v>84771.13</v>
      </c>
      <c r="AE15" s="58">
        <f>156000+118800+15346.47-45000-7802.42</f>
        <v>237344.04999999996</v>
      </c>
      <c r="AF15" s="58">
        <f>1780+1523.53-1800-1071.7+2000-407.93</f>
        <v>2023.8999999999999</v>
      </c>
      <c r="AG15" s="58">
        <f>10200+176.75-240.1</f>
        <v>10136.65</v>
      </c>
      <c r="AH15" s="58">
        <f>131000+12479.31-11741.99</f>
        <v>131737.32</v>
      </c>
      <c r="AI15" s="58">
        <f>2100+87-106.4</f>
        <v>2080.6</v>
      </c>
      <c r="AJ15" s="58">
        <f>44.94-44.94</f>
        <v>0</v>
      </c>
      <c r="AK15" s="72">
        <f>53600+5087.43</f>
        <v>58687.43</v>
      </c>
      <c r="AL15" s="45">
        <f t="shared" si="22"/>
        <v>143016.26</v>
      </c>
      <c r="AM15" s="50">
        <f>88000+16331.07-4577.68</f>
        <v>99753.390000000014</v>
      </c>
      <c r="AN15" s="50">
        <f>699.29-699.29</f>
        <v>0</v>
      </c>
      <c r="AO15" s="50">
        <f>1079.38-1079.38</f>
        <v>0</v>
      </c>
      <c r="AP15" s="53">
        <f t="shared" si="6"/>
        <v>99753.39</v>
      </c>
      <c r="AQ15" s="50">
        <f>1500+684.12-37.69</f>
        <v>2146.4299999999998</v>
      </c>
      <c r="AR15" s="50">
        <f>54480-12311.54-1052.02</f>
        <v>41116.44</v>
      </c>
      <c r="AS15" s="53">
        <f t="shared" si="7"/>
        <v>43262.87</v>
      </c>
      <c r="AT15" s="45">
        <f>5.82-5.82</f>
        <v>0</v>
      </c>
      <c r="AU15" s="45">
        <f>52040+27810+105143.05-6970.85</f>
        <v>178022.19999999998</v>
      </c>
      <c r="AV15" s="45">
        <f t="shared" si="8"/>
        <v>7517485.79</v>
      </c>
      <c r="AW15" s="52">
        <f>ROUND(D15+G15+I15+P15+AD15+AE15+AF15+AG15+AH15+AI15+AJ15+AK15+AR15,2)</f>
        <v>5510914.96</v>
      </c>
      <c r="AX15" s="52">
        <f>ROUND(E15+H15+J15+K15+AC15+AP15+AQ15+AT15,2)</f>
        <v>2006570.83</v>
      </c>
      <c r="AY15" s="45">
        <f t="shared" si="23"/>
        <v>366126.36</v>
      </c>
      <c r="AZ15" s="52">
        <f>ROUND(T15,2)</f>
        <v>142322.4</v>
      </c>
      <c r="BA15" s="52">
        <f t="shared" si="24"/>
        <v>223803.96</v>
      </c>
      <c r="BB15" s="45">
        <f t="shared" si="25"/>
        <v>7883612.1500000004</v>
      </c>
      <c r="BC15" s="52">
        <f t="shared" si="26"/>
        <v>5653237.3600000003</v>
      </c>
      <c r="BD15" s="63">
        <f t="shared" si="26"/>
        <v>2230374.79</v>
      </c>
      <c r="BF15" s="77"/>
      <c r="BG15" s="77"/>
      <c r="BH15" s="77"/>
    </row>
    <row r="16" spans="1:60" s="60" customFormat="1" ht="30.75" customHeight="1" x14ac:dyDescent="0.2">
      <c r="A16" s="43" t="s">
        <v>3</v>
      </c>
      <c r="B16" s="79" t="s">
        <v>88</v>
      </c>
      <c r="C16" s="45">
        <f>SUM(C13:C15)</f>
        <v>5245049.18</v>
      </c>
      <c r="D16" s="45">
        <f t="shared" ref="D16:BD16" si="27">SUM(D13:D15)</f>
        <v>4319582.0199999996</v>
      </c>
      <c r="E16" s="45">
        <f t="shared" si="27"/>
        <v>925467.16</v>
      </c>
      <c r="F16" s="45">
        <f t="shared" si="27"/>
        <v>2641763.52</v>
      </c>
      <c r="G16" s="45">
        <f t="shared" si="27"/>
        <v>542144.08000000007</v>
      </c>
      <c r="H16" s="45">
        <f t="shared" si="27"/>
        <v>2099619.44</v>
      </c>
      <c r="I16" s="45">
        <f t="shared" si="27"/>
        <v>13648.919999999998</v>
      </c>
      <c r="J16" s="45">
        <f t="shared" si="27"/>
        <v>236153.38</v>
      </c>
      <c r="K16" s="45">
        <f t="shared" si="27"/>
        <v>0</v>
      </c>
      <c r="L16" s="45">
        <f t="shared" si="27"/>
        <v>2891565.8200000003</v>
      </c>
      <c r="M16" s="45">
        <f t="shared" si="0"/>
        <v>11992501.460000001</v>
      </c>
      <c r="N16" s="45">
        <f>SUM(N13:N15)</f>
        <v>11376250.98</v>
      </c>
      <c r="O16" s="45">
        <f t="shared" ref="O16:W16" si="28">SUM(O13:O15)</f>
        <v>0</v>
      </c>
      <c r="P16" s="45">
        <f t="shared" si="28"/>
        <v>11376250.98</v>
      </c>
      <c r="Q16" s="45">
        <f t="shared" si="28"/>
        <v>452840.80000000005</v>
      </c>
      <c r="R16" s="45">
        <f t="shared" si="28"/>
        <v>0</v>
      </c>
      <c r="S16" s="45">
        <f t="shared" si="28"/>
        <v>12480</v>
      </c>
      <c r="T16" s="45">
        <f t="shared" si="28"/>
        <v>465320.80000000005</v>
      </c>
      <c r="U16" s="45">
        <f t="shared" si="28"/>
        <v>0</v>
      </c>
      <c r="V16" s="45">
        <f t="shared" si="28"/>
        <v>0</v>
      </c>
      <c r="W16" s="45">
        <f t="shared" si="28"/>
        <v>0</v>
      </c>
      <c r="X16" s="45">
        <f>SUM(X13:X15)</f>
        <v>19054.989999999998</v>
      </c>
      <c r="Y16" s="45">
        <f>SUM(Y13:Y15)</f>
        <v>124068.29000000001</v>
      </c>
      <c r="Z16" s="45">
        <f t="shared" ref="Z16:AB16" si="29">SUM(Z13:Z15)</f>
        <v>7806.4</v>
      </c>
      <c r="AA16" s="45">
        <f t="shared" si="29"/>
        <v>150929.68</v>
      </c>
      <c r="AB16" s="45">
        <f t="shared" si="29"/>
        <v>1679535.37</v>
      </c>
      <c r="AC16" s="45">
        <f t="shared" si="27"/>
        <v>17797.3</v>
      </c>
      <c r="AD16" s="45">
        <f t="shared" si="27"/>
        <v>423726.24</v>
      </c>
      <c r="AE16" s="45">
        <f t="shared" si="27"/>
        <v>544326.17999999993</v>
      </c>
      <c r="AF16" s="45">
        <f t="shared" si="27"/>
        <v>8095.6</v>
      </c>
      <c r="AG16" s="45">
        <f t="shared" si="27"/>
        <v>30409.949999999997</v>
      </c>
      <c r="AH16" s="45">
        <f t="shared" si="27"/>
        <v>384193.28000000003</v>
      </c>
      <c r="AI16" s="45">
        <f t="shared" si="27"/>
        <v>6241.7999999999993</v>
      </c>
      <c r="AJ16" s="45">
        <f t="shared" si="27"/>
        <v>264745.01999999996</v>
      </c>
      <c r="AK16" s="45">
        <f t="shared" si="27"/>
        <v>174978.88999999998</v>
      </c>
      <c r="AL16" s="45">
        <f t="shared" si="27"/>
        <v>426732.21</v>
      </c>
      <c r="AM16" s="45">
        <f t="shared" si="27"/>
        <v>99753.390000000014</v>
      </c>
      <c r="AN16" s="45">
        <f t="shared" si="27"/>
        <v>153877.18</v>
      </c>
      <c r="AO16" s="45">
        <f>SUM(AO13:AO15)</f>
        <v>27014.91</v>
      </c>
      <c r="AP16" s="45">
        <f t="shared" ref="AP16:AS16" si="30">SUM(AP13:AP15)</f>
        <v>280645.48</v>
      </c>
      <c r="AQ16" s="45">
        <f t="shared" si="30"/>
        <v>4054.37</v>
      </c>
      <c r="AR16" s="45">
        <f t="shared" si="30"/>
        <v>142032.35999999999</v>
      </c>
      <c r="AS16" s="45">
        <f t="shared" si="30"/>
        <v>146086.73000000001</v>
      </c>
      <c r="AT16" s="45">
        <f t="shared" si="27"/>
        <v>5234.18</v>
      </c>
      <c r="AU16" s="45">
        <f t="shared" si="27"/>
        <v>304517.78999999998</v>
      </c>
      <c r="AV16" s="45">
        <f>SUM(AV13:AV15)</f>
        <v>21799346.629999999</v>
      </c>
      <c r="AW16" s="45">
        <f t="shared" ref="AW16:AX16" si="31">SUM(AW13:AW15)</f>
        <v>18230375.32</v>
      </c>
      <c r="AX16" s="45">
        <f t="shared" si="31"/>
        <v>3568971.31</v>
      </c>
      <c r="AY16" s="45">
        <f t="shared" si="27"/>
        <v>920768.27</v>
      </c>
      <c r="AZ16" s="45">
        <f t="shared" si="27"/>
        <v>465320.80000000005</v>
      </c>
      <c r="BA16" s="45">
        <f t="shared" si="27"/>
        <v>455447.47</v>
      </c>
      <c r="BB16" s="45">
        <f t="shared" si="27"/>
        <v>22720114.899999999</v>
      </c>
      <c r="BC16" s="45">
        <f t="shared" si="27"/>
        <v>18695696.120000001</v>
      </c>
      <c r="BD16" s="46">
        <f t="shared" si="27"/>
        <v>4024418.78</v>
      </c>
      <c r="BF16" s="77"/>
      <c r="BG16" s="77"/>
      <c r="BH16" s="77"/>
    </row>
    <row r="17" spans="1:61" s="60" customFormat="1" ht="25.5" x14ac:dyDescent="0.2">
      <c r="A17" s="43" t="s">
        <v>4</v>
      </c>
      <c r="B17" s="79" t="s">
        <v>89</v>
      </c>
      <c r="C17" s="45">
        <f>ROUND(C12+C16,2)</f>
        <v>9357280</v>
      </c>
      <c r="D17" s="45">
        <f t="shared" ref="D17:BD17" si="32">ROUND(D12+D16,2)</f>
        <v>7557582.0199999996</v>
      </c>
      <c r="E17" s="45">
        <f t="shared" si="32"/>
        <v>1799697.98</v>
      </c>
      <c r="F17" s="45">
        <f t="shared" si="32"/>
        <v>4727775.12</v>
      </c>
      <c r="G17" s="45">
        <f t="shared" si="32"/>
        <v>1309887.01</v>
      </c>
      <c r="H17" s="45">
        <f t="shared" si="32"/>
        <v>3417888.11</v>
      </c>
      <c r="I17" s="45">
        <f t="shared" si="32"/>
        <v>22714.28</v>
      </c>
      <c r="J17" s="45">
        <f t="shared" si="32"/>
        <v>236153.38</v>
      </c>
      <c r="K17" s="45">
        <f t="shared" si="32"/>
        <v>0</v>
      </c>
      <c r="L17" s="45">
        <f t="shared" si="32"/>
        <v>4986642.78</v>
      </c>
      <c r="M17" s="45">
        <f t="shared" si="0"/>
        <v>22605379.969999999</v>
      </c>
      <c r="N17" s="45">
        <f t="shared" si="32"/>
        <v>21396990.98</v>
      </c>
      <c r="O17" s="45">
        <f t="shared" si="32"/>
        <v>0</v>
      </c>
      <c r="P17" s="45">
        <f t="shared" si="32"/>
        <v>21396990.98</v>
      </c>
      <c r="Q17" s="45">
        <f t="shared" si="32"/>
        <v>873340.8</v>
      </c>
      <c r="R17" s="45">
        <f t="shared" si="32"/>
        <v>0</v>
      </c>
      <c r="S17" s="45">
        <f t="shared" si="32"/>
        <v>25680</v>
      </c>
      <c r="T17" s="45">
        <f t="shared" si="32"/>
        <v>899020.80000000005</v>
      </c>
      <c r="U17" s="45">
        <f t="shared" si="32"/>
        <v>0</v>
      </c>
      <c r="V17" s="45">
        <f t="shared" si="32"/>
        <v>0</v>
      </c>
      <c r="W17" s="45">
        <f t="shared" si="32"/>
        <v>0</v>
      </c>
      <c r="X17" s="45">
        <f>ROUND(X12+X16,2)</f>
        <v>29694.31</v>
      </c>
      <c r="Y17" s="45">
        <f>ROUND(Y12+Y16,2)</f>
        <v>266054.33</v>
      </c>
      <c r="Z17" s="45">
        <f t="shared" ref="Z17:AB17" si="33">ROUND(Z12+Z16,2)</f>
        <v>13619.55</v>
      </c>
      <c r="AA17" s="45">
        <f t="shared" si="33"/>
        <v>309368.19</v>
      </c>
      <c r="AB17" s="45">
        <f t="shared" si="33"/>
        <v>3576322.44</v>
      </c>
      <c r="AC17" s="45">
        <f t="shared" si="32"/>
        <v>35594.6</v>
      </c>
      <c r="AD17" s="45">
        <f t="shared" si="32"/>
        <v>847201.62</v>
      </c>
      <c r="AE17" s="45">
        <f t="shared" si="32"/>
        <v>1001997.58</v>
      </c>
      <c r="AF17" s="45">
        <f t="shared" si="32"/>
        <v>14572.07</v>
      </c>
      <c r="AG17" s="45">
        <f t="shared" si="32"/>
        <v>60819.9</v>
      </c>
      <c r="AH17" s="45">
        <f t="shared" si="32"/>
        <v>809418.01</v>
      </c>
      <c r="AI17" s="45">
        <f t="shared" si="32"/>
        <v>12483.6</v>
      </c>
      <c r="AJ17" s="45">
        <f t="shared" si="32"/>
        <v>794235.06</v>
      </c>
      <c r="AK17" s="45">
        <f t="shared" si="32"/>
        <v>346260</v>
      </c>
      <c r="AL17" s="45">
        <f t="shared" si="32"/>
        <v>816593.94</v>
      </c>
      <c r="AM17" s="45">
        <f t="shared" si="32"/>
        <v>130562.32</v>
      </c>
      <c r="AN17" s="45">
        <f t="shared" si="32"/>
        <v>324200.71000000002</v>
      </c>
      <c r="AO17" s="45">
        <f t="shared" si="32"/>
        <v>96240.62</v>
      </c>
      <c r="AP17" s="45">
        <f t="shared" si="32"/>
        <v>551003.65</v>
      </c>
      <c r="AQ17" s="45">
        <f t="shared" si="32"/>
        <v>5962.31</v>
      </c>
      <c r="AR17" s="45">
        <f t="shared" si="32"/>
        <v>259627.98</v>
      </c>
      <c r="AS17" s="45">
        <f t="shared" si="32"/>
        <v>265590.28999999998</v>
      </c>
      <c r="AT17" s="45">
        <f t="shared" si="32"/>
        <v>5234.18</v>
      </c>
      <c r="AU17" s="45">
        <f t="shared" si="32"/>
        <v>486879.15</v>
      </c>
      <c r="AV17" s="45">
        <f>ROUND(AV12+AV16,2)</f>
        <v>40485324.32</v>
      </c>
      <c r="AW17" s="45">
        <f t="shared" ref="AW17:AX17" si="34">ROUND(AW12+AW16,2)</f>
        <v>34433790.109999999</v>
      </c>
      <c r="AX17" s="45">
        <f t="shared" si="34"/>
        <v>6051534.21</v>
      </c>
      <c r="AY17" s="45">
        <f t="shared" si="32"/>
        <v>1695268.14</v>
      </c>
      <c r="AZ17" s="45">
        <f t="shared" si="32"/>
        <v>899020.80000000005</v>
      </c>
      <c r="BA17" s="45">
        <f t="shared" si="32"/>
        <v>796247.34</v>
      </c>
      <c r="BB17" s="45">
        <f t="shared" si="32"/>
        <v>42180592.460000001</v>
      </c>
      <c r="BC17" s="45">
        <f t="shared" si="32"/>
        <v>35332810.909999996</v>
      </c>
      <c r="BD17" s="46">
        <f t="shared" si="32"/>
        <v>6847781.5499999998</v>
      </c>
      <c r="BF17" s="77"/>
      <c r="BG17" s="77"/>
      <c r="BH17" s="77"/>
    </row>
    <row r="18" spans="1:61" s="47" customFormat="1" ht="25.5" x14ac:dyDescent="0.2">
      <c r="A18" s="48">
        <v>11</v>
      </c>
      <c r="B18" s="9" t="s">
        <v>104</v>
      </c>
      <c r="C18" s="45">
        <f t="shared" ref="C18:C20" si="35">ROUND(D18+E18,2)</f>
        <v>1869360.39</v>
      </c>
      <c r="D18" s="73">
        <f>1300000-20302.02+311885.85</f>
        <v>1591583.83</v>
      </c>
      <c r="E18" s="58">
        <f>330000+20302.02-72525.46</f>
        <v>277776.56</v>
      </c>
      <c r="F18" s="45">
        <f t="shared" ref="F18:F20" si="36">ROUND(G18+H18,2)</f>
        <v>965013.32</v>
      </c>
      <c r="G18" s="58">
        <f>170000-837.01+20858.8</f>
        <v>190021.78999999998</v>
      </c>
      <c r="H18" s="58">
        <f>300000*2+2501.89+172489.64</f>
        <v>774991.53</v>
      </c>
      <c r="I18" s="58">
        <f>4210+355.72-4565.72</f>
        <v>0</v>
      </c>
      <c r="J18" s="58">
        <f>118000+546.62-118546.62</f>
        <v>0</v>
      </c>
      <c r="K18" s="58">
        <v>0</v>
      </c>
      <c r="L18" s="45">
        <f t="shared" ref="L18:L20" si="37">ROUND(F18+I18+J18+K18,2)</f>
        <v>965013.32</v>
      </c>
      <c r="M18" s="45">
        <f t="shared" si="0"/>
        <v>3725311.96</v>
      </c>
      <c r="N18" s="58">
        <f>3600000+193047.63-1648.61-237845.3</f>
        <v>3553553.72</v>
      </c>
      <c r="O18" s="50">
        <v>0</v>
      </c>
      <c r="P18" s="52">
        <f t="shared" ref="P18:P20" si="38">ROUND(N18+O18,2)</f>
        <v>3553553.72</v>
      </c>
      <c r="Q18" s="58">
        <f>150000+11909.2-20972.8</f>
        <v>140936.40000000002</v>
      </c>
      <c r="R18" s="58">
        <v>0</v>
      </c>
      <c r="S18" s="58">
        <f>4500-660-480</f>
        <v>3360</v>
      </c>
      <c r="T18" s="52">
        <f t="shared" ref="T18:T20" si="39">ROUND(Q18+R18+S18,2)</f>
        <v>144296.4</v>
      </c>
      <c r="U18" s="58">
        <v>0</v>
      </c>
      <c r="V18" s="58">
        <v>0</v>
      </c>
      <c r="W18" s="58">
        <v>0</v>
      </c>
      <c r="X18" s="58">
        <f>5430+2145.69-1249.85</f>
        <v>6325.84</v>
      </c>
      <c r="Y18" s="58">
        <f>25660+8555.67-23547.67</f>
        <v>10668</v>
      </c>
      <c r="Z18" s="58">
        <f>250+12900.45-2682.45</f>
        <v>10468</v>
      </c>
      <c r="AA18" s="53">
        <f t="shared" ref="AA18:AA20" si="40">ROUND(U18+V18+W18+X18+Y18+Z18,2)</f>
        <v>27461.84</v>
      </c>
      <c r="AB18" s="45">
        <f t="shared" ref="AB18:AB20" si="41">ROUND(AC18+AD18+AE18+AF18+AG18+AH18+AI18+AJ18,2)</f>
        <v>638912.68000000005</v>
      </c>
      <c r="AC18" s="58">
        <f>17720+3405.4+4000-754.75</f>
        <v>24370.65</v>
      </c>
      <c r="AD18" s="58">
        <f>100000+10798.38-28920.84</f>
        <v>81877.540000000008</v>
      </c>
      <c r="AE18" s="58">
        <f>240000+7802.42-5307.55</f>
        <v>242494.87000000002</v>
      </c>
      <c r="AF18" s="58">
        <f>1130+407.93+890.74</f>
        <v>2428.67</v>
      </c>
      <c r="AG18" s="58">
        <f>10000+240.1-10240.1</f>
        <v>0</v>
      </c>
      <c r="AH18" s="58">
        <f>145000+11741.99-3454.15</f>
        <v>153287.84</v>
      </c>
      <c r="AI18" s="58">
        <f>2000+106.4-25.8</f>
        <v>2080.6</v>
      </c>
      <c r="AJ18" s="58">
        <f>44.94+132330-2.43</f>
        <v>132372.51</v>
      </c>
      <c r="AK18" s="72">
        <f>60000+6869.44</f>
        <v>66869.440000000002</v>
      </c>
      <c r="AL18" s="45">
        <f t="shared" ref="AL18:AL20" si="42">ROUND(AP18+AS18,2)</f>
        <v>197448.21</v>
      </c>
      <c r="AM18" s="58">
        <f>32000+4577.68-8165.65</f>
        <v>28412.03</v>
      </c>
      <c r="AN18" s="58">
        <f>65000+699.29+141000-133866.84</f>
        <v>72832.449999999983</v>
      </c>
      <c r="AO18" s="58">
        <f>20000+1079.38+21694.23</f>
        <v>42773.61</v>
      </c>
      <c r="AP18" s="53">
        <f t="shared" ref="AP18:AP20" si="43">ROUND(AM18+AN18+AO18,2)</f>
        <v>144018.09</v>
      </c>
      <c r="AQ18" s="58">
        <f>1000+37.69-1037.69</f>
        <v>0</v>
      </c>
      <c r="AR18" s="58">
        <f>56000+1052.02-3621.9</f>
        <v>53430.119999999995</v>
      </c>
      <c r="AS18" s="53">
        <f t="shared" ref="AS18:AS20" si="44">ROUND(AQ18+AR18,2)</f>
        <v>53430.12</v>
      </c>
      <c r="AT18" s="45">
        <f>1710+5.82-1715.82</f>
        <v>0</v>
      </c>
      <c r="AU18" s="45">
        <f>149990+6970.85-85210.85</f>
        <v>71750</v>
      </c>
      <c r="AV18" s="45">
        <f t="shared" ref="AV18:AV20" si="45">ROUND(AW18+AX18,2)</f>
        <v>7291157.7599999998</v>
      </c>
      <c r="AW18" s="52">
        <f>ROUND(D18+G18+I18+P18+AD18+AE18+AF18+AG18+AH18+AI18+AJ18+AK18+AR18,2)</f>
        <v>6070000.9299999997</v>
      </c>
      <c r="AX18" s="52">
        <f>ROUND(E18+H18+J18+K18+AC18+AP18+AQ18+AT18,2)</f>
        <v>1221156.83</v>
      </c>
      <c r="AY18" s="45">
        <f t="shared" ref="AY18:AY20" si="46">ROUND(AZ18+BA18,2)</f>
        <v>243508.24</v>
      </c>
      <c r="AZ18" s="52">
        <f>ROUND(T18,2)</f>
        <v>144296.4</v>
      </c>
      <c r="BA18" s="52">
        <f t="shared" ref="BA18:BA20" si="47">ROUND(AA18+AU18,2)</f>
        <v>99211.839999999997</v>
      </c>
      <c r="BB18" s="45">
        <f t="shared" ref="BB18:BB20" si="48">ROUND(BC18+BD18,2)</f>
        <v>7534666</v>
      </c>
      <c r="BC18" s="52">
        <f t="shared" ref="BC18:BD20" si="49">ROUND(AW18+AZ18,2)</f>
        <v>6214297.3300000001</v>
      </c>
      <c r="BD18" s="63">
        <f t="shared" si="49"/>
        <v>1320368.67</v>
      </c>
      <c r="BF18" s="77"/>
      <c r="BG18" s="77"/>
      <c r="BH18" s="77"/>
    </row>
    <row r="19" spans="1:61" s="55" customFormat="1" ht="12.75" x14ac:dyDescent="0.2">
      <c r="A19" s="48">
        <v>12</v>
      </c>
      <c r="B19" s="9" t="s">
        <v>105</v>
      </c>
      <c r="C19" s="45">
        <f t="shared" si="35"/>
        <v>1654649.78</v>
      </c>
      <c r="D19" s="58">
        <f>1005500+730000-311885.85+176870-15116.74</f>
        <v>1585367.41</v>
      </c>
      <c r="E19" s="58">
        <f>330000+110000+72525.46-443243.09</f>
        <v>69282.37</v>
      </c>
      <c r="F19" s="45">
        <f t="shared" si="36"/>
        <v>718649.2</v>
      </c>
      <c r="G19" s="58">
        <f>170000+50000-20858.8-6883.46</f>
        <v>192257.74000000002</v>
      </c>
      <c r="H19" s="58">
        <f>176010+150000+200000-172489.64+172871.1</f>
        <v>526391.46</v>
      </c>
      <c r="I19" s="58">
        <f>2290+4565.72-2297.6</f>
        <v>4558.1200000000008</v>
      </c>
      <c r="J19" s="58">
        <f>94920+118546.62-213466.62</f>
        <v>0</v>
      </c>
      <c r="K19" s="58">
        <f>71050-71050</f>
        <v>0</v>
      </c>
      <c r="L19" s="45">
        <f t="shared" si="37"/>
        <v>723207.32</v>
      </c>
      <c r="M19" s="45">
        <f t="shared" si="0"/>
        <v>4083252.45</v>
      </c>
      <c r="N19" s="58">
        <f>630000+237845.3+2696900+253070.05</f>
        <v>3817815.3499999996</v>
      </c>
      <c r="O19" s="50">
        <v>0</v>
      </c>
      <c r="P19" s="52">
        <f t="shared" si="38"/>
        <v>3817815.35</v>
      </c>
      <c r="Q19" s="58">
        <f>142000+20972.8-12512</f>
        <v>150460.79999999999</v>
      </c>
      <c r="R19" s="58">
        <v>0</v>
      </c>
      <c r="S19" s="58">
        <f>4500+480-1140</f>
        <v>3840</v>
      </c>
      <c r="T19" s="52">
        <f t="shared" si="39"/>
        <v>154300.79999999999</v>
      </c>
      <c r="U19" s="58">
        <v>0</v>
      </c>
      <c r="V19" s="58">
        <v>0</v>
      </c>
      <c r="W19" s="58">
        <v>0</v>
      </c>
      <c r="X19" s="58">
        <f>10370+1249.85-6403.55</f>
        <v>5216.3</v>
      </c>
      <c r="Y19" s="58">
        <f>98000+23547.67-27096.67</f>
        <v>94451</v>
      </c>
      <c r="Z19" s="58">
        <f>14000+2682.45-5213.45</f>
        <v>11469</v>
      </c>
      <c r="AA19" s="53">
        <f t="shared" si="40"/>
        <v>111136.3</v>
      </c>
      <c r="AB19" s="45">
        <f t="shared" si="41"/>
        <v>743580.11</v>
      </c>
      <c r="AC19" s="58">
        <f>35000+754.75-25171.06</f>
        <v>10583.689999999999</v>
      </c>
      <c r="AD19" s="58">
        <f>100000+105000+28920.84-68478.76</f>
        <v>165442.08000000002</v>
      </c>
      <c r="AE19" s="58">
        <f>169500+69000+5307.55+68418.83</f>
        <v>312226.38</v>
      </c>
      <c r="AF19" s="58">
        <f>5000-890.74-402.13</f>
        <v>3707.13</v>
      </c>
      <c r="AG19" s="58">
        <f>5150+5010+10240.1-10358.13</f>
        <v>10041.969999999999</v>
      </c>
      <c r="AH19" s="58">
        <f>51030+78000+3454.15+10520-24767.19</f>
        <v>118236.95999999999</v>
      </c>
      <c r="AI19" s="58">
        <f>1090+1100+25.8+8.36</f>
        <v>2224.1600000000003</v>
      </c>
      <c r="AJ19" s="58">
        <f>121170+2.43-54.69</f>
        <v>121117.73999999999</v>
      </c>
      <c r="AK19" s="45">
        <f>26300-6869.44+50000-20521.05</f>
        <v>48909.509999999995</v>
      </c>
      <c r="AL19" s="45">
        <f t="shared" si="42"/>
        <v>149232.01</v>
      </c>
      <c r="AM19" s="58">
        <f>8165.65-4843.26</f>
        <v>3322.3899999999994</v>
      </c>
      <c r="AN19" s="58">
        <f>65000+133866.84-60557.02</f>
        <v>138309.82</v>
      </c>
      <c r="AO19" s="58">
        <f>22790-21694.23-1095.77</f>
        <v>0</v>
      </c>
      <c r="AP19" s="53">
        <f t="shared" si="43"/>
        <v>141632.21</v>
      </c>
      <c r="AQ19" s="58">
        <f>1000+1037.69-2037.69</f>
        <v>0</v>
      </c>
      <c r="AR19" s="58">
        <f>56910+3621.9-52932.1</f>
        <v>7599.8000000000029</v>
      </c>
      <c r="AS19" s="53">
        <f t="shared" si="44"/>
        <v>7599.8</v>
      </c>
      <c r="AT19" s="45">
        <f>1715.82-1715.82</f>
        <v>0</v>
      </c>
      <c r="AU19" s="45">
        <f>85210.85-26460.85</f>
        <v>58750.000000000007</v>
      </c>
      <c r="AV19" s="45">
        <f t="shared" si="45"/>
        <v>7137394.0800000001</v>
      </c>
      <c r="AW19" s="52">
        <f>ROUND(D19+G19+I19+P19+AD19+AE19+AF19+AG19+AH19+AI19+AJ19+AK19+AR19,2)</f>
        <v>6389504.3499999996</v>
      </c>
      <c r="AX19" s="52">
        <f>ROUND(E19+H19+J19+K19+AC19+AP19+AQ19+AT19,2)</f>
        <v>747889.73</v>
      </c>
      <c r="AY19" s="45">
        <f t="shared" si="46"/>
        <v>324187.09999999998</v>
      </c>
      <c r="AZ19" s="52">
        <f>ROUND(T19,2)</f>
        <v>154300.79999999999</v>
      </c>
      <c r="BA19" s="52">
        <f t="shared" si="47"/>
        <v>169886.3</v>
      </c>
      <c r="BB19" s="45">
        <f t="shared" si="48"/>
        <v>7461581.1799999997</v>
      </c>
      <c r="BC19" s="52">
        <f t="shared" si="49"/>
        <v>6543805.1500000004</v>
      </c>
      <c r="BD19" s="63">
        <f t="shared" si="49"/>
        <v>917776.03</v>
      </c>
      <c r="BF19" s="77"/>
      <c r="BG19" s="77"/>
      <c r="BH19" s="77"/>
    </row>
    <row r="20" spans="1:61" s="55" customFormat="1" ht="25.5" x14ac:dyDescent="0.2">
      <c r="A20" s="48">
        <v>13</v>
      </c>
      <c r="B20" s="9" t="s">
        <v>106</v>
      </c>
      <c r="C20" s="45">
        <f t="shared" si="35"/>
        <v>1143039.83</v>
      </c>
      <c r="D20" s="73">
        <f>684680+15116.74+252347.83</f>
        <v>952144.57</v>
      </c>
      <c r="E20" s="50">
        <f>443243.09-252347.83</f>
        <v>190895.26000000004</v>
      </c>
      <c r="F20" s="45">
        <f t="shared" si="36"/>
        <v>504396.66</v>
      </c>
      <c r="G20" s="58">
        <f>199950+6883.46-42477.44</f>
        <v>164356.01999999999</v>
      </c>
      <c r="H20" s="58">
        <f>250000+287390+360000-172871.1-384478.26</f>
        <v>340040.64</v>
      </c>
      <c r="I20" s="58">
        <f>6820+2297.6-9117.6</f>
        <v>0</v>
      </c>
      <c r="J20" s="58">
        <f>117680+213466.62-214268.54</f>
        <v>116878.07999999999</v>
      </c>
      <c r="K20" s="50">
        <f>71050-1565.38</f>
        <v>69484.62</v>
      </c>
      <c r="L20" s="45">
        <f t="shared" si="37"/>
        <v>690759.36</v>
      </c>
      <c r="M20" s="45">
        <f t="shared" si="0"/>
        <v>1849142.05</v>
      </c>
      <c r="N20" s="73">
        <f>1952910-253070.05</f>
        <v>1699839.95</v>
      </c>
      <c r="O20" s="62">
        <v>0</v>
      </c>
      <c r="P20" s="52">
        <f t="shared" si="38"/>
        <v>1699839.95</v>
      </c>
      <c r="Q20" s="58">
        <f>51610+85880+12512-5602.4</f>
        <v>144399.6</v>
      </c>
      <c r="R20" s="58">
        <v>0</v>
      </c>
      <c r="S20" s="58">
        <f>2980+1040+1140-1560</f>
        <v>3600</v>
      </c>
      <c r="T20" s="52">
        <f t="shared" si="39"/>
        <v>147999.6</v>
      </c>
      <c r="U20" s="58">
        <f>8240-8240</f>
        <v>0</v>
      </c>
      <c r="V20" s="58">
        <f>19950-19950</f>
        <v>0</v>
      </c>
      <c r="W20" s="58">
        <f>27230-27230</f>
        <v>0</v>
      </c>
      <c r="X20" s="50">
        <f>6403.55-5101.05</f>
        <v>1302.5</v>
      </c>
      <c r="Y20" s="50">
        <f>27096.67-27096.67</f>
        <v>0</v>
      </c>
      <c r="Z20" s="50">
        <f>5213.45-5213.45</f>
        <v>0</v>
      </c>
      <c r="AA20" s="53">
        <f t="shared" si="40"/>
        <v>1302.5</v>
      </c>
      <c r="AB20" s="45">
        <f t="shared" si="41"/>
        <v>593966.48</v>
      </c>
      <c r="AC20" s="58">
        <f>25171.06-14587.37</f>
        <v>10583.69</v>
      </c>
      <c r="AD20" s="58">
        <f>32370+62260+68478.76+2333.32</f>
        <v>165442.08000000002</v>
      </c>
      <c r="AE20" s="58">
        <f>271620-68418.83-42802.1</f>
        <v>160399.06999999998</v>
      </c>
      <c r="AF20" s="58">
        <f>2980+402.13-204.6</f>
        <v>3177.53</v>
      </c>
      <c r="AG20" s="58">
        <f>10358.13-316.16</f>
        <v>10041.969999999999</v>
      </c>
      <c r="AH20" s="58">
        <f>103150+24767.19-6936.95</f>
        <v>120980.24</v>
      </c>
      <c r="AI20" s="58">
        <f>2020-8.36+212.52</f>
        <v>2224.1600000000003</v>
      </c>
      <c r="AJ20" s="58">
        <f>121120+54.69-56.95</f>
        <v>121117.74</v>
      </c>
      <c r="AK20" s="45">
        <f>48610+20521.05-10364.67</f>
        <v>58766.380000000005</v>
      </c>
      <c r="AL20" s="45">
        <f t="shared" si="42"/>
        <v>31464.21</v>
      </c>
      <c r="AM20" s="58">
        <f>4843.26-4843.26</f>
        <v>0</v>
      </c>
      <c r="AN20" s="58">
        <f>23290+60557.02-83847.02</f>
        <v>0</v>
      </c>
      <c r="AO20" s="58">
        <f>1095.77-1095.77</f>
        <v>0</v>
      </c>
      <c r="AP20" s="53">
        <f t="shared" si="43"/>
        <v>0</v>
      </c>
      <c r="AQ20" s="50">
        <f>2037.69-2037.69</f>
        <v>0</v>
      </c>
      <c r="AR20" s="58">
        <f>36000+52932.1-57467.89</f>
        <v>31464.210000000006</v>
      </c>
      <c r="AS20" s="53">
        <f t="shared" si="44"/>
        <v>31464.21</v>
      </c>
      <c r="AT20" s="45">
        <f>1715.82-35.43</f>
        <v>1680.3899999999999</v>
      </c>
      <c r="AU20" s="45">
        <f>112000+26460.85-17660.85</f>
        <v>120800</v>
      </c>
      <c r="AV20" s="45">
        <f t="shared" si="45"/>
        <v>4219516.5999999996</v>
      </c>
      <c r="AW20" s="52">
        <f>ROUND(D20+G20+I20+P20+AD20+AE20+AF20+AG20+AH20+AI20+AJ20+AK20+AR20,2)</f>
        <v>3489953.92</v>
      </c>
      <c r="AX20" s="52">
        <f>ROUND(E20+H20+J20+K20+AC20+AP20+AQ20+AT20,2)</f>
        <v>729562.68</v>
      </c>
      <c r="AY20" s="45">
        <f t="shared" si="46"/>
        <v>270102.09999999998</v>
      </c>
      <c r="AZ20" s="52">
        <f>ROUND(T20,2)</f>
        <v>147999.6</v>
      </c>
      <c r="BA20" s="52">
        <f t="shared" si="47"/>
        <v>122102.5</v>
      </c>
      <c r="BB20" s="45">
        <f t="shared" si="48"/>
        <v>4489618.7</v>
      </c>
      <c r="BC20" s="52">
        <f t="shared" si="49"/>
        <v>3637953.52</v>
      </c>
      <c r="BD20" s="63">
        <f t="shared" si="49"/>
        <v>851665.18</v>
      </c>
      <c r="BF20" s="77"/>
      <c r="BG20" s="77"/>
      <c r="BH20" s="77"/>
      <c r="BI20" s="88"/>
    </row>
    <row r="21" spans="1:61" s="47" customFormat="1" ht="25.5" x14ac:dyDescent="0.2">
      <c r="A21" s="43" t="s">
        <v>5</v>
      </c>
      <c r="B21" s="79" t="s">
        <v>107</v>
      </c>
      <c r="C21" s="45">
        <f t="shared" ref="C21:AU21" si="50">ROUND(C18+C19+C20,2)</f>
        <v>4667050</v>
      </c>
      <c r="D21" s="45">
        <f t="shared" si="50"/>
        <v>4129095.81</v>
      </c>
      <c r="E21" s="45">
        <f t="shared" si="50"/>
        <v>537954.18999999994</v>
      </c>
      <c r="F21" s="45">
        <f t="shared" si="50"/>
        <v>2188059.1800000002</v>
      </c>
      <c r="G21" s="45">
        <f t="shared" si="50"/>
        <v>546635.55000000005</v>
      </c>
      <c r="H21" s="45">
        <f t="shared" si="50"/>
        <v>1641423.63</v>
      </c>
      <c r="I21" s="45">
        <f t="shared" si="50"/>
        <v>4558.12</v>
      </c>
      <c r="J21" s="45">
        <f t="shared" si="50"/>
        <v>116878.08</v>
      </c>
      <c r="K21" s="45">
        <f t="shared" si="50"/>
        <v>69484.62</v>
      </c>
      <c r="L21" s="45">
        <f t="shared" si="50"/>
        <v>2378980</v>
      </c>
      <c r="M21" s="45">
        <f t="shared" si="0"/>
        <v>9657706.4600000009</v>
      </c>
      <c r="N21" s="45">
        <f t="shared" si="50"/>
        <v>9071209.0199999996</v>
      </c>
      <c r="O21" s="45">
        <f t="shared" si="50"/>
        <v>0</v>
      </c>
      <c r="P21" s="45">
        <f t="shared" si="50"/>
        <v>9071209.0199999996</v>
      </c>
      <c r="Q21" s="45">
        <f t="shared" si="50"/>
        <v>435796.8</v>
      </c>
      <c r="R21" s="45">
        <f t="shared" si="50"/>
        <v>0</v>
      </c>
      <c r="S21" s="45">
        <f t="shared" si="50"/>
        <v>10800</v>
      </c>
      <c r="T21" s="45">
        <f t="shared" si="50"/>
        <v>446596.8</v>
      </c>
      <c r="U21" s="45">
        <f t="shared" si="50"/>
        <v>0</v>
      </c>
      <c r="V21" s="45">
        <f t="shared" si="50"/>
        <v>0</v>
      </c>
      <c r="W21" s="45">
        <f t="shared" si="50"/>
        <v>0</v>
      </c>
      <c r="X21" s="45">
        <f>ROUND(X18+X19+X20,2)</f>
        <v>12844.64</v>
      </c>
      <c r="Y21" s="45">
        <f>ROUND(Y18+Y19+Y20,2)</f>
        <v>105119</v>
      </c>
      <c r="Z21" s="45">
        <f>ROUND(Z18+Z19+Z20,2)</f>
        <v>21937</v>
      </c>
      <c r="AA21" s="45">
        <f>ROUND(AA18+AA19+AA20,2)</f>
        <v>139900.64000000001</v>
      </c>
      <c r="AB21" s="45">
        <f t="shared" ref="AB21" si="51">ROUND(AB18+AB19+AB20,2)</f>
        <v>1976459.27</v>
      </c>
      <c r="AC21" s="45">
        <f t="shared" si="50"/>
        <v>45538.03</v>
      </c>
      <c r="AD21" s="45">
        <f t="shared" si="50"/>
        <v>412761.7</v>
      </c>
      <c r="AE21" s="45">
        <f t="shared" si="50"/>
        <v>715120.32</v>
      </c>
      <c r="AF21" s="45">
        <f t="shared" si="50"/>
        <v>9313.33</v>
      </c>
      <c r="AG21" s="45">
        <f t="shared" si="50"/>
        <v>20083.939999999999</v>
      </c>
      <c r="AH21" s="45">
        <f t="shared" si="50"/>
        <v>392505.04</v>
      </c>
      <c r="AI21" s="45">
        <f t="shared" si="50"/>
        <v>6528.92</v>
      </c>
      <c r="AJ21" s="45">
        <f t="shared" si="50"/>
        <v>374607.99</v>
      </c>
      <c r="AK21" s="45">
        <f t="shared" si="50"/>
        <v>174545.33</v>
      </c>
      <c r="AL21" s="45">
        <f>ROUND(AL18+AL19+AL20,2)</f>
        <v>378144.43</v>
      </c>
      <c r="AM21" s="45">
        <f t="shared" si="50"/>
        <v>31734.42</v>
      </c>
      <c r="AN21" s="45">
        <f t="shared" si="50"/>
        <v>211142.27</v>
      </c>
      <c r="AO21" s="45">
        <f t="shared" si="50"/>
        <v>42773.61</v>
      </c>
      <c r="AP21" s="45">
        <f t="shared" si="50"/>
        <v>285650.3</v>
      </c>
      <c r="AQ21" s="45">
        <f t="shared" si="50"/>
        <v>0</v>
      </c>
      <c r="AR21" s="45">
        <f t="shared" si="50"/>
        <v>92494.13</v>
      </c>
      <c r="AS21" s="45">
        <f t="shared" si="50"/>
        <v>92494.13</v>
      </c>
      <c r="AT21" s="45">
        <f t="shared" si="50"/>
        <v>1680.39</v>
      </c>
      <c r="AU21" s="45">
        <f t="shared" si="50"/>
        <v>251300</v>
      </c>
      <c r="AV21" s="45">
        <f>SUM(AV18:AV20)</f>
        <v>18648068.439999998</v>
      </c>
      <c r="AW21" s="45">
        <f t="shared" ref="AW21:AX21" si="52">SUM(AW18:AW20)</f>
        <v>15949459.199999999</v>
      </c>
      <c r="AX21" s="45">
        <f t="shared" si="52"/>
        <v>2698609.24</v>
      </c>
      <c r="AY21" s="45">
        <f>SUM(AY18:AY20)</f>
        <v>837797.44</v>
      </c>
      <c r="AZ21" s="45">
        <f t="shared" ref="AZ21:BD21" si="53">SUM(AZ18:AZ20)</f>
        <v>446596.79999999993</v>
      </c>
      <c r="BA21" s="45">
        <f t="shared" si="53"/>
        <v>391200.64</v>
      </c>
      <c r="BB21" s="45">
        <f t="shared" si="53"/>
        <v>19485865.879999999</v>
      </c>
      <c r="BC21" s="45">
        <f t="shared" si="53"/>
        <v>16396056</v>
      </c>
      <c r="BD21" s="46">
        <f t="shared" si="53"/>
        <v>3089809.8800000004</v>
      </c>
      <c r="BF21" s="77"/>
      <c r="BG21" s="77"/>
      <c r="BH21" s="77"/>
    </row>
    <row r="22" spans="1:61" s="47" customFormat="1" ht="25.5" x14ac:dyDescent="0.2">
      <c r="A22" s="43" t="s">
        <v>6</v>
      </c>
      <c r="B22" s="79" t="s">
        <v>108</v>
      </c>
      <c r="C22" s="45">
        <f>ROUND(C12+C16+C21,2)</f>
        <v>14024330</v>
      </c>
      <c r="D22" s="45">
        <f t="shared" ref="D22:AU22" si="54">ROUND(D12+D16+D21,2)</f>
        <v>11686677.83</v>
      </c>
      <c r="E22" s="45">
        <f t="shared" si="54"/>
        <v>2337652.17</v>
      </c>
      <c r="F22" s="45">
        <f t="shared" si="54"/>
        <v>6915834.2999999998</v>
      </c>
      <c r="G22" s="45">
        <f t="shared" si="54"/>
        <v>1856522.56</v>
      </c>
      <c r="H22" s="45">
        <f t="shared" si="54"/>
        <v>5059311.74</v>
      </c>
      <c r="I22" s="45">
        <f t="shared" si="54"/>
        <v>27272.400000000001</v>
      </c>
      <c r="J22" s="45">
        <f t="shared" si="54"/>
        <v>353031.46</v>
      </c>
      <c r="K22" s="45">
        <f t="shared" si="54"/>
        <v>69484.62</v>
      </c>
      <c r="L22" s="45">
        <f t="shared" si="54"/>
        <v>7365622.7800000003</v>
      </c>
      <c r="M22" s="45">
        <f t="shared" si="0"/>
        <v>32263086.43</v>
      </c>
      <c r="N22" s="45">
        <f t="shared" si="54"/>
        <v>30468200</v>
      </c>
      <c r="O22" s="45">
        <f t="shared" si="54"/>
        <v>0</v>
      </c>
      <c r="P22" s="45">
        <f t="shared" si="54"/>
        <v>30468200</v>
      </c>
      <c r="Q22" s="45">
        <f t="shared" si="54"/>
        <v>1309137.6000000001</v>
      </c>
      <c r="R22" s="45">
        <f t="shared" si="54"/>
        <v>0</v>
      </c>
      <c r="S22" s="45">
        <f t="shared" si="54"/>
        <v>36480</v>
      </c>
      <c r="T22" s="45">
        <f t="shared" si="54"/>
        <v>1345617.6</v>
      </c>
      <c r="U22" s="45">
        <f t="shared" si="54"/>
        <v>0</v>
      </c>
      <c r="V22" s="45">
        <f t="shared" si="54"/>
        <v>0</v>
      </c>
      <c r="W22" s="45">
        <f t="shared" si="54"/>
        <v>0</v>
      </c>
      <c r="X22" s="45">
        <f>ROUND(X12+X16+X21,2)</f>
        <v>42538.95</v>
      </c>
      <c r="Y22" s="45">
        <f>ROUND(Y12+Y16+Y21,2)</f>
        <v>371173.33</v>
      </c>
      <c r="Z22" s="45">
        <f t="shared" ref="Z22:AB22" si="55">ROUND(Z12+Z16+Z21,2)</f>
        <v>35556.550000000003</v>
      </c>
      <c r="AA22" s="45">
        <f t="shared" si="55"/>
        <v>449268.83</v>
      </c>
      <c r="AB22" s="45">
        <f t="shared" si="55"/>
        <v>5552781.71</v>
      </c>
      <c r="AC22" s="45">
        <f t="shared" si="54"/>
        <v>81132.63</v>
      </c>
      <c r="AD22" s="45">
        <f t="shared" si="54"/>
        <v>1259963.32</v>
      </c>
      <c r="AE22" s="45">
        <f t="shared" si="54"/>
        <v>1717117.9</v>
      </c>
      <c r="AF22" s="45">
        <f t="shared" si="54"/>
        <v>23885.4</v>
      </c>
      <c r="AG22" s="45">
        <f t="shared" si="54"/>
        <v>80903.839999999997</v>
      </c>
      <c r="AH22" s="45">
        <f t="shared" si="54"/>
        <v>1201923.05</v>
      </c>
      <c r="AI22" s="45">
        <f t="shared" si="54"/>
        <v>19012.52</v>
      </c>
      <c r="AJ22" s="45">
        <f t="shared" si="54"/>
        <v>1168843.05</v>
      </c>
      <c r="AK22" s="45">
        <f t="shared" si="54"/>
        <v>520805.33</v>
      </c>
      <c r="AL22" s="45">
        <f>ROUND(AL12+AL16+AL21,2)</f>
        <v>1194738.3700000001</v>
      </c>
      <c r="AM22" s="45">
        <f t="shared" si="54"/>
        <v>162296.74</v>
      </c>
      <c r="AN22" s="45">
        <f t="shared" si="54"/>
        <v>535342.98</v>
      </c>
      <c r="AO22" s="45">
        <f t="shared" si="54"/>
        <v>139014.23000000001</v>
      </c>
      <c r="AP22" s="45">
        <f t="shared" si="54"/>
        <v>836653.95</v>
      </c>
      <c r="AQ22" s="45">
        <f t="shared" si="54"/>
        <v>5962.31</v>
      </c>
      <c r="AR22" s="45">
        <f t="shared" si="54"/>
        <v>352122.11</v>
      </c>
      <c r="AS22" s="45">
        <f t="shared" si="54"/>
        <v>358084.42</v>
      </c>
      <c r="AT22" s="45">
        <f t="shared" si="54"/>
        <v>6914.57</v>
      </c>
      <c r="AU22" s="45">
        <f t="shared" si="54"/>
        <v>738179.15</v>
      </c>
      <c r="AV22" s="45">
        <f>ROUND(AV17+AV21,2)</f>
        <v>59133392.759999998</v>
      </c>
      <c r="AW22" s="45">
        <f t="shared" ref="AW22:AX22" si="56">ROUND(AW17+AW21,2)</f>
        <v>50383249.310000002</v>
      </c>
      <c r="AX22" s="45">
        <f t="shared" si="56"/>
        <v>8750143.4499999993</v>
      </c>
      <c r="AY22" s="45">
        <f>ROUND(AY17+AY21,2)</f>
        <v>2533065.58</v>
      </c>
      <c r="AZ22" s="45">
        <f t="shared" ref="AZ22:BD22" si="57">ROUND(AZ17+AZ21,2)</f>
        <v>1345617.6</v>
      </c>
      <c r="BA22" s="45">
        <f t="shared" si="57"/>
        <v>1187447.98</v>
      </c>
      <c r="BB22" s="45">
        <f t="shared" si="57"/>
        <v>61666458.340000004</v>
      </c>
      <c r="BC22" s="45">
        <f t="shared" si="57"/>
        <v>51728866.909999996</v>
      </c>
      <c r="BD22" s="46">
        <f t="shared" si="57"/>
        <v>9937591.4299999997</v>
      </c>
      <c r="BF22" s="77"/>
      <c r="BG22" s="77"/>
      <c r="BH22" s="77"/>
    </row>
    <row r="23" spans="1:61" s="55" customFormat="1" ht="25.5" x14ac:dyDescent="0.2">
      <c r="A23" s="48">
        <v>16</v>
      </c>
      <c r="B23" s="64" t="s">
        <v>109</v>
      </c>
      <c r="C23" s="45">
        <f t="shared" ref="C23:C25" si="58">ROUND(D23+E23,2)</f>
        <v>3110082.51</v>
      </c>
      <c r="D23" s="73">
        <f>1462080-252347.83+1472840-41088.56</f>
        <v>2641483.61</v>
      </c>
      <c r="E23" s="58">
        <f>420000+252347.83-203748.93</f>
        <v>468598.89999999997</v>
      </c>
      <c r="F23" s="45">
        <f t="shared" ref="F23:F25" si="59">ROUND(G23+H23,2)</f>
        <v>1322949.83</v>
      </c>
      <c r="G23" s="58">
        <f>160080+42477.44-64369.08</f>
        <v>138188.35999999999</v>
      </c>
      <c r="H23" s="58">
        <f>950000+384478.26-149716.79</f>
        <v>1184761.47</v>
      </c>
      <c r="I23" s="50">
        <f>4560+9117.6-9119.48</f>
        <v>4558.1200000000008</v>
      </c>
      <c r="J23" s="58">
        <f>214000+214268.54-311390.46</f>
        <v>116878.08000000002</v>
      </c>
      <c r="K23" s="50">
        <f>1565.38-1565.38</f>
        <v>0</v>
      </c>
      <c r="L23" s="45">
        <f t="shared" ref="L23:L25" si="60">ROUND(F23+I23+J23+K23,2)</f>
        <v>1444386.03</v>
      </c>
      <c r="M23" s="45">
        <f t="shared" si="0"/>
        <v>5894641.2599999998</v>
      </c>
      <c r="N23" s="73">
        <f>2254170+3462000-1498.44</f>
        <v>5714671.5599999996</v>
      </c>
      <c r="O23" s="50">
        <v>0</v>
      </c>
      <c r="P23" s="52">
        <f t="shared" ref="P23:P25" si="61">ROUND(N23+O23,2)</f>
        <v>5714671.5599999996</v>
      </c>
      <c r="Q23" s="58">
        <f>109500+5602.4+32000-173.2</f>
        <v>146929.19999999998</v>
      </c>
      <c r="R23" s="58">
        <v>0</v>
      </c>
      <c r="S23" s="58">
        <f>3090+1560-1290</f>
        <v>3360</v>
      </c>
      <c r="T23" s="52">
        <f t="shared" ref="T23:T25" si="62">ROUND(Q23+R23+S23,2)</f>
        <v>150289.20000000001</v>
      </c>
      <c r="U23" s="58">
        <f>8240-8240</f>
        <v>0</v>
      </c>
      <c r="V23" s="58">
        <f>19950-19950</f>
        <v>0</v>
      </c>
      <c r="W23" s="58">
        <f>27230-27230</f>
        <v>0</v>
      </c>
      <c r="X23" s="50">
        <f>7090+5101.05-9515.55</f>
        <v>2675.5</v>
      </c>
      <c r="Y23" s="50">
        <f>59880+27096.67-64273.67</f>
        <v>22703</v>
      </c>
      <c r="Z23" s="50">
        <f>3550+5213.45-4461.45</f>
        <v>4302.0000000000009</v>
      </c>
      <c r="AA23" s="53">
        <f t="shared" ref="AA23:AA25" si="63">ROUND(U23+V23+W23+X23+Y23+Z23,2)</f>
        <v>29680.5</v>
      </c>
      <c r="AB23" s="45">
        <f t="shared" ref="AB23:AB25" si="64">ROUND(AC23+AD23+AE23+AF23+AG23+AH23+AI23+AJ23,2)</f>
        <v>515607.95</v>
      </c>
      <c r="AC23" s="58">
        <f>14000+14587.37-16633.56</f>
        <v>11953.810000000001</v>
      </c>
      <c r="AD23" s="58">
        <f>8900-2333.32-3582.72</f>
        <v>2983.9600000000005</v>
      </c>
      <c r="AE23" s="58">
        <f>38800+42802.1+95000+58296.61</f>
        <v>234898.71000000002</v>
      </c>
      <c r="AF23" s="58">
        <f>204.6+3000-27.06</f>
        <v>3177.54</v>
      </c>
      <c r="AG23" s="58">
        <f>316.16+9726-0.19</f>
        <v>10041.969999999999</v>
      </c>
      <c r="AH23" s="58">
        <f>14090+6936.95+109000-816.89</f>
        <v>129210.06</v>
      </c>
      <c r="AI23" s="58">
        <f>300-212.52+2140-3.32</f>
        <v>2224.16</v>
      </c>
      <c r="AJ23" s="58">
        <f>56.95+121120-59.21</f>
        <v>121117.73999999999</v>
      </c>
      <c r="AK23" s="45">
        <f>50370+10364.67+11500-196.55</f>
        <v>72038.12</v>
      </c>
      <c r="AL23" s="45">
        <f t="shared" ref="AL23:AL25" si="65">ROUND(AP23+AS23,2)</f>
        <v>193810.12</v>
      </c>
      <c r="AM23" s="50">
        <f>4843.26-4843.26</f>
        <v>0</v>
      </c>
      <c r="AN23" s="50">
        <f>118000+83847.02-46454.82</f>
        <v>155392.20000000001</v>
      </c>
      <c r="AO23" s="50">
        <f>1095.77-1095.77</f>
        <v>0</v>
      </c>
      <c r="AP23" s="53">
        <f t="shared" ref="AP23:AP25" si="66">ROUND(AM23+AN23+AO23,2)</f>
        <v>155392.20000000001</v>
      </c>
      <c r="AQ23" s="50">
        <f>2000+2037.69-2101.85</f>
        <v>1935.8400000000001</v>
      </c>
      <c r="AR23" s="50">
        <f>27430+57467.89-48415.81</f>
        <v>36482.080000000002</v>
      </c>
      <c r="AS23" s="53">
        <f t="shared" ref="AS23:AS25" si="67">ROUND(AQ23+AR23,2)</f>
        <v>38417.919999999998</v>
      </c>
      <c r="AT23" s="45">
        <f>1740+35.43-37.1</f>
        <v>1738.3300000000002</v>
      </c>
      <c r="AU23" s="45">
        <f>101870+17660.85-24080.85</f>
        <v>95450</v>
      </c>
      <c r="AV23" s="45">
        <f t="shared" ref="AV23:AV25" si="68">ROUND(AW23+AX23,2)</f>
        <v>11052334.619999999</v>
      </c>
      <c r="AW23" s="52">
        <f t="shared" ref="AW23:AW25" si="69">ROUND(D23+G23+I23+P23+AD23+AE23+AF23+AG23+AH23+AI23+AJ23+AK23+AR23,2)</f>
        <v>9111075.9900000002</v>
      </c>
      <c r="AX23" s="52">
        <f t="shared" ref="AX23:AX24" si="70">ROUND(E23+H23+J23+K23+AC23+AP23+AQ23+AT23,2)</f>
        <v>1941258.63</v>
      </c>
      <c r="AY23" s="45">
        <f t="shared" ref="AY23:AY25" si="71">ROUND(AZ23+BA23,2)</f>
        <v>275419.7</v>
      </c>
      <c r="AZ23" s="52">
        <f>ROUND(T23,2)</f>
        <v>150289.20000000001</v>
      </c>
      <c r="BA23" s="52">
        <f t="shared" ref="BA23:BA25" si="72">ROUND(AA23+AU23,2)</f>
        <v>125130.5</v>
      </c>
      <c r="BB23" s="45">
        <f t="shared" ref="BB23:BB25" si="73">ROUND(BC23+BD23,2)</f>
        <v>11327754.32</v>
      </c>
      <c r="BC23" s="52">
        <f t="shared" ref="BC23:BD25" si="74">ROUND(AW23+AZ23,2)</f>
        <v>9261365.1899999995</v>
      </c>
      <c r="BD23" s="63">
        <f t="shared" si="74"/>
        <v>2066389.13</v>
      </c>
      <c r="BF23" s="77"/>
      <c r="BG23" s="77"/>
      <c r="BH23" s="77"/>
    </row>
    <row r="24" spans="1:61" s="55" customFormat="1" ht="12.75" x14ac:dyDescent="0.2">
      <c r="A24" s="48">
        <v>17</v>
      </c>
      <c r="B24" s="64" t="s">
        <v>110</v>
      </c>
      <c r="C24" s="45">
        <f t="shared" si="58"/>
        <v>2303241.77</v>
      </c>
      <c r="D24" s="58">
        <f>932700+41088.56+930000-51060.1</f>
        <v>1852728.46</v>
      </c>
      <c r="E24" s="58">
        <f>620000+203748.93-373235.62</f>
        <v>450513.30999999994</v>
      </c>
      <c r="F24" s="45">
        <f t="shared" si="59"/>
        <v>969549.03</v>
      </c>
      <c r="G24" s="58">
        <f>257040+64369.08-45000-130000-10000-4362.03</f>
        <v>132047.05000000002</v>
      </c>
      <c r="H24" s="58">
        <f>500000+780000+149716.79+10000-602214.81</f>
        <v>837501.98</v>
      </c>
      <c r="I24" s="58">
        <f>9119.48-4560-4559.48</f>
        <v>0</v>
      </c>
      <c r="J24" s="58">
        <f>150000+311390.46-344512.38</f>
        <v>116878.08000000002</v>
      </c>
      <c r="K24" s="58">
        <f>68000+1565.38-69565.38</f>
        <v>0</v>
      </c>
      <c r="L24" s="45">
        <f t="shared" si="60"/>
        <v>1086427.1100000001</v>
      </c>
      <c r="M24" s="45">
        <f t="shared" si="0"/>
        <v>4223257.37</v>
      </c>
      <c r="N24" s="58">
        <f>4239810+1498.44+303800-575640.57</f>
        <v>3969467.8700000006</v>
      </c>
      <c r="O24" s="50">
        <v>0</v>
      </c>
      <c r="P24" s="52">
        <f t="shared" si="61"/>
        <v>3969467.87</v>
      </c>
      <c r="Q24" s="58">
        <f>117600+173.2+33000-1276</f>
        <v>149497.20000000001</v>
      </c>
      <c r="R24" s="58">
        <v>0</v>
      </c>
      <c r="S24" s="58">
        <f>3190+1290-520</f>
        <v>3960</v>
      </c>
      <c r="T24" s="52">
        <f t="shared" si="62"/>
        <v>153457.20000000001</v>
      </c>
      <c r="U24" s="58">
        <f>5190+8240-5200</f>
        <v>8230</v>
      </c>
      <c r="V24" s="58">
        <f>12570+19950-12750-8</f>
        <v>19762</v>
      </c>
      <c r="W24" s="58">
        <f>17150+27230-21880</f>
        <v>22500</v>
      </c>
      <c r="X24" s="58">
        <f>9515.55-4987.25</f>
        <v>4528.2999999999993</v>
      </c>
      <c r="Y24" s="58">
        <f>64273.67-21443.67</f>
        <v>42830</v>
      </c>
      <c r="Z24" s="58">
        <f>4461.45-1979.45</f>
        <v>2482</v>
      </c>
      <c r="AA24" s="53">
        <f t="shared" si="63"/>
        <v>100332.3</v>
      </c>
      <c r="AB24" s="45">
        <f t="shared" si="64"/>
        <v>529972.73</v>
      </c>
      <c r="AC24" s="58">
        <f>14000+16633.56-15000-2363.89</f>
        <v>13269.670000000002</v>
      </c>
      <c r="AD24" s="58">
        <f>328420+3582.72-162000-85000-2839.15</f>
        <v>82163.569999999978</v>
      </c>
      <c r="AE24" s="58">
        <f>298660-58296.61-67682.2</f>
        <v>172681.19</v>
      </c>
      <c r="AF24" s="58">
        <f>4360+27.06-1739.11</f>
        <v>2647.9500000000007</v>
      </c>
      <c r="AG24" s="58">
        <f>17244+0.19-7200-2.22</f>
        <v>10041.969999999999</v>
      </c>
      <c r="AH24" s="58">
        <f>147390+816.89-22380.41</f>
        <v>125826.48000000001</v>
      </c>
      <c r="AI24" s="58">
        <f>2390+3.32-169.16</f>
        <v>2224.1600000000003</v>
      </c>
      <c r="AJ24" s="58">
        <f>59.21+121120-61.47</f>
        <v>121117.74</v>
      </c>
      <c r="AK24" s="45">
        <f>42030+196.55+18000-8505.62</f>
        <v>51720.93</v>
      </c>
      <c r="AL24" s="45">
        <f t="shared" si="65"/>
        <v>104108.61</v>
      </c>
      <c r="AM24" s="58">
        <f>10000+4843.26-5427.08</f>
        <v>9416.18</v>
      </c>
      <c r="AN24" s="58">
        <f>65620+46454.82+90430-156297.37</f>
        <v>46207.450000000012</v>
      </c>
      <c r="AO24" s="50">
        <f>1095.77-1095.77</f>
        <v>0</v>
      </c>
      <c r="AP24" s="53">
        <f t="shared" si="66"/>
        <v>55623.63</v>
      </c>
      <c r="AQ24" s="50">
        <f>2101.85-2101.85</f>
        <v>0</v>
      </c>
      <c r="AR24" s="58">
        <f>20030+48415.81-19960.83</f>
        <v>48484.979999999996</v>
      </c>
      <c r="AS24" s="53">
        <f t="shared" si="67"/>
        <v>48484.98</v>
      </c>
      <c r="AT24" s="45">
        <f>1130+37.1-37.18</f>
        <v>1129.9199999999998</v>
      </c>
      <c r="AU24" s="45">
        <f>185100+24080.85-39430.85</f>
        <v>169750</v>
      </c>
      <c r="AV24" s="45">
        <f t="shared" si="68"/>
        <v>8046068.9400000004</v>
      </c>
      <c r="AW24" s="52">
        <f t="shared" si="69"/>
        <v>6571152.3499999996</v>
      </c>
      <c r="AX24" s="52">
        <f t="shared" si="70"/>
        <v>1474916.59</v>
      </c>
      <c r="AY24" s="45">
        <f t="shared" si="71"/>
        <v>423539.5</v>
      </c>
      <c r="AZ24" s="52">
        <f>ROUND(T24,2)</f>
        <v>153457.20000000001</v>
      </c>
      <c r="BA24" s="52">
        <f t="shared" si="72"/>
        <v>270082.3</v>
      </c>
      <c r="BB24" s="45">
        <f t="shared" si="73"/>
        <v>8469608.4399999995</v>
      </c>
      <c r="BC24" s="52">
        <f t="shared" si="74"/>
        <v>6724609.5499999998</v>
      </c>
      <c r="BD24" s="63">
        <f t="shared" si="74"/>
        <v>1744998.89</v>
      </c>
      <c r="BF24" s="77"/>
      <c r="BG24" s="77"/>
      <c r="BH24" s="77"/>
    </row>
    <row r="25" spans="1:61" s="55" customFormat="1" ht="12.75" x14ac:dyDescent="0.2">
      <c r="A25" s="48">
        <v>18</v>
      </c>
      <c r="B25" s="64" t="s">
        <v>112</v>
      </c>
      <c r="C25" s="45">
        <f t="shared" si="58"/>
        <v>2276363.41</v>
      </c>
      <c r="D25" s="58">
        <v>1873065.2</v>
      </c>
      <c r="E25" s="58">
        <v>403298.21</v>
      </c>
      <c r="F25" s="45">
        <f t="shared" si="59"/>
        <v>962612.81</v>
      </c>
      <c r="G25" s="58">
        <v>119250.52</v>
      </c>
      <c r="H25" s="58">
        <v>843362.29</v>
      </c>
      <c r="I25" s="50">
        <v>4558.12</v>
      </c>
      <c r="J25" s="50">
        <v>342283.93</v>
      </c>
      <c r="K25" s="50">
        <v>67772.97</v>
      </c>
      <c r="L25" s="45">
        <f t="shared" si="60"/>
        <v>1377227.83</v>
      </c>
      <c r="M25" s="45">
        <f t="shared" si="0"/>
        <v>3917811.77</v>
      </c>
      <c r="N25" s="58">
        <v>3588179.47</v>
      </c>
      <c r="O25" s="50"/>
      <c r="P25" s="52">
        <f t="shared" si="61"/>
        <v>3588179.47</v>
      </c>
      <c r="Q25" s="58">
        <v>138361.20000000001</v>
      </c>
      <c r="R25" s="58">
        <v>0</v>
      </c>
      <c r="S25" s="58">
        <v>2640</v>
      </c>
      <c r="T25" s="52">
        <f t="shared" si="62"/>
        <v>141001.20000000001</v>
      </c>
      <c r="U25" s="58">
        <v>0</v>
      </c>
      <c r="V25" s="58">
        <v>0</v>
      </c>
      <c r="W25" s="58">
        <v>20625</v>
      </c>
      <c r="X25" s="58">
        <v>13448.1</v>
      </c>
      <c r="Y25" s="58">
        <v>115588</v>
      </c>
      <c r="Z25" s="58">
        <v>38970</v>
      </c>
      <c r="AA25" s="53">
        <f t="shared" si="63"/>
        <v>188631.1</v>
      </c>
      <c r="AB25" s="45">
        <f t="shared" si="64"/>
        <v>419413.32</v>
      </c>
      <c r="AC25" s="58">
        <v>16560.59</v>
      </c>
      <c r="AD25" s="58">
        <v>82564.67</v>
      </c>
      <c r="AE25" s="58">
        <v>175634.34</v>
      </c>
      <c r="AF25" s="58">
        <v>3177.53</v>
      </c>
      <c r="AG25" s="58">
        <v>10041.969999999999</v>
      </c>
      <c r="AH25" s="58">
        <v>129210.06</v>
      </c>
      <c r="AI25" s="58">
        <v>2224.16</v>
      </c>
      <c r="AJ25" s="58">
        <v>0</v>
      </c>
      <c r="AK25" s="45">
        <v>62715.53</v>
      </c>
      <c r="AL25" s="45">
        <f t="shared" si="65"/>
        <v>212393.47</v>
      </c>
      <c r="AM25" s="50">
        <v>5125.63</v>
      </c>
      <c r="AN25" s="58">
        <v>192079.01</v>
      </c>
      <c r="AO25" s="50">
        <v>0</v>
      </c>
      <c r="AP25" s="53">
        <f t="shared" si="66"/>
        <v>197204.64</v>
      </c>
      <c r="AQ25" s="50">
        <v>2056.83</v>
      </c>
      <c r="AR25" s="58">
        <v>13132</v>
      </c>
      <c r="AS25" s="53">
        <f t="shared" si="67"/>
        <v>15188.83</v>
      </c>
      <c r="AT25" s="45">
        <v>2694.41</v>
      </c>
      <c r="AU25" s="45">
        <v>288384</v>
      </c>
      <c r="AV25" s="45">
        <f t="shared" si="68"/>
        <v>7938987.4400000004</v>
      </c>
      <c r="AW25" s="52">
        <f t="shared" si="69"/>
        <v>6063753.5700000003</v>
      </c>
      <c r="AX25" s="52">
        <f>ROUND(E25+H25+J25+K25+AC25+AP25+AQ25+AT25,2)</f>
        <v>1875233.87</v>
      </c>
      <c r="AY25" s="45">
        <f t="shared" si="71"/>
        <v>618016.30000000005</v>
      </c>
      <c r="AZ25" s="52">
        <f>ROUND(T25,2)</f>
        <v>141001.20000000001</v>
      </c>
      <c r="BA25" s="52">
        <f t="shared" si="72"/>
        <v>477015.1</v>
      </c>
      <c r="BB25" s="45">
        <f t="shared" si="73"/>
        <v>8557003.7400000002</v>
      </c>
      <c r="BC25" s="52">
        <f t="shared" si="74"/>
        <v>6204754.7699999996</v>
      </c>
      <c r="BD25" s="63">
        <f t="shared" si="74"/>
        <v>2352248.9700000002</v>
      </c>
      <c r="BF25" s="77"/>
      <c r="BG25" s="77"/>
      <c r="BH25" s="77"/>
    </row>
    <row r="26" spans="1:61" s="47" customFormat="1" ht="27" customHeight="1" x14ac:dyDescent="0.2">
      <c r="A26" s="43" t="s">
        <v>81</v>
      </c>
      <c r="B26" s="44" t="s">
        <v>113</v>
      </c>
      <c r="C26" s="45">
        <f>ROUND(C23+C24+C25,2)</f>
        <v>7689687.6900000004</v>
      </c>
      <c r="D26" s="45">
        <f t="shared" ref="D26:AU26" si="75">ROUND(D23+D24+D25,2)</f>
        <v>6367277.2699999996</v>
      </c>
      <c r="E26" s="45">
        <f t="shared" si="75"/>
        <v>1322410.42</v>
      </c>
      <c r="F26" s="45">
        <f t="shared" si="75"/>
        <v>3255111.67</v>
      </c>
      <c r="G26" s="45">
        <f t="shared" si="75"/>
        <v>389485.93</v>
      </c>
      <c r="H26" s="45">
        <f t="shared" si="75"/>
        <v>2865625.74</v>
      </c>
      <c r="I26" s="45">
        <f t="shared" si="75"/>
        <v>9116.24</v>
      </c>
      <c r="J26" s="45">
        <f t="shared" si="75"/>
        <v>576040.09</v>
      </c>
      <c r="K26" s="45">
        <f t="shared" si="75"/>
        <v>67772.97</v>
      </c>
      <c r="L26" s="45">
        <f t="shared" si="75"/>
        <v>3908040.97</v>
      </c>
      <c r="M26" s="45">
        <f t="shared" si="0"/>
        <v>14035710.4</v>
      </c>
      <c r="N26" s="45">
        <f t="shared" si="75"/>
        <v>13272318.9</v>
      </c>
      <c r="O26" s="45">
        <f t="shared" si="75"/>
        <v>0</v>
      </c>
      <c r="P26" s="45">
        <f t="shared" si="75"/>
        <v>13272318.9</v>
      </c>
      <c r="Q26" s="45">
        <f t="shared" si="75"/>
        <v>434787.6</v>
      </c>
      <c r="R26" s="45">
        <f t="shared" si="75"/>
        <v>0</v>
      </c>
      <c r="S26" s="45">
        <f t="shared" si="75"/>
        <v>9960</v>
      </c>
      <c r="T26" s="45">
        <f t="shared" si="75"/>
        <v>444747.6</v>
      </c>
      <c r="U26" s="45">
        <f t="shared" si="75"/>
        <v>8230</v>
      </c>
      <c r="V26" s="45">
        <f t="shared" si="75"/>
        <v>19762</v>
      </c>
      <c r="W26" s="45">
        <f t="shared" si="75"/>
        <v>43125</v>
      </c>
      <c r="X26" s="45">
        <f>ROUND(X23+X24+X25,2)</f>
        <v>20651.900000000001</v>
      </c>
      <c r="Y26" s="45">
        <f>ROUND(Y23+Y24+Y25,2)</f>
        <v>181121</v>
      </c>
      <c r="Z26" s="45">
        <f t="shared" ref="Z26:AB26" si="76">ROUND(Z23+Z24+Z25,2)</f>
        <v>45754</v>
      </c>
      <c r="AA26" s="45">
        <f t="shared" si="76"/>
        <v>318643.90000000002</v>
      </c>
      <c r="AB26" s="45">
        <f t="shared" si="76"/>
        <v>1464994</v>
      </c>
      <c r="AC26" s="45">
        <f t="shared" si="75"/>
        <v>41784.07</v>
      </c>
      <c r="AD26" s="45">
        <f t="shared" si="75"/>
        <v>167712.20000000001</v>
      </c>
      <c r="AE26" s="45">
        <f t="shared" si="75"/>
        <v>583214.24</v>
      </c>
      <c r="AF26" s="45">
        <f t="shared" si="75"/>
        <v>9003.02</v>
      </c>
      <c r="AG26" s="45">
        <f t="shared" si="75"/>
        <v>30125.91</v>
      </c>
      <c r="AH26" s="45">
        <f t="shared" si="75"/>
        <v>384246.6</v>
      </c>
      <c r="AI26" s="45">
        <f t="shared" si="75"/>
        <v>6672.48</v>
      </c>
      <c r="AJ26" s="45">
        <f t="shared" si="75"/>
        <v>242235.48</v>
      </c>
      <c r="AK26" s="45">
        <f t="shared" si="75"/>
        <v>186474.58</v>
      </c>
      <c r="AL26" s="45">
        <f>ROUND(AL23+AL24+AL25,2)</f>
        <v>510312.2</v>
      </c>
      <c r="AM26" s="45">
        <f t="shared" si="75"/>
        <v>14541.81</v>
      </c>
      <c r="AN26" s="45">
        <f t="shared" si="75"/>
        <v>393678.66</v>
      </c>
      <c r="AO26" s="45">
        <f t="shared" si="75"/>
        <v>0</v>
      </c>
      <c r="AP26" s="45">
        <f t="shared" si="75"/>
        <v>408220.47</v>
      </c>
      <c r="AQ26" s="45">
        <f t="shared" si="75"/>
        <v>3992.67</v>
      </c>
      <c r="AR26" s="45">
        <f t="shared" si="75"/>
        <v>98099.06</v>
      </c>
      <c r="AS26" s="45">
        <f t="shared" si="75"/>
        <v>102091.73</v>
      </c>
      <c r="AT26" s="45">
        <f>ROUND(AT23+AT24+AT25,2)</f>
        <v>5562.66</v>
      </c>
      <c r="AU26" s="45">
        <f t="shared" si="75"/>
        <v>553584</v>
      </c>
      <c r="AV26" s="45">
        <f>SUM(AV23:AV25)</f>
        <v>27037391</v>
      </c>
      <c r="AW26" s="45">
        <f t="shared" ref="AW26:AX26" si="77">SUM(AW23:AW25)</f>
        <v>21745981.91</v>
      </c>
      <c r="AX26" s="45">
        <f t="shared" si="77"/>
        <v>5291409.09</v>
      </c>
      <c r="AY26" s="45">
        <f>SUM(AY23:AY25)</f>
        <v>1316975.5</v>
      </c>
      <c r="AZ26" s="45">
        <f t="shared" ref="AZ26:BD26" si="78">SUM(AZ23:AZ25)</f>
        <v>444747.60000000003</v>
      </c>
      <c r="BA26" s="45">
        <f t="shared" si="78"/>
        <v>872227.89999999991</v>
      </c>
      <c r="BB26" s="45">
        <f t="shared" si="78"/>
        <v>28354366.5</v>
      </c>
      <c r="BC26" s="45">
        <f t="shared" si="78"/>
        <v>22190729.509999998</v>
      </c>
      <c r="BD26" s="46">
        <f t="shared" si="78"/>
        <v>6163636.9900000002</v>
      </c>
      <c r="BF26" s="77"/>
      <c r="BG26" s="77"/>
      <c r="BH26" s="77"/>
    </row>
    <row r="27" spans="1:61" s="5" customFormat="1" ht="27.75" customHeight="1" x14ac:dyDescent="0.2">
      <c r="A27" s="65" t="s">
        <v>82</v>
      </c>
      <c r="B27" s="44" t="s">
        <v>114</v>
      </c>
      <c r="C27" s="45">
        <f>ROUND(C12+C16+C21+C26,2)</f>
        <v>21714017.690000001</v>
      </c>
      <c r="D27" s="45">
        <f t="shared" ref="D27:AU27" si="79">ROUND(D12+D16+D21+D26,2)</f>
        <v>18053955.100000001</v>
      </c>
      <c r="E27" s="45">
        <f t="shared" si="79"/>
        <v>3660062.59</v>
      </c>
      <c r="F27" s="45">
        <f t="shared" si="79"/>
        <v>10170945.970000001</v>
      </c>
      <c r="G27" s="45">
        <f t="shared" si="79"/>
        <v>2246008.4900000002</v>
      </c>
      <c r="H27" s="45">
        <f t="shared" si="79"/>
        <v>7924937.4800000004</v>
      </c>
      <c r="I27" s="45">
        <f t="shared" si="79"/>
        <v>36388.639999999999</v>
      </c>
      <c r="J27" s="45">
        <f t="shared" si="79"/>
        <v>929071.55</v>
      </c>
      <c r="K27" s="45">
        <f t="shared" si="79"/>
        <v>137257.59</v>
      </c>
      <c r="L27" s="45">
        <f t="shared" si="79"/>
        <v>11273663.75</v>
      </c>
      <c r="M27" s="45">
        <f t="shared" si="0"/>
        <v>46298796.829999998</v>
      </c>
      <c r="N27" s="45">
        <f t="shared" si="79"/>
        <v>43740518.899999999</v>
      </c>
      <c r="O27" s="45">
        <f t="shared" si="79"/>
        <v>0</v>
      </c>
      <c r="P27" s="45">
        <f t="shared" si="79"/>
        <v>43740518.899999999</v>
      </c>
      <c r="Q27" s="45">
        <f t="shared" si="79"/>
        <v>1743925.2</v>
      </c>
      <c r="R27" s="45">
        <f t="shared" si="79"/>
        <v>0</v>
      </c>
      <c r="S27" s="45">
        <f t="shared" si="79"/>
        <v>46440</v>
      </c>
      <c r="T27" s="45">
        <f t="shared" si="79"/>
        <v>1790365.2</v>
      </c>
      <c r="U27" s="45">
        <f t="shared" si="79"/>
        <v>8230</v>
      </c>
      <c r="V27" s="45">
        <f t="shared" si="79"/>
        <v>19762</v>
      </c>
      <c r="W27" s="45">
        <f t="shared" si="79"/>
        <v>43125</v>
      </c>
      <c r="X27" s="45">
        <f>ROUND(X12+X16+X21+X26,2)</f>
        <v>63190.85</v>
      </c>
      <c r="Y27" s="45">
        <f>ROUND(Y12+Y16+Y21+Y26,2)</f>
        <v>552294.32999999996</v>
      </c>
      <c r="Z27" s="45">
        <f t="shared" ref="Z27:AB27" si="80">ROUND(Z12+Z16+Z21+Z26,2)</f>
        <v>81310.55</v>
      </c>
      <c r="AA27" s="45">
        <f t="shared" si="80"/>
        <v>767912.73</v>
      </c>
      <c r="AB27" s="45">
        <f t="shared" si="80"/>
        <v>7017775.71</v>
      </c>
      <c r="AC27" s="45">
        <f t="shared" si="79"/>
        <v>122916.7</v>
      </c>
      <c r="AD27" s="45">
        <f t="shared" si="79"/>
        <v>1427675.52</v>
      </c>
      <c r="AE27" s="45">
        <f t="shared" si="79"/>
        <v>2300332.14</v>
      </c>
      <c r="AF27" s="45">
        <f t="shared" si="79"/>
        <v>32888.42</v>
      </c>
      <c r="AG27" s="45">
        <f t="shared" si="79"/>
        <v>111029.75</v>
      </c>
      <c r="AH27" s="45">
        <f t="shared" si="79"/>
        <v>1586169.65</v>
      </c>
      <c r="AI27" s="45">
        <f t="shared" si="79"/>
        <v>25685</v>
      </c>
      <c r="AJ27" s="45">
        <f t="shared" si="79"/>
        <v>1411078.53</v>
      </c>
      <c r="AK27" s="45">
        <f t="shared" si="79"/>
        <v>707279.91</v>
      </c>
      <c r="AL27" s="45">
        <f>ROUND(AL12+AL16+AL21+AL26,2)</f>
        <v>1705050.57</v>
      </c>
      <c r="AM27" s="45">
        <f t="shared" si="79"/>
        <v>176838.55</v>
      </c>
      <c r="AN27" s="45">
        <f t="shared" si="79"/>
        <v>929021.64</v>
      </c>
      <c r="AO27" s="45">
        <f t="shared" si="79"/>
        <v>139014.23000000001</v>
      </c>
      <c r="AP27" s="45">
        <f t="shared" si="79"/>
        <v>1244874.42</v>
      </c>
      <c r="AQ27" s="45">
        <f t="shared" si="79"/>
        <v>9954.98</v>
      </c>
      <c r="AR27" s="45">
        <f t="shared" si="79"/>
        <v>450221.17</v>
      </c>
      <c r="AS27" s="45">
        <f t="shared" si="79"/>
        <v>460176.15</v>
      </c>
      <c r="AT27" s="45">
        <f t="shared" si="79"/>
        <v>12477.23</v>
      </c>
      <c r="AU27" s="45">
        <f t="shared" si="79"/>
        <v>1291763.1499999999</v>
      </c>
      <c r="AV27" s="45">
        <f>ROUND(AV22+AV26,2)</f>
        <v>86170783.760000005</v>
      </c>
      <c r="AW27" s="45">
        <f t="shared" ref="AW27:AX27" si="81">ROUND(AW22+AW26,2)</f>
        <v>72129231.219999999</v>
      </c>
      <c r="AX27" s="45">
        <f t="shared" si="81"/>
        <v>14041552.539999999</v>
      </c>
      <c r="AY27" s="45">
        <f>ROUND(AY22+AY26,2)</f>
        <v>3850041.08</v>
      </c>
      <c r="AZ27" s="45">
        <f t="shared" ref="AZ27:BD27" si="82">ROUND(AZ22+AZ26,2)</f>
        <v>1790365.2</v>
      </c>
      <c r="BA27" s="45">
        <f t="shared" si="82"/>
        <v>2059675.88</v>
      </c>
      <c r="BB27" s="45">
        <f t="shared" si="82"/>
        <v>90020824.840000004</v>
      </c>
      <c r="BC27" s="45">
        <f t="shared" si="82"/>
        <v>73919596.420000002</v>
      </c>
      <c r="BD27" s="46">
        <f t="shared" si="82"/>
        <v>16101228.42</v>
      </c>
      <c r="BF27" s="77"/>
      <c r="BG27" s="77"/>
      <c r="BH27" s="77"/>
    </row>
    <row r="28" spans="1:61" s="55" customFormat="1" ht="25.5" x14ac:dyDescent="0.2">
      <c r="A28" s="66" t="s">
        <v>115</v>
      </c>
      <c r="B28" s="3" t="s">
        <v>68</v>
      </c>
      <c r="C28" s="67">
        <f t="shared" ref="C28:C33" si="83">ROUND(D28+E28,2)</f>
        <v>21714017.690000001</v>
      </c>
      <c r="D28" s="8">
        <f>ROUND(D8+D9+D11+D10+D13+D14+D15+D18+D19+D20+D23+D24+D25,2)</f>
        <v>18053955.100000001</v>
      </c>
      <c r="E28" s="8">
        <f>ROUND(E8+E9+E11+E10+E13+E14+E15+E18+E19+E20+E23+E24+E25,2)</f>
        <v>3660062.59</v>
      </c>
      <c r="F28" s="67">
        <f t="shared" ref="F28:F33" si="84">ROUND(G28+H28,2)</f>
        <v>10170945.970000001</v>
      </c>
      <c r="G28" s="8">
        <f t="shared" ref="G28:K28" si="85">ROUND(G8+G9+G11+G10+G13+G14+G15+G18+G19+G20+G23+G24+G25,2)</f>
        <v>2246008.4900000002</v>
      </c>
      <c r="H28" s="8">
        <f t="shared" si="85"/>
        <v>7924937.4800000004</v>
      </c>
      <c r="I28" s="8">
        <f t="shared" si="85"/>
        <v>36388.639999999999</v>
      </c>
      <c r="J28" s="8">
        <f t="shared" si="85"/>
        <v>929071.55</v>
      </c>
      <c r="K28" s="8">
        <f t="shared" si="85"/>
        <v>137257.59</v>
      </c>
      <c r="L28" s="67">
        <f t="shared" ref="L28:L33" si="86">ROUND(F28+I28+J28+K28,2)</f>
        <v>11273663.75</v>
      </c>
      <c r="M28" s="45">
        <f t="shared" si="0"/>
        <v>46298796.829999998</v>
      </c>
      <c r="N28" s="8">
        <f t="shared" ref="N28:O28" si="87">ROUND(N8+N9+N11+N10+N13+N14+N15+N18+N19+N20+N23+N24+N25,2)</f>
        <v>43740518.899999999</v>
      </c>
      <c r="O28" s="8">
        <f t="shared" si="87"/>
        <v>0</v>
      </c>
      <c r="P28" s="4">
        <f t="shared" ref="P28:P33" si="88">ROUND(N28+O28,2)</f>
        <v>43740518.899999999</v>
      </c>
      <c r="Q28" s="8">
        <f t="shared" ref="Q28:S28" si="89">ROUND(Q8+Q9+Q11+Q10+Q13+Q14+Q15+Q18+Q19+Q20+Q23+Q24+Q25,2)</f>
        <v>1743925.2</v>
      </c>
      <c r="R28" s="8">
        <f t="shared" si="89"/>
        <v>0</v>
      </c>
      <c r="S28" s="8">
        <f t="shared" si="89"/>
        <v>46440</v>
      </c>
      <c r="T28" s="4">
        <f>ROUND(Q28+R28+S28,2)</f>
        <v>1790365.2</v>
      </c>
      <c r="U28" s="86">
        <f t="shared" ref="U28:Z28" si="90">ROUND(U8+U9+U11+U10+U13+U14+U15+U18+U19+U20+U23+U24+U25,2)</f>
        <v>8230</v>
      </c>
      <c r="V28" s="86">
        <f t="shared" si="90"/>
        <v>19762</v>
      </c>
      <c r="W28" s="86">
        <f t="shared" si="90"/>
        <v>43125</v>
      </c>
      <c r="X28" s="8">
        <f t="shared" si="90"/>
        <v>63190.85</v>
      </c>
      <c r="Y28" s="8">
        <f t="shared" si="90"/>
        <v>552294.32999999996</v>
      </c>
      <c r="Z28" s="8">
        <f t="shared" si="90"/>
        <v>81310.55</v>
      </c>
      <c r="AA28" s="68">
        <f t="shared" ref="AA28:AA33" si="91">ROUND(U28+V28+W28+X28+Y28+Z28,2)</f>
        <v>767912.73</v>
      </c>
      <c r="AB28" s="45">
        <f t="shared" ref="AB28:AB33" si="92">ROUND(AC28+AD28+AE28+AF28+AG28+AH28+AI28+AJ28,2)</f>
        <v>7017775.71</v>
      </c>
      <c r="AC28" s="8">
        <f t="shared" ref="AC28:AJ28" si="93">ROUND(AC8+AC9+AC11+AC10+AC13+AC14+AC15+AC18+AC19+AC20+AC23+AC24+AC25,2)</f>
        <v>122916.7</v>
      </c>
      <c r="AD28" s="8">
        <f t="shared" si="93"/>
        <v>1427675.52</v>
      </c>
      <c r="AE28" s="8">
        <f t="shared" si="93"/>
        <v>2300332.14</v>
      </c>
      <c r="AF28" s="8">
        <f t="shared" si="93"/>
        <v>32888.42</v>
      </c>
      <c r="AG28" s="8">
        <f t="shared" si="93"/>
        <v>111029.75</v>
      </c>
      <c r="AH28" s="8">
        <f t="shared" si="93"/>
        <v>1586169.65</v>
      </c>
      <c r="AI28" s="8">
        <f t="shared" si="93"/>
        <v>25685</v>
      </c>
      <c r="AJ28" s="8">
        <f t="shared" si="93"/>
        <v>1411078.53</v>
      </c>
      <c r="AK28" s="45">
        <f>ROUND(AK8+AK9+AK11+AK10+AK13+AK14+AK15+AK18+AK19+AK20+AK23+AK24+AK25,2)</f>
        <v>707279.91</v>
      </c>
      <c r="AL28" s="45">
        <f t="shared" ref="AL28:AL33" si="94">ROUND(AP28+AS28,2)</f>
        <v>1705050.57</v>
      </c>
      <c r="AM28" s="8">
        <f t="shared" ref="AM28:AO28" si="95">ROUND(AM8+AM9+AM11+AM10+AM13+AM14+AM15+AM18+AM19+AM20+AM23+AM24+AM25,2)</f>
        <v>176838.55</v>
      </c>
      <c r="AN28" s="8">
        <f t="shared" si="95"/>
        <v>929021.64</v>
      </c>
      <c r="AO28" s="8">
        <f t="shared" si="95"/>
        <v>139014.23000000001</v>
      </c>
      <c r="AP28" s="68">
        <f t="shared" ref="AP28:AP33" si="96">ROUND(AM28+AN28+AO28,2)</f>
        <v>1244874.42</v>
      </c>
      <c r="AQ28" s="8">
        <f t="shared" ref="AQ28:AR28" si="97">ROUND(AQ8+AQ9+AQ11+AQ10+AQ13+AQ14+AQ15+AQ18+AQ19+AQ20+AQ23+AQ24+AQ25,2)</f>
        <v>9954.98</v>
      </c>
      <c r="AR28" s="8">
        <f t="shared" si="97"/>
        <v>450221.17</v>
      </c>
      <c r="AS28" s="68">
        <f t="shared" ref="AS28:AS33" si="98">ROUND(AQ28+AR28,2)</f>
        <v>460176.15</v>
      </c>
      <c r="AT28" s="45">
        <f>ROUND(AT8+AT9+AT11+AT10+AT13+AT14+AT15+AT18+AT19+AT20+AT23+AT24+AT25,2)</f>
        <v>12477.23</v>
      </c>
      <c r="AU28" s="45">
        <f>ROUND(AU8+AU9+AU11+AU10+AU13+AU14+AU15+AU18+AU19+AU20+AU23+AU24+AU25,2)</f>
        <v>1291763.1499999999</v>
      </c>
      <c r="AV28" s="45">
        <f t="shared" ref="AV28:AV33" si="99">ROUND(AW28+AX28,2)</f>
        <v>86170783.760000005</v>
      </c>
      <c r="AW28" s="51">
        <f t="shared" ref="AW28:AW33" si="100">ROUND(D28+G28+I28+P28+AD28+AE28+AF28+AG28+AH28+AI28+AJ28+AK28+AR28,2)</f>
        <v>72129231.219999999</v>
      </c>
      <c r="AX28" s="51">
        <f t="shared" ref="AX28:AX33" si="101">ROUND(E28+H28+J28+K28+AC28+AP28+AQ28+AT28,2)</f>
        <v>14041552.539999999</v>
      </c>
      <c r="AY28" s="45">
        <f t="shared" ref="AY28:AY33" si="102">ROUND(AZ28+BA28,2)</f>
        <v>3850041.08</v>
      </c>
      <c r="AZ28" s="51">
        <f t="shared" ref="AZ28:AZ33" si="103">ROUND(T28,2)</f>
        <v>1790365.2</v>
      </c>
      <c r="BA28" s="51">
        <f t="shared" ref="BA28:BA33" si="104">ROUND(AA28+AU28,2)</f>
        <v>2059675.88</v>
      </c>
      <c r="BB28" s="45">
        <f t="shared" ref="BB28:BB33" si="105">ROUND(BC28+BD28,2)</f>
        <v>90020824.840000004</v>
      </c>
      <c r="BC28" s="52">
        <f t="shared" ref="BC28:BD33" si="106">ROUND(AW28+AZ28,2)</f>
        <v>73919596.420000002</v>
      </c>
      <c r="BD28" s="63">
        <f t="shared" si="106"/>
        <v>16101228.42</v>
      </c>
      <c r="BE28" s="112">
        <f>BC28-BC11</f>
        <v>73733054.150000006</v>
      </c>
      <c r="BF28" s="112" t="s">
        <v>116</v>
      </c>
      <c r="BH28" s="77"/>
    </row>
    <row r="29" spans="1:61" s="69" customFormat="1" ht="12.75" x14ac:dyDescent="0.2">
      <c r="A29" s="48" t="s">
        <v>7</v>
      </c>
      <c r="B29" s="3" t="s">
        <v>11</v>
      </c>
      <c r="C29" s="67">
        <f t="shared" si="83"/>
        <v>43432.31</v>
      </c>
      <c r="D29" s="8">
        <f>ROUND(D7-D28,2)</f>
        <v>23494.9</v>
      </c>
      <c r="E29" s="8">
        <f t="shared" ref="E29:S29" si="107">ROUND(E7-E28,2)</f>
        <v>19937.41</v>
      </c>
      <c r="F29" s="67">
        <f t="shared" si="84"/>
        <v>17834.03</v>
      </c>
      <c r="G29" s="8">
        <f t="shared" ref="G29:H29" si="108">ROUND(G7-G28,2)</f>
        <v>15111.51</v>
      </c>
      <c r="H29" s="8">
        <f t="shared" si="108"/>
        <v>2722.52</v>
      </c>
      <c r="I29" s="8">
        <f t="shared" si="107"/>
        <v>1.36</v>
      </c>
      <c r="J29" s="8">
        <f t="shared" si="107"/>
        <v>2228.4499999999998</v>
      </c>
      <c r="K29" s="8">
        <f t="shared" si="107"/>
        <v>1792.41</v>
      </c>
      <c r="L29" s="67">
        <f t="shared" si="86"/>
        <v>21856.25</v>
      </c>
      <c r="M29" s="45">
        <f t="shared" si="0"/>
        <v>435283.17</v>
      </c>
      <c r="N29" s="8">
        <f t="shared" si="107"/>
        <v>428341.1</v>
      </c>
      <c r="O29" s="8">
        <f t="shared" si="107"/>
        <v>0</v>
      </c>
      <c r="P29" s="4">
        <f t="shared" si="88"/>
        <v>428341.1</v>
      </c>
      <c r="Q29" s="8">
        <f t="shared" si="107"/>
        <v>3054.8</v>
      </c>
      <c r="R29" s="8">
        <f t="shared" si="107"/>
        <v>0</v>
      </c>
      <c r="S29" s="8">
        <f t="shared" si="107"/>
        <v>1370</v>
      </c>
      <c r="T29" s="4">
        <f t="shared" ref="T29:T32" si="109">ROUND(Q29+R29+S29,2)</f>
        <v>4424.8</v>
      </c>
      <c r="U29" s="86">
        <f t="shared" ref="U29:W29" si="110">ROUND(U7-U28,2)</f>
        <v>0</v>
      </c>
      <c r="V29" s="86">
        <f t="shared" si="110"/>
        <v>8</v>
      </c>
      <c r="W29" s="86">
        <f t="shared" si="110"/>
        <v>1255</v>
      </c>
      <c r="X29" s="8">
        <f>ROUND(X7-X28,2)</f>
        <v>39.15</v>
      </c>
      <c r="Y29" s="8">
        <f>ROUND(Y7-Y28,2)</f>
        <v>1055.67</v>
      </c>
      <c r="Z29" s="8">
        <f>ROUND(Z7-Z28,2)</f>
        <v>159.44999999999999</v>
      </c>
      <c r="AA29" s="68">
        <f t="shared" si="91"/>
        <v>2517.27</v>
      </c>
      <c r="AB29" s="45">
        <f t="shared" si="92"/>
        <v>11234.29</v>
      </c>
      <c r="AC29" s="8">
        <f t="shared" ref="AC29:AK29" si="111">ROUND(AC7-AC28,2)</f>
        <v>803.3</v>
      </c>
      <c r="AD29" s="8">
        <f t="shared" si="111"/>
        <v>5274.48</v>
      </c>
      <c r="AE29" s="8">
        <f t="shared" si="111"/>
        <v>367.86</v>
      </c>
      <c r="AF29" s="8">
        <f t="shared" si="111"/>
        <v>1731.58</v>
      </c>
      <c r="AG29" s="8">
        <f t="shared" si="111"/>
        <v>160.25</v>
      </c>
      <c r="AH29" s="8">
        <f t="shared" si="111"/>
        <v>2790.35</v>
      </c>
      <c r="AI29" s="8">
        <f t="shared" si="111"/>
        <v>45</v>
      </c>
      <c r="AJ29" s="8">
        <f t="shared" si="111"/>
        <v>61.47</v>
      </c>
      <c r="AK29" s="45">
        <f t="shared" si="111"/>
        <v>3190.09</v>
      </c>
      <c r="AL29" s="45">
        <f t="shared" si="94"/>
        <v>14059.43</v>
      </c>
      <c r="AM29" s="8">
        <f>ROUND(AM7-AM28,2)</f>
        <v>301.45</v>
      </c>
      <c r="AN29" s="8">
        <f>ROUND(AN7-AN28,2)</f>
        <v>1788.36</v>
      </c>
      <c r="AO29" s="8">
        <f>ROUND(AO7-AO28,2)</f>
        <v>1095.77</v>
      </c>
      <c r="AP29" s="68">
        <f t="shared" si="96"/>
        <v>3185.58</v>
      </c>
      <c r="AQ29" s="8">
        <f>ROUND(AQ7-AQ28,2)</f>
        <v>45.02</v>
      </c>
      <c r="AR29" s="8">
        <f t="shared" ref="AR29" si="112">ROUND(AR7-AR28,2)</f>
        <v>10828.83</v>
      </c>
      <c r="AS29" s="68">
        <f t="shared" si="98"/>
        <v>10873.85</v>
      </c>
      <c r="AT29" s="45">
        <f>ROUND(AT7-AT28,2)</f>
        <v>172.77</v>
      </c>
      <c r="AU29" s="45">
        <f>ROUND(AU7-AU28,2)</f>
        <v>2046.85</v>
      </c>
      <c r="AV29" s="45">
        <f t="shared" si="99"/>
        <v>522286.24</v>
      </c>
      <c r="AW29" s="51">
        <f t="shared" si="100"/>
        <v>491398.78</v>
      </c>
      <c r="AX29" s="51">
        <f t="shared" si="101"/>
        <v>30887.46</v>
      </c>
      <c r="AY29" s="45">
        <f t="shared" si="102"/>
        <v>8988.92</v>
      </c>
      <c r="AZ29" s="51">
        <f t="shared" si="103"/>
        <v>4424.8</v>
      </c>
      <c r="BA29" s="51">
        <f>ROUND(AA29+AU29,2)</f>
        <v>4564.12</v>
      </c>
      <c r="BB29" s="45">
        <f t="shared" si="105"/>
        <v>531275.16</v>
      </c>
      <c r="BC29" s="52">
        <f t="shared" si="106"/>
        <v>495823.58</v>
      </c>
      <c r="BD29" s="63">
        <f t="shared" si="106"/>
        <v>35451.58</v>
      </c>
      <c r="BE29" s="112">
        <v>73138313.599999994</v>
      </c>
      <c r="BF29" s="112" t="s">
        <v>117</v>
      </c>
      <c r="BH29" s="77"/>
    </row>
    <row r="30" spans="1:61" s="15" customFormat="1" ht="25.5" x14ac:dyDescent="0.2">
      <c r="A30" s="10" t="s">
        <v>118</v>
      </c>
      <c r="B30" s="11" t="s">
        <v>83</v>
      </c>
      <c r="C30" s="70">
        <f t="shared" si="83"/>
        <v>0</v>
      </c>
      <c r="D30" s="12">
        <f>ROUND(D7-D27-D29,2)</f>
        <v>0</v>
      </c>
      <c r="E30" s="12">
        <f>ROUND(E7-E27-E29,2)</f>
        <v>0</v>
      </c>
      <c r="F30" s="70">
        <f t="shared" si="84"/>
        <v>0</v>
      </c>
      <c r="G30" s="12">
        <f t="shared" ref="G30:K30" si="113">ROUND(G7-G27-G29,2)</f>
        <v>0</v>
      </c>
      <c r="H30" s="12">
        <f t="shared" si="113"/>
        <v>0</v>
      </c>
      <c r="I30" s="12">
        <f t="shared" si="113"/>
        <v>0</v>
      </c>
      <c r="J30" s="12">
        <f t="shared" si="113"/>
        <v>0</v>
      </c>
      <c r="K30" s="12">
        <f t="shared" si="113"/>
        <v>0</v>
      </c>
      <c r="L30" s="70">
        <f t="shared" si="86"/>
        <v>0</v>
      </c>
      <c r="M30" s="45">
        <f t="shared" si="0"/>
        <v>0</v>
      </c>
      <c r="N30" s="12">
        <f t="shared" ref="N30:O30" si="114">ROUND(N7-N27-N29,2)</f>
        <v>0</v>
      </c>
      <c r="O30" s="12">
        <f t="shared" si="114"/>
        <v>0</v>
      </c>
      <c r="P30" s="13">
        <f t="shared" si="88"/>
        <v>0</v>
      </c>
      <c r="Q30" s="12">
        <f t="shared" ref="Q30:S30" si="115">ROUND(Q7-Q27-Q29,2)</f>
        <v>0</v>
      </c>
      <c r="R30" s="12">
        <f t="shared" si="115"/>
        <v>0</v>
      </c>
      <c r="S30" s="12">
        <f t="shared" si="115"/>
        <v>0</v>
      </c>
      <c r="T30" s="13">
        <f t="shared" si="109"/>
        <v>0</v>
      </c>
      <c r="U30" s="87">
        <f t="shared" ref="U30:Z30" si="116">ROUND(U7-U27-U29,2)</f>
        <v>0</v>
      </c>
      <c r="V30" s="87">
        <f t="shared" si="116"/>
        <v>0</v>
      </c>
      <c r="W30" s="87">
        <f t="shared" si="116"/>
        <v>0</v>
      </c>
      <c r="X30" s="12">
        <f t="shared" si="116"/>
        <v>0</v>
      </c>
      <c r="Y30" s="12">
        <f t="shared" si="116"/>
        <v>0</v>
      </c>
      <c r="Z30" s="12">
        <f t="shared" si="116"/>
        <v>0</v>
      </c>
      <c r="AA30" s="71">
        <f t="shared" si="91"/>
        <v>0</v>
      </c>
      <c r="AB30" s="72">
        <f t="shared" si="92"/>
        <v>0</v>
      </c>
      <c r="AC30" s="12">
        <f t="shared" ref="AC30:AJ30" si="117">ROUND(AC7-AC27-AC29,2)</f>
        <v>0</v>
      </c>
      <c r="AD30" s="12">
        <f t="shared" si="117"/>
        <v>0</v>
      </c>
      <c r="AE30" s="12">
        <f t="shared" si="117"/>
        <v>0</v>
      </c>
      <c r="AF30" s="12">
        <f t="shared" si="117"/>
        <v>0</v>
      </c>
      <c r="AG30" s="12">
        <f t="shared" si="117"/>
        <v>0</v>
      </c>
      <c r="AH30" s="12">
        <f t="shared" si="117"/>
        <v>0</v>
      </c>
      <c r="AI30" s="12">
        <f t="shared" si="117"/>
        <v>0</v>
      </c>
      <c r="AJ30" s="12">
        <f t="shared" si="117"/>
        <v>0</v>
      </c>
      <c r="AK30" s="72">
        <f>ROUND(AK7-AK27-AK29,2)</f>
        <v>0</v>
      </c>
      <c r="AL30" s="72">
        <f t="shared" si="94"/>
        <v>0</v>
      </c>
      <c r="AM30" s="12">
        <f t="shared" ref="AM30:AO30" si="118">ROUND(AM7-AM27-AM29,2)</f>
        <v>0</v>
      </c>
      <c r="AN30" s="12">
        <f t="shared" si="118"/>
        <v>0</v>
      </c>
      <c r="AO30" s="12">
        <f t="shared" si="118"/>
        <v>0</v>
      </c>
      <c r="AP30" s="71">
        <f t="shared" si="96"/>
        <v>0</v>
      </c>
      <c r="AQ30" s="12">
        <f t="shared" ref="AQ30:AR30" si="119">ROUND(AQ7-AQ27-AQ29,2)</f>
        <v>0</v>
      </c>
      <c r="AR30" s="12">
        <f t="shared" si="119"/>
        <v>0</v>
      </c>
      <c r="AS30" s="71">
        <f t="shared" si="98"/>
        <v>0</v>
      </c>
      <c r="AT30" s="72">
        <f t="shared" ref="AT30:AU30" si="120">ROUND(AT7-AT27-AT29,2)</f>
        <v>0</v>
      </c>
      <c r="AU30" s="72">
        <f t="shared" si="120"/>
        <v>0</v>
      </c>
      <c r="AV30" s="72">
        <f t="shared" si="99"/>
        <v>0</v>
      </c>
      <c r="AW30" s="73">
        <f t="shared" si="100"/>
        <v>0</v>
      </c>
      <c r="AX30" s="51">
        <f t="shared" si="101"/>
        <v>0</v>
      </c>
      <c r="AY30" s="72">
        <f t="shared" si="102"/>
        <v>0</v>
      </c>
      <c r="AZ30" s="73">
        <f t="shared" si="103"/>
        <v>0</v>
      </c>
      <c r="BA30" s="73">
        <f t="shared" si="104"/>
        <v>0</v>
      </c>
      <c r="BB30" s="72">
        <f t="shared" si="105"/>
        <v>0</v>
      </c>
      <c r="BC30" s="14">
        <f t="shared" si="106"/>
        <v>0</v>
      </c>
      <c r="BD30" s="74">
        <f t="shared" si="106"/>
        <v>0</v>
      </c>
      <c r="BE30" s="112">
        <f>BE28-BE29</f>
        <v>594740.55000001192</v>
      </c>
      <c r="BF30" s="112" t="s">
        <v>119</v>
      </c>
      <c r="BH30" s="77"/>
    </row>
    <row r="31" spans="1:61" s="15" customFormat="1" ht="12.75" x14ac:dyDescent="0.2">
      <c r="A31" s="10">
        <v>24</v>
      </c>
      <c r="B31" s="11" t="s">
        <v>120</v>
      </c>
      <c r="C31" s="70">
        <f t="shared" si="83"/>
        <v>0</v>
      </c>
      <c r="D31" s="87">
        <v>0</v>
      </c>
      <c r="E31" s="12">
        <v>0</v>
      </c>
      <c r="F31" s="70">
        <f t="shared" si="84"/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70">
        <f t="shared" si="86"/>
        <v>0</v>
      </c>
      <c r="M31" s="72">
        <f t="shared" si="0"/>
        <v>0</v>
      </c>
      <c r="N31" s="12">
        <v>0</v>
      </c>
      <c r="O31" s="12">
        <v>0</v>
      </c>
      <c r="P31" s="13">
        <f t="shared" si="88"/>
        <v>0</v>
      </c>
      <c r="Q31" s="12">
        <v>0</v>
      </c>
      <c r="R31" s="12">
        <v>0</v>
      </c>
      <c r="S31" s="12">
        <v>0</v>
      </c>
      <c r="T31" s="13">
        <f t="shared" si="109"/>
        <v>0</v>
      </c>
      <c r="U31" s="87">
        <v>0</v>
      </c>
      <c r="V31" s="87">
        <v>0</v>
      </c>
      <c r="W31" s="87">
        <v>0</v>
      </c>
      <c r="X31" s="12">
        <v>0</v>
      </c>
      <c r="Y31" s="12">
        <v>0</v>
      </c>
      <c r="Z31" s="12">
        <v>0</v>
      </c>
      <c r="AA31" s="71">
        <f t="shared" si="91"/>
        <v>0</v>
      </c>
      <c r="AB31" s="72">
        <f t="shared" si="92"/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45">
        <v>0</v>
      </c>
      <c r="AL31" s="72">
        <f t="shared" si="94"/>
        <v>0</v>
      </c>
      <c r="AM31" s="12">
        <v>0</v>
      </c>
      <c r="AN31" s="12">
        <v>0</v>
      </c>
      <c r="AO31" s="12">
        <v>0</v>
      </c>
      <c r="AP31" s="71">
        <f t="shared" si="96"/>
        <v>0</v>
      </c>
      <c r="AQ31" s="12">
        <v>0</v>
      </c>
      <c r="AR31" s="12">
        <v>0</v>
      </c>
      <c r="AS31" s="71">
        <f t="shared" si="98"/>
        <v>0</v>
      </c>
      <c r="AT31" s="72">
        <v>0</v>
      </c>
      <c r="AU31" s="72">
        <v>0</v>
      </c>
      <c r="AV31" s="72">
        <f t="shared" si="99"/>
        <v>0</v>
      </c>
      <c r="AW31" s="73">
        <f t="shared" si="100"/>
        <v>0</v>
      </c>
      <c r="AX31" s="51">
        <f t="shared" si="101"/>
        <v>0</v>
      </c>
      <c r="AY31" s="72">
        <f t="shared" si="102"/>
        <v>0</v>
      </c>
      <c r="AZ31" s="73">
        <f t="shared" si="103"/>
        <v>0</v>
      </c>
      <c r="BA31" s="73">
        <f t="shared" si="104"/>
        <v>0</v>
      </c>
      <c r="BB31" s="72">
        <f t="shared" si="105"/>
        <v>0</v>
      </c>
      <c r="BC31" s="14">
        <f t="shared" si="106"/>
        <v>0</v>
      </c>
      <c r="BD31" s="74">
        <f t="shared" si="106"/>
        <v>0</v>
      </c>
      <c r="BF31" s="77"/>
      <c r="BG31" s="77"/>
      <c r="BH31" s="77"/>
    </row>
    <row r="32" spans="1:61" s="47" customFormat="1" ht="18" customHeight="1" x14ac:dyDescent="0.2">
      <c r="A32" s="48">
        <v>25</v>
      </c>
      <c r="B32" s="3" t="s">
        <v>69</v>
      </c>
      <c r="C32" s="67">
        <f t="shared" si="83"/>
        <v>1196069.99</v>
      </c>
      <c r="D32" s="8">
        <v>945964.65</v>
      </c>
      <c r="E32" s="75">
        <v>250105.34</v>
      </c>
      <c r="F32" s="67">
        <f t="shared" si="84"/>
        <v>556207.06999999995</v>
      </c>
      <c r="G32" s="8">
        <v>262964.06</v>
      </c>
      <c r="H32" s="75">
        <v>293243.01</v>
      </c>
      <c r="I32" s="8">
        <v>4532.6799999999994</v>
      </c>
      <c r="J32" s="8">
        <v>0</v>
      </c>
      <c r="K32" s="8">
        <v>0</v>
      </c>
      <c r="L32" s="67">
        <f t="shared" si="86"/>
        <v>560739.75</v>
      </c>
      <c r="M32" s="45">
        <f t="shared" si="0"/>
        <v>3119344.4</v>
      </c>
      <c r="N32" s="8">
        <v>2963586.74</v>
      </c>
      <c r="O32" s="8">
        <v>823.07</v>
      </c>
      <c r="P32" s="4">
        <f t="shared" si="88"/>
        <v>2964409.81</v>
      </c>
      <c r="Q32" s="8">
        <v>136492.14000000001</v>
      </c>
      <c r="R32" s="8">
        <v>120</v>
      </c>
      <c r="S32" s="8">
        <v>4770</v>
      </c>
      <c r="T32" s="4">
        <f t="shared" si="109"/>
        <v>141382.14000000001</v>
      </c>
      <c r="U32" s="86">
        <v>0</v>
      </c>
      <c r="V32" s="86">
        <v>0</v>
      </c>
      <c r="W32" s="86">
        <v>0</v>
      </c>
      <c r="X32" s="8">
        <v>3378.25</v>
      </c>
      <c r="Y32" s="8">
        <v>10174.200000000001</v>
      </c>
      <c r="Z32" s="8">
        <v>0</v>
      </c>
      <c r="AA32" s="68">
        <f t="shared" si="91"/>
        <v>13552.45</v>
      </c>
      <c r="AB32" s="45">
        <f t="shared" si="92"/>
        <v>411385.16</v>
      </c>
      <c r="AC32" s="8">
        <v>14104.74</v>
      </c>
      <c r="AD32" s="8">
        <v>23584.639999999999</v>
      </c>
      <c r="AE32" s="8">
        <v>44949.08</v>
      </c>
      <c r="AF32" s="8">
        <v>2462.7199999999998</v>
      </c>
      <c r="AG32" s="8">
        <v>10176.6</v>
      </c>
      <c r="AH32" s="8">
        <v>137513.03</v>
      </c>
      <c r="AI32" s="8">
        <v>2097.67</v>
      </c>
      <c r="AJ32" s="8">
        <v>176496.68</v>
      </c>
      <c r="AK32" s="45">
        <v>56600.42</v>
      </c>
      <c r="AL32" s="45">
        <f t="shared" si="94"/>
        <v>121546.71</v>
      </c>
      <c r="AM32" s="8">
        <v>4873.29</v>
      </c>
      <c r="AN32" s="8">
        <v>53642.92</v>
      </c>
      <c r="AO32" s="8">
        <v>6659.93</v>
      </c>
      <c r="AP32" s="68">
        <f t="shared" si="96"/>
        <v>65176.14</v>
      </c>
      <c r="AQ32" s="8">
        <v>16908.57</v>
      </c>
      <c r="AR32" s="8">
        <v>39462</v>
      </c>
      <c r="AS32" s="68">
        <f t="shared" si="98"/>
        <v>56370.57</v>
      </c>
      <c r="AT32" s="45">
        <v>1321.6</v>
      </c>
      <c r="AU32" s="45">
        <v>113170.53</v>
      </c>
      <c r="AV32" s="45">
        <f t="shared" si="99"/>
        <v>5312073.4400000004</v>
      </c>
      <c r="AW32" s="51">
        <f t="shared" si="100"/>
        <v>4671214.04</v>
      </c>
      <c r="AX32" s="51">
        <f t="shared" si="101"/>
        <v>640859.4</v>
      </c>
      <c r="AY32" s="45">
        <f t="shared" si="102"/>
        <v>268105.12</v>
      </c>
      <c r="AZ32" s="51">
        <f t="shared" si="103"/>
        <v>141382.14000000001</v>
      </c>
      <c r="BA32" s="51">
        <f t="shared" si="104"/>
        <v>126722.98</v>
      </c>
      <c r="BB32" s="45">
        <f t="shared" si="105"/>
        <v>5580178.5599999996</v>
      </c>
      <c r="BC32" s="52">
        <f t="shared" si="106"/>
        <v>4812596.18</v>
      </c>
      <c r="BD32" s="63">
        <f t="shared" si="106"/>
        <v>767582.38</v>
      </c>
      <c r="BF32" s="77"/>
      <c r="BG32" s="77"/>
      <c r="BH32" s="77"/>
    </row>
    <row r="33" spans="1:60" s="47" customFormat="1" ht="40.5" customHeight="1" thickBot="1" x14ac:dyDescent="0.25">
      <c r="A33" s="95" t="s">
        <v>12</v>
      </c>
      <c r="B33" s="96" t="s">
        <v>70</v>
      </c>
      <c r="C33" s="97">
        <f t="shared" si="83"/>
        <v>1809501.48</v>
      </c>
      <c r="D33" s="98">
        <f>ROUND((D28+D31-D11)/12,2)</f>
        <v>1504496.26</v>
      </c>
      <c r="E33" s="98">
        <f>ROUND((E28+E31-E11)/12,2)</f>
        <v>305005.21999999997</v>
      </c>
      <c r="F33" s="97">
        <f t="shared" si="84"/>
        <v>847578.83</v>
      </c>
      <c r="G33" s="98">
        <f t="shared" ref="G33:K33" si="121">ROUND((G28+G31-G11)/12,2)</f>
        <v>187167.37</v>
      </c>
      <c r="H33" s="98">
        <f t="shared" si="121"/>
        <v>660411.46</v>
      </c>
      <c r="I33" s="98">
        <f t="shared" si="121"/>
        <v>3032.39</v>
      </c>
      <c r="J33" s="98">
        <f t="shared" si="121"/>
        <v>77422.63</v>
      </c>
      <c r="K33" s="98">
        <f t="shared" si="121"/>
        <v>11438.13</v>
      </c>
      <c r="L33" s="97">
        <f t="shared" si="86"/>
        <v>939471.98</v>
      </c>
      <c r="M33" s="99">
        <f t="shared" si="0"/>
        <v>3844838.82</v>
      </c>
      <c r="N33" s="98">
        <f t="shared" ref="N33:O33" si="122">ROUND((N28+N31-N11)/12,2)</f>
        <v>3631649</v>
      </c>
      <c r="O33" s="98">
        <f t="shared" si="122"/>
        <v>0</v>
      </c>
      <c r="P33" s="100">
        <f t="shared" si="88"/>
        <v>3631649</v>
      </c>
      <c r="Q33" s="98">
        <f t="shared" ref="Q33:S33" si="123">ROUND((Q28+Q31-Q11)/12,2)</f>
        <v>145327.1</v>
      </c>
      <c r="R33" s="98">
        <f t="shared" si="123"/>
        <v>0</v>
      </c>
      <c r="S33" s="98">
        <f t="shared" si="123"/>
        <v>3870</v>
      </c>
      <c r="T33" s="100">
        <f>ROUND(Q33+R33+S33,2)</f>
        <v>149197.1</v>
      </c>
      <c r="U33" s="101">
        <f t="shared" ref="U33:Z33" si="124">ROUND((U28+U31-U11)/12,2)</f>
        <v>685.83</v>
      </c>
      <c r="V33" s="101">
        <f t="shared" si="124"/>
        <v>1646.83</v>
      </c>
      <c r="W33" s="101">
        <f t="shared" si="124"/>
        <v>3593.75</v>
      </c>
      <c r="X33" s="98">
        <f t="shared" si="124"/>
        <v>5265.9</v>
      </c>
      <c r="Y33" s="98">
        <f t="shared" si="124"/>
        <v>46024.53</v>
      </c>
      <c r="Z33" s="98">
        <f t="shared" si="124"/>
        <v>6775.88</v>
      </c>
      <c r="AA33" s="102">
        <f t="shared" si="91"/>
        <v>63992.72</v>
      </c>
      <c r="AB33" s="99">
        <f t="shared" si="92"/>
        <v>583218.29</v>
      </c>
      <c r="AC33" s="98">
        <f t="shared" ref="AC33:AJ33" si="125">ROUND((AC28+AC31-AC11)/12,2)</f>
        <v>10243.06</v>
      </c>
      <c r="AD33" s="98">
        <f t="shared" si="125"/>
        <v>118972.96</v>
      </c>
      <c r="AE33" s="98">
        <f t="shared" si="125"/>
        <v>191694.35</v>
      </c>
      <c r="AF33" s="98">
        <f t="shared" si="125"/>
        <v>2740.7</v>
      </c>
      <c r="AG33" s="98">
        <f t="shared" si="125"/>
        <v>9252.48</v>
      </c>
      <c r="AH33" s="98">
        <f t="shared" si="125"/>
        <v>130584.44</v>
      </c>
      <c r="AI33" s="98">
        <f t="shared" si="125"/>
        <v>2140.42</v>
      </c>
      <c r="AJ33" s="98">
        <f t="shared" si="125"/>
        <v>117589.88</v>
      </c>
      <c r="AK33" s="99">
        <f>ROUND((AK28+AK31-AK11)/12,2)</f>
        <v>58385.41</v>
      </c>
      <c r="AL33" s="99">
        <f t="shared" si="94"/>
        <v>142087.54999999999</v>
      </c>
      <c r="AM33" s="98">
        <f t="shared" ref="AM33:AO33" si="126">ROUND((AM28+AM31-AM11)/12,2)</f>
        <v>14736.55</v>
      </c>
      <c r="AN33" s="98">
        <f t="shared" si="126"/>
        <v>77418.47</v>
      </c>
      <c r="AO33" s="98">
        <f t="shared" si="126"/>
        <v>11584.52</v>
      </c>
      <c r="AP33" s="102">
        <f t="shared" si="96"/>
        <v>103739.54</v>
      </c>
      <c r="AQ33" s="98">
        <f t="shared" ref="AQ33:AR33" si="127">ROUND((AQ28+AQ31-AQ11)/12,2)</f>
        <v>829.58</v>
      </c>
      <c r="AR33" s="98">
        <f t="shared" si="127"/>
        <v>37518.43</v>
      </c>
      <c r="AS33" s="102">
        <f t="shared" si="98"/>
        <v>38348.01</v>
      </c>
      <c r="AT33" s="99">
        <f t="shared" ref="AT33:AU33" si="128">ROUND((AT28+AT31-AT11)/12,2)</f>
        <v>1039.77</v>
      </c>
      <c r="AU33" s="99">
        <f t="shared" si="128"/>
        <v>107646.93</v>
      </c>
      <c r="AV33" s="99">
        <f t="shared" si="99"/>
        <v>7165353.4800000004</v>
      </c>
      <c r="AW33" s="103">
        <f t="shared" si="100"/>
        <v>5995224.0899999999</v>
      </c>
      <c r="AX33" s="103">
        <f t="shared" si="101"/>
        <v>1170129.3899999999</v>
      </c>
      <c r="AY33" s="99">
        <f t="shared" si="102"/>
        <v>320836.75</v>
      </c>
      <c r="AZ33" s="103">
        <f t="shared" si="103"/>
        <v>149197.1</v>
      </c>
      <c r="BA33" s="103">
        <f t="shared" si="104"/>
        <v>171639.65</v>
      </c>
      <c r="BB33" s="99">
        <f t="shared" si="105"/>
        <v>7486190.2300000004</v>
      </c>
      <c r="BC33" s="104">
        <f t="shared" si="106"/>
        <v>6144421.1900000004</v>
      </c>
      <c r="BD33" s="105">
        <f t="shared" si="106"/>
        <v>1341769.04</v>
      </c>
      <c r="BF33" s="77"/>
      <c r="BG33" s="77"/>
      <c r="BH33" s="77"/>
    </row>
    <row r="34" spans="1:60" s="111" customFormat="1" ht="16.5" thickBot="1" x14ac:dyDescent="0.3">
      <c r="A34" s="106"/>
      <c r="B34" s="107" t="s">
        <v>121</v>
      </c>
      <c r="C34" s="108">
        <f>ROUND((C28/C7)*100,2)</f>
        <v>99.8</v>
      </c>
      <c r="D34" s="109">
        <f>ROUND((D28/D7)*100,2)</f>
        <v>99.87</v>
      </c>
      <c r="E34" s="109">
        <f>ROUND((E28/E7)*100,2)</f>
        <v>99.46</v>
      </c>
      <c r="F34" s="108">
        <f t="shared" ref="F34:BD34" si="129">ROUND((F28/F7)*100,2)</f>
        <v>99.82</v>
      </c>
      <c r="G34" s="109">
        <f t="shared" si="129"/>
        <v>99.33</v>
      </c>
      <c r="H34" s="109">
        <f t="shared" si="129"/>
        <v>99.97</v>
      </c>
      <c r="I34" s="109">
        <f t="shared" si="129"/>
        <v>100</v>
      </c>
      <c r="J34" s="109">
        <f t="shared" si="129"/>
        <v>99.76</v>
      </c>
      <c r="K34" s="109">
        <f t="shared" si="129"/>
        <v>98.71</v>
      </c>
      <c r="L34" s="108">
        <f t="shared" si="129"/>
        <v>99.81</v>
      </c>
      <c r="M34" s="108">
        <f t="shared" si="129"/>
        <v>99.07</v>
      </c>
      <c r="N34" s="109">
        <f t="shared" si="129"/>
        <v>99.03</v>
      </c>
      <c r="O34" s="109"/>
      <c r="P34" s="109">
        <f t="shared" si="129"/>
        <v>99.03</v>
      </c>
      <c r="Q34" s="109">
        <f t="shared" si="129"/>
        <v>99.83</v>
      </c>
      <c r="R34" s="109"/>
      <c r="S34" s="109">
        <f t="shared" si="129"/>
        <v>97.13</v>
      </c>
      <c r="T34" s="109">
        <f t="shared" si="129"/>
        <v>99.75</v>
      </c>
      <c r="U34" s="109">
        <f t="shared" si="129"/>
        <v>100</v>
      </c>
      <c r="V34" s="109">
        <f t="shared" si="129"/>
        <v>99.96</v>
      </c>
      <c r="W34" s="109">
        <f t="shared" si="129"/>
        <v>97.17</v>
      </c>
      <c r="X34" s="109">
        <f t="shared" si="129"/>
        <v>99.94</v>
      </c>
      <c r="Y34" s="109">
        <f t="shared" si="129"/>
        <v>99.81</v>
      </c>
      <c r="Z34" s="109">
        <f t="shared" si="129"/>
        <v>99.8</v>
      </c>
      <c r="AA34" s="109">
        <f t="shared" si="129"/>
        <v>99.67</v>
      </c>
      <c r="AB34" s="109">
        <f t="shared" si="129"/>
        <v>99.84</v>
      </c>
      <c r="AC34" s="109">
        <f t="shared" si="129"/>
        <v>99.35</v>
      </c>
      <c r="AD34" s="109">
        <f t="shared" si="129"/>
        <v>99.63</v>
      </c>
      <c r="AE34" s="109">
        <f t="shared" si="129"/>
        <v>99.98</v>
      </c>
      <c r="AF34" s="109">
        <f t="shared" si="129"/>
        <v>95</v>
      </c>
      <c r="AG34" s="109">
        <f t="shared" si="129"/>
        <v>99.86</v>
      </c>
      <c r="AH34" s="109">
        <f t="shared" si="129"/>
        <v>99.82</v>
      </c>
      <c r="AI34" s="109">
        <f t="shared" si="129"/>
        <v>99.83</v>
      </c>
      <c r="AJ34" s="109">
        <f t="shared" si="129"/>
        <v>100</v>
      </c>
      <c r="AK34" s="109">
        <f t="shared" si="129"/>
        <v>99.55</v>
      </c>
      <c r="AL34" s="109">
        <f t="shared" si="129"/>
        <v>99.18</v>
      </c>
      <c r="AM34" s="109">
        <f t="shared" si="129"/>
        <v>99.83</v>
      </c>
      <c r="AN34" s="109">
        <f t="shared" si="129"/>
        <v>99.81</v>
      </c>
      <c r="AO34" s="109">
        <f t="shared" si="129"/>
        <v>99.22</v>
      </c>
      <c r="AP34" s="109">
        <f t="shared" si="129"/>
        <v>99.74</v>
      </c>
      <c r="AQ34" s="109">
        <f t="shared" si="129"/>
        <v>99.55</v>
      </c>
      <c r="AR34" s="109">
        <f t="shared" si="129"/>
        <v>97.65</v>
      </c>
      <c r="AS34" s="109">
        <f t="shared" si="129"/>
        <v>97.69</v>
      </c>
      <c r="AT34" s="109">
        <f t="shared" si="129"/>
        <v>98.63</v>
      </c>
      <c r="AU34" s="109">
        <f t="shared" si="129"/>
        <v>99.84</v>
      </c>
      <c r="AV34" s="109">
        <f t="shared" si="129"/>
        <v>99.4</v>
      </c>
      <c r="AW34" s="109">
        <f t="shared" si="129"/>
        <v>99.32</v>
      </c>
      <c r="AX34" s="109">
        <f t="shared" si="129"/>
        <v>99.78</v>
      </c>
      <c r="AY34" s="109">
        <f t="shared" si="129"/>
        <v>99.77</v>
      </c>
      <c r="AZ34" s="109">
        <f t="shared" si="129"/>
        <v>99.75</v>
      </c>
      <c r="BA34" s="109">
        <f t="shared" si="129"/>
        <v>99.78</v>
      </c>
      <c r="BB34" s="109">
        <f t="shared" si="129"/>
        <v>99.41</v>
      </c>
      <c r="BC34" s="109">
        <f t="shared" si="129"/>
        <v>99.33</v>
      </c>
      <c r="BD34" s="110">
        <f t="shared" si="129"/>
        <v>99.78</v>
      </c>
    </row>
    <row r="35" spans="1:60" ht="54.75" customHeight="1" x14ac:dyDescent="0.25">
      <c r="U35" s="16"/>
      <c r="V35" s="16"/>
      <c r="W35" s="16"/>
      <c r="AS35" s="113" t="s">
        <v>122</v>
      </c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47"/>
    </row>
    <row r="36" spans="1:60" x14ac:dyDescent="0.25">
      <c r="U36" s="16"/>
      <c r="V36" s="16"/>
      <c r="W36" s="16"/>
      <c r="AU36" s="91"/>
      <c r="AV36" s="92"/>
      <c r="AX36" s="91"/>
      <c r="AY36" s="91"/>
      <c r="AZ36" s="91"/>
      <c r="BA36" s="91"/>
      <c r="BB36" s="91"/>
      <c r="BC36" s="91"/>
      <c r="BD36" s="92"/>
    </row>
    <row r="37" spans="1:60" x14ac:dyDescent="0.25">
      <c r="U37" s="16"/>
      <c r="V37" s="16"/>
      <c r="W37" s="16"/>
      <c r="AV37" s="92"/>
      <c r="AX37" s="91"/>
      <c r="AY37" s="91"/>
      <c r="AZ37" s="91"/>
      <c r="BA37" s="91"/>
      <c r="BB37" s="91"/>
      <c r="BC37" s="91"/>
      <c r="BD37" s="92"/>
    </row>
    <row r="38" spans="1:60" x14ac:dyDescent="0.25">
      <c r="U38" s="16"/>
      <c r="V38" s="16"/>
      <c r="W38" s="16"/>
    </row>
    <row r="39" spans="1:60" x14ac:dyDescent="0.25">
      <c r="U39" s="16"/>
      <c r="V39" s="16"/>
      <c r="W39" s="16"/>
    </row>
    <row r="40" spans="1:60" x14ac:dyDescent="0.25">
      <c r="U40" s="16"/>
      <c r="V40" s="16"/>
      <c r="W40" s="16"/>
    </row>
    <row r="41" spans="1:60" x14ac:dyDescent="0.25">
      <c r="U41" s="16"/>
      <c r="V41" s="16"/>
      <c r="W41" s="16"/>
    </row>
    <row r="42" spans="1:60" x14ac:dyDescent="0.25">
      <c r="U42" s="16"/>
      <c r="V42" s="16"/>
      <c r="W42" s="16"/>
    </row>
    <row r="43" spans="1:60" x14ac:dyDescent="0.25">
      <c r="A43" s="16"/>
      <c r="U43" s="16"/>
      <c r="V43" s="16"/>
      <c r="W43" s="16"/>
      <c r="AP43" s="16"/>
      <c r="AS43" s="16"/>
    </row>
    <row r="44" spans="1:60" x14ac:dyDescent="0.25">
      <c r="A44" s="16"/>
      <c r="U44" s="16"/>
      <c r="V44" s="16"/>
      <c r="W44" s="16"/>
      <c r="AP44" s="16"/>
      <c r="AS44" s="16"/>
    </row>
    <row r="45" spans="1:60" x14ac:dyDescent="0.25">
      <c r="A45" s="16"/>
      <c r="U45" s="16"/>
      <c r="V45" s="16"/>
      <c r="W45" s="16"/>
      <c r="AP45" s="16"/>
      <c r="AS45" s="16"/>
    </row>
    <row r="46" spans="1:60" x14ac:dyDescent="0.25">
      <c r="A46" s="16"/>
      <c r="U46" s="16"/>
      <c r="V46" s="16"/>
      <c r="W46" s="16"/>
      <c r="AP46" s="16"/>
      <c r="AS46" s="16"/>
    </row>
    <row r="47" spans="1:60" x14ac:dyDescent="0.25">
      <c r="A47" s="16"/>
      <c r="U47" s="16"/>
      <c r="V47" s="16"/>
      <c r="W47" s="16"/>
      <c r="AP47" s="16"/>
      <c r="AS47" s="16"/>
    </row>
    <row r="48" spans="1:60" x14ac:dyDescent="0.25">
      <c r="A48" s="16"/>
      <c r="U48" s="16"/>
      <c r="V48" s="16"/>
      <c r="W48" s="16"/>
      <c r="AP48" s="16"/>
      <c r="AS48" s="16"/>
    </row>
    <row r="49" spans="1:45" x14ac:dyDescent="0.25">
      <c r="A49" s="16"/>
      <c r="U49" s="16"/>
      <c r="V49" s="16"/>
      <c r="W49" s="16"/>
      <c r="AP49" s="16"/>
      <c r="AS49" s="16"/>
    </row>
    <row r="50" spans="1:45" x14ac:dyDescent="0.25">
      <c r="A50" s="16"/>
      <c r="U50" s="16"/>
      <c r="V50" s="16"/>
      <c r="W50" s="16"/>
      <c r="AP50" s="16"/>
      <c r="AS50" s="16"/>
    </row>
    <row r="51" spans="1:45" x14ac:dyDescent="0.25">
      <c r="A51" s="16"/>
      <c r="U51" s="16"/>
      <c r="V51" s="16"/>
      <c r="W51" s="16"/>
      <c r="AP51" s="16"/>
      <c r="AS51" s="16"/>
    </row>
    <row r="52" spans="1:45" x14ac:dyDescent="0.25">
      <c r="A52" s="16"/>
      <c r="U52" s="16"/>
      <c r="V52" s="16"/>
      <c r="W52" s="16"/>
      <c r="AP52" s="16"/>
      <c r="AS52" s="16"/>
    </row>
    <row r="53" spans="1:45" x14ac:dyDescent="0.25">
      <c r="A53" s="16"/>
      <c r="U53" s="16"/>
      <c r="V53" s="16"/>
      <c r="W53" s="16"/>
      <c r="AP53" s="16"/>
      <c r="AS53" s="16"/>
    </row>
    <row r="54" spans="1:45" x14ac:dyDescent="0.25">
      <c r="A54" s="16"/>
      <c r="U54" s="16"/>
      <c r="V54" s="16"/>
      <c r="W54" s="16"/>
      <c r="AP54" s="16"/>
      <c r="AS54" s="16"/>
    </row>
    <row r="55" spans="1:45" x14ac:dyDescent="0.25">
      <c r="A55" s="16"/>
      <c r="U55" s="16"/>
      <c r="V55" s="16"/>
      <c r="W55" s="16"/>
      <c r="AP55" s="16"/>
      <c r="AS55" s="16"/>
    </row>
    <row r="56" spans="1:45" x14ac:dyDescent="0.25">
      <c r="A56" s="16"/>
      <c r="U56" s="16"/>
      <c r="V56" s="16"/>
      <c r="W56" s="16"/>
      <c r="AP56" s="16"/>
      <c r="AS56" s="16"/>
    </row>
    <row r="57" spans="1:45" x14ac:dyDescent="0.25">
      <c r="A57" s="16"/>
      <c r="U57" s="16"/>
      <c r="V57" s="16"/>
      <c r="W57" s="16"/>
      <c r="AP57" s="16"/>
      <c r="AS57" s="16"/>
    </row>
    <row r="58" spans="1:45" x14ac:dyDescent="0.25">
      <c r="A58" s="16"/>
      <c r="U58" s="16"/>
      <c r="V58" s="16"/>
      <c r="W58" s="16"/>
      <c r="AP58" s="16"/>
      <c r="AS58" s="16"/>
    </row>
    <row r="59" spans="1:45" x14ac:dyDescent="0.25">
      <c r="A59" s="16"/>
      <c r="U59" s="16"/>
      <c r="V59" s="16"/>
      <c r="W59" s="16"/>
      <c r="AP59" s="16"/>
      <c r="AS59" s="16"/>
    </row>
    <row r="60" spans="1:45" x14ac:dyDescent="0.25">
      <c r="A60" s="16"/>
      <c r="U60" s="16"/>
      <c r="V60" s="16"/>
      <c r="W60" s="16"/>
      <c r="AP60" s="16"/>
      <c r="AS60" s="16"/>
    </row>
    <row r="61" spans="1:45" x14ac:dyDescent="0.25">
      <c r="A61" s="16"/>
      <c r="U61" s="16"/>
      <c r="V61" s="16"/>
      <c r="W61" s="16"/>
      <c r="AP61" s="16"/>
      <c r="AS61" s="16"/>
    </row>
    <row r="62" spans="1:45" x14ac:dyDescent="0.25">
      <c r="A62" s="16"/>
      <c r="U62" s="16"/>
      <c r="V62" s="16"/>
      <c r="W62" s="16"/>
      <c r="AP62" s="16"/>
      <c r="AS62" s="16"/>
    </row>
    <row r="63" spans="1:45" x14ac:dyDescent="0.25">
      <c r="A63" s="16"/>
      <c r="U63" s="16"/>
      <c r="V63" s="16"/>
      <c r="W63" s="16"/>
      <c r="AP63" s="16"/>
      <c r="AS63" s="16"/>
    </row>
    <row r="64" spans="1:45" x14ac:dyDescent="0.25">
      <c r="A64" s="16"/>
      <c r="U64" s="16"/>
      <c r="V64" s="16"/>
      <c r="W64" s="16"/>
      <c r="AP64" s="16"/>
      <c r="AS64" s="16"/>
    </row>
    <row r="65" spans="1:45" x14ac:dyDescent="0.25">
      <c r="A65" s="16"/>
      <c r="U65" s="16"/>
      <c r="V65" s="16"/>
      <c r="W65" s="16"/>
      <c r="AP65" s="16"/>
      <c r="AS65" s="16"/>
    </row>
    <row r="66" spans="1:45" x14ac:dyDescent="0.25">
      <c r="A66" s="16"/>
      <c r="U66" s="16"/>
      <c r="V66" s="16"/>
      <c r="W66" s="16"/>
      <c r="AP66" s="16"/>
      <c r="AS66" s="16"/>
    </row>
    <row r="67" spans="1:45" x14ac:dyDescent="0.25">
      <c r="A67" s="16"/>
      <c r="U67" s="16"/>
      <c r="V67" s="16"/>
      <c r="W67" s="16"/>
      <c r="AP67" s="16"/>
      <c r="AS67" s="16"/>
    </row>
    <row r="68" spans="1:45" x14ac:dyDescent="0.25">
      <c r="A68" s="16"/>
      <c r="U68" s="16"/>
      <c r="V68" s="16"/>
      <c r="W68" s="16"/>
      <c r="AP68" s="16"/>
      <c r="AS68" s="16"/>
    </row>
    <row r="69" spans="1:45" x14ac:dyDescent="0.25">
      <c r="A69" s="16"/>
      <c r="U69" s="16"/>
      <c r="V69" s="16"/>
      <c r="W69" s="16"/>
      <c r="AP69" s="16"/>
      <c r="AS69" s="16"/>
    </row>
    <row r="70" spans="1:45" x14ac:dyDescent="0.25">
      <c r="A70" s="16"/>
      <c r="U70" s="16"/>
      <c r="V70" s="16"/>
      <c r="W70" s="16"/>
      <c r="AP70" s="16"/>
      <c r="AS70" s="16"/>
    </row>
    <row r="71" spans="1:45" x14ac:dyDescent="0.25">
      <c r="A71" s="16"/>
      <c r="U71" s="16"/>
      <c r="V71" s="16"/>
      <c r="W71" s="16"/>
      <c r="AP71" s="16"/>
      <c r="AS71" s="16"/>
    </row>
    <row r="72" spans="1:45" x14ac:dyDescent="0.25">
      <c r="A72" s="16"/>
      <c r="U72" s="16"/>
      <c r="V72" s="16"/>
      <c r="W72" s="16"/>
      <c r="AP72" s="16"/>
      <c r="AS72" s="16"/>
    </row>
    <row r="73" spans="1:45" x14ac:dyDescent="0.25">
      <c r="A73" s="16"/>
      <c r="U73" s="16"/>
      <c r="V73" s="16"/>
      <c r="W73" s="16"/>
      <c r="AP73" s="16"/>
      <c r="AS73" s="16"/>
    </row>
    <row r="74" spans="1:45" x14ac:dyDescent="0.25">
      <c r="A74" s="16"/>
      <c r="U74" s="16"/>
      <c r="V74" s="16"/>
      <c r="W74" s="16"/>
      <c r="AP74" s="16"/>
      <c r="AS74" s="16"/>
    </row>
    <row r="75" spans="1:45" x14ac:dyDescent="0.25">
      <c r="A75" s="16"/>
      <c r="U75" s="16"/>
      <c r="V75" s="16"/>
      <c r="W75" s="16"/>
      <c r="AP75" s="16"/>
      <c r="AS75" s="16"/>
    </row>
    <row r="76" spans="1:45" x14ac:dyDescent="0.25">
      <c r="A76" s="16"/>
      <c r="U76" s="16"/>
      <c r="V76" s="16"/>
      <c r="W76" s="16"/>
      <c r="AP76" s="16"/>
      <c r="AS76" s="16"/>
    </row>
    <row r="77" spans="1:45" x14ac:dyDescent="0.25">
      <c r="A77" s="16"/>
      <c r="U77" s="16"/>
      <c r="V77" s="16"/>
      <c r="W77" s="16"/>
      <c r="AP77" s="16"/>
      <c r="AS77" s="16"/>
    </row>
    <row r="78" spans="1:45" x14ac:dyDescent="0.25">
      <c r="A78" s="16"/>
      <c r="U78" s="16"/>
      <c r="V78" s="16"/>
      <c r="W78" s="16"/>
      <c r="AP78" s="16"/>
      <c r="AS78" s="16"/>
    </row>
    <row r="79" spans="1:45" x14ac:dyDescent="0.25">
      <c r="A79" s="16"/>
      <c r="U79" s="16"/>
      <c r="V79" s="16"/>
      <c r="W79" s="16"/>
      <c r="AP79" s="16"/>
      <c r="AS79" s="16"/>
    </row>
    <row r="80" spans="1:45" x14ac:dyDescent="0.25">
      <c r="A80" s="16"/>
      <c r="U80" s="16"/>
      <c r="V80" s="16"/>
      <c r="W80" s="16"/>
      <c r="AP80" s="16"/>
      <c r="AS80" s="16"/>
    </row>
    <row r="81" spans="1:45" x14ac:dyDescent="0.25">
      <c r="A81" s="16"/>
      <c r="U81" s="16"/>
      <c r="V81" s="16"/>
      <c r="W81" s="16"/>
      <c r="AP81" s="16"/>
      <c r="AS81" s="16"/>
    </row>
    <row r="82" spans="1:45" x14ac:dyDescent="0.25">
      <c r="A82" s="16"/>
      <c r="U82" s="16"/>
      <c r="V82" s="16"/>
      <c r="W82" s="16"/>
      <c r="AP82" s="16"/>
      <c r="AS82" s="16"/>
    </row>
    <row r="83" spans="1:45" x14ac:dyDescent="0.25">
      <c r="A83" s="16"/>
      <c r="U83" s="16"/>
      <c r="V83" s="16"/>
      <c r="W83" s="16"/>
      <c r="AP83" s="16"/>
      <c r="AS83" s="16"/>
    </row>
    <row r="84" spans="1:45" x14ac:dyDescent="0.25">
      <c r="A84" s="16"/>
      <c r="U84" s="16"/>
      <c r="V84" s="16"/>
      <c r="W84" s="16"/>
      <c r="AP84" s="16"/>
      <c r="AS84" s="16"/>
    </row>
    <row r="85" spans="1:45" x14ac:dyDescent="0.25">
      <c r="A85" s="16"/>
      <c r="U85" s="16"/>
      <c r="V85" s="16"/>
      <c r="W85" s="16"/>
      <c r="AP85" s="16"/>
      <c r="AS85" s="16"/>
    </row>
    <row r="86" spans="1:45" x14ac:dyDescent="0.25">
      <c r="A86" s="16"/>
      <c r="U86" s="16"/>
      <c r="V86" s="16"/>
      <c r="W86" s="16"/>
      <c r="AP86" s="16"/>
      <c r="AS86" s="16"/>
    </row>
    <row r="87" spans="1:45" x14ac:dyDescent="0.25">
      <c r="A87" s="16"/>
      <c r="U87" s="16"/>
      <c r="V87" s="16"/>
      <c r="W87" s="16"/>
      <c r="AP87" s="16"/>
      <c r="AS87" s="16"/>
    </row>
    <row r="88" spans="1:45" x14ac:dyDescent="0.25">
      <c r="A88" s="16"/>
      <c r="U88" s="16"/>
      <c r="V88" s="16"/>
      <c r="W88" s="16"/>
      <c r="AP88" s="16"/>
      <c r="AS88" s="16"/>
    </row>
    <row r="89" spans="1:45" x14ac:dyDescent="0.25">
      <c r="A89" s="16"/>
      <c r="U89" s="16"/>
      <c r="V89" s="16"/>
      <c r="W89" s="16"/>
      <c r="AP89" s="16"/>
      <c r="AS89" s="16"/>
    </row>
    <row r="90" spans="1:45" x14ac:dyDescent="0.25">
      <c r="A90" s="16"/>
      <c r="U90" s="16"/>
      <c r="V90" s="16"/>
      <c r="W90" s="16"/>
      <c r="AP90" s="16"/>
      <c r="AS90" s="16"/>
    </row>
    <row r="91" spans="1:45" x14ac:dyDescent="0.25">
      <c r="A91" s="16"/>
      <c r="U91" s="16"/>
      <c r="V91" s="16"/>
      <c r="W91" s="16"/>
      <c r="AP91" s="16"/>
      <c r="AS91" s="16"/>
    </row>
    <row r="92" spans="1:45" x14ac:dyDescent="0.25">
      <c r="A92" s="16"/>
      <c r="U92" s="16"/>
      <c r="V92" s="16"/>
      <c r="W92" s="16"/>
      <c r="AP92" s="16"/>
      <c r="AS92" s="16"/>
    </row>
    <row r="93" spans="1:45" x14ac:dyDescent="0.25">
      <c r="A93" s="16"/>
      <c r="U93" s="16"/>
      <c r="V93" s="16"/>
      <c r="W93" s="16"/>
      <c r="AP93" s="16"/>
      <c r="AS93" s="16"/>
    </row>
    <row r="94" spans="1:45" x14ac:dyDescent="0.25">
      <c r="A94" s="16"/>
      <c r="U94" s="16"/>
      <c r="V94" s="16"/>
      <c r="W94" s="16"/>
      <c r="AP94" s="16"/>
      <c r="AS94" s="16"/>
    </row>
    <row r="95" spans="1:45" x14ac:dyDescent="0.25">
      <c r="A95" s="16"/>
      <c r="U95" s="16"/>
      <c r="V95" s="16"/>
      <c r="W95" s="16"/>
      <c r="AP95" s="16"/>
      <c r="AS95" s="16"/>
    </row>
    <row r="96" spans="1:45" x14ac:dyDescent="0.25">
      <c r="A96" s="16"/>
      <c r="U96" s="16"/>
      <c r="V96" s="16"/>
      <c r="W96" s="16"/>
      <c r="AP96" s="16"/>
      <c r="AS96" s="16"/>
    </row>
    <row r="97" spans="1:45" x14ac:dyDescent="0.25">
      <c r="A97" s="16"/>
      <c r="U97" s="16"/>
      <c r="V97" s="16"/>
      <c r="W97" s="16"/>
      <c r="AP97" s="16"/>
      <c r="AS97" s="16"/>
    </row>
    <row r="98" spans="1:45" x14ac:dyDescent="0.25">
      <c r="A98" s="16"/>
      <c r="U98" s="16"/>
      <c r="V98" s="16"/>
      <c r="W98" s="16"/>
      <c r="AP98" s="16"/>
      <c r="AS98" s="16"/>
    </row>
    <row r="99" spans="1:45" x14ac:dyDescent="0.25">
      <c r="A99" s="16"/>
      <c r="U99" s="16"/>
      <c r="V99" s="16"/>
      <c r="W99" s="16"/>
      <c r="AP99" s="16"/>
      <c r="AS99" s="16"/>
    </row>
    <row r="100" spans="1:45" x14ac:dyDescent="0.25">
      <c r="A100" s="16"/>
      <c r="U100" s="16"/>
      <c r="V100" s="16"/>
      <c r="W100" s="16"/>
      <c r="AP100" s="16"/>
      <c r="AS100" s="16"/>
    </row>
    <row r="101" spans="1:45" x14ac:dyDescent="0.25">
      <c r="A101" s="16"/>
      <c r="U101" s="16"/>
      <c r="V101" s="16"/>
      <c r="W101" s="16"/>
      <c r="AP101" s="16"/>
      <c r="AS101" s="16"/>
    </row>
    <row r="102" spans="1:45" x14ac:dyDescent="0.25">
      <c r="A102" s="16"/>
      <c r="U102" s="16"/>
      <c r="V102" s="16"/>
      <c r="W102" s="16"/>
      <c r="AP102" s="16"/>
      <c r="AS102" s="16"/>
    </row>
    <row r="103" spans="1:45" x14ac:dyDescent="0.25">
      <c r="A103" s="16"/>
      <c r="U103" s="16"/>
      <c r="V103" s="16"/>
      <c r="W103" s="16"/>
      <c r="AP103" s="16"/>
      <c r="AS103" s="16"/>
    </row>
    <row r="104" spans="1:45" x14ac:dyDescent="0.25">
      <c r="A104" s="16"/>
      <c r="U104" s="16"/>
      <c r="V104" s="16"/>
      <c r="W104" s="16"/>
      <c r="AP104" s="16"/>
      <c r="AS104" s="16"/>
    </row>
    <row r="105" spans="1:45" x14ac:dyDescent="0.25">
      <c r="A105" s="16"/>
      <c r="U105" s="16"/>
      <c r="V105" s="16"/>
      <c r="W105" s="16"/>
      <c r="AP105" s="16"/>
      <c r="AS105" s="16"/>
    </row>
    <row r="106" spans="1:45" x14ac:dyDescent="0.25">
      <c r="A106" s="16"/>
      <c r="U106" s="16"/>
      <c r="V106" s="16"/>
      <c r="W106" s="16"/>
      <c r="AP106" s="16"/>
      <c r="AS106" s="16"/>
    </row>
    <row r="107" spans="1:45" x14ac:dyDescent="0.25">
      <c r="A107" s="16"/>
      <c r="U107" s="16"/>
      <c r="V107" s="16"/>
      <c r="W107" s="16"/>
      <c r="AP107" s="16"/>
      <c r="AS107" s="16"/>
    </row>
    <row r="108" spans="1:45" x14ac:dyDescent="0.25">
      <c r="A108" s="16"/>
      <c r="U108" s="16"/>
      <c r="V108" s="16"/>
      <c r="W108" s="16"/>
      <c r="AP108" s="16"/>
      <c r="AS108" s="16"/>
    </row>
    <row r="109" spans="1:45" x14ac:dyDescent="0.25">
      <c r="A109" s="16"/>
      <c r="U109" s="16"/>
      <c r="V109" s="16"/>
      <c r="W109" s="16"/>
      <c r="AP109" s="16"/>
      <c r="AS109" s="16"/>
    </row>
    <row r="110" spans="1:45" x14ac:dyDescent="0.25">
      <c r="A110" s="16"/>
      <c r="U110" s="16"/>
      <c r="V110" s="16"/>
      <c r="W110" s="16"/>
      <c r="AP110" s="16"/>
      <c r="AS110" s="16"/>
    </row>
    <row r="111" spans="1:45" x14ac:dyDescent="0.25">
      <c r="A111" s="16"/>
      <c r="U111" s="16"/>
      <c r="V111" s="16"/>
      <c r="W111" s="16"/>
      <c r="AP111" s="16"/>
      <c r="AS111" s="16"/>
    </row>
    <row r="112" spans="1:45" x14ac:dyDescent="0.25">
      <c r="A112" s="16"/>
      <c r="U112" s="16"/>
      <c r="V112" s="16"/>
      <c r="W112" s="16"/>
      <c r="AP112" s="16"/>
      <c r="AS112" s="16"/>
    </row>
    <row r="113" spans="1:45" x14ac:dyDescent="0.25">
      <c r="A113" s="16"/>
      <c r="U113" s="16"/>
      <c r="V113" s="16"/>
      <c r="W113" s="16"/>
      <c r="AP113" s="16"/>
      <c r="AS113" s="16"/>
    </row>
    <row r="114" spans="1:45" x14ac:dyDescent="0.25">
      <c r="A114" s="16"/>
      <c r="U114" s="16"/>
      <c r="V114" s="16"/>
      <c r="W114" s="16"/>
      <c r="AP114" s="16"/>
      <c r="AS114" s="16"/>
    </row>
    <row r="115" spans="1:45" x14ac:dyDescent="0.25">
      <c r="A115" s="16"/>
      <c r="U115" s="16"/>
      <c r="V115" s="16"/>
      <c r="W115" s="16"/>
      <c r="AP115" s="16"/>
      <c r="AS115" s="16"/>
    </row>
    <row r="116" spans="1:45" x14ac:dyDescent="0.25">
      <c r="A116" s="16"/>
      <c r="U116" s="16"/>
      <c r="V116" s="16"/>
      <c r="W116" s="16"/>
      <c r="AP116" s="16"/>
      <c r="AS116" s="16"/>
    </row>
    <row r="117" spans="1:45" x14ac:dyDescent="0.25">
      <c r="A117" s="16"/>
      <c r="U117" s="16"/>
      <c r="V117" s="16"/>
      <c r="W117" s="16"/>
      <c r="AP117" s="16"/>
      <c r="AS117" s="16"/>
    </row>
    <row r="118" spans="1:45" x14ac:dyDescent="0.25">
      <c r="A118" s="16"/>
      <c r="U118" s="16"/>
      <c r="V118" s="16"/>
      <c r="W118" s="16"/>
      <c r="AP118" s="16"/>
      <c r="AS118" s="16"/>
    </row>
    <row r="119" spans="1:45" x14ac:dyDescent="0.25">
      <c r="A119" s="16"/>
      <c r="U119" s="16"/>
      <c r="V119" s="16"/>
      <c r="W119" s="16"/>
      <c r="AP119" s="16"/>
      <c r="AS119" s="16"/>
    </row>
    <row r="120" spans="1:45" x14ac:dyDescent="0.25">
      <c r="A120" s="16"/>
      <c r="U120" s="16"/>
      <c r="V120" s="16"/>
      <c r="W120" s="16"/>
      <c r="AP120" s="16"/>
      <c r="AS120" s="16"/>
    </row>
    <row r="121" spans="1:45" x14ac:dyDescent="0.25">
      <c r="A121" s="16"/>
      <c r="U121" s="16"/>
      <c r="V121" s="16"/>
      <c r="W121" s="16"/>
      <c r="AP121" s="16"/>
      <c r="AS121" s="16"/>
    </row>
    <row r="122" spans="1:45" x14ac:dyDescent="0.25">
      <c r="A122" s="16"/>
      <c r="U122" s="16"/>
      <c r="V122" s="16"/>
      <c r="W122" s="16"/>
      <c r="AP122" s="16"/>
      <c r="AS122" s="16"/>
    </row>
    <row r="123" spans="1:45" x14ac:dyDescent="0.25">
      <c r="A123" s="16"/>
      <c r="U123" s="16"/>
      <c r="V123" s="16"/>
      <c r="W123" s="16"/>
      <c r="AP123" s="16"/>
      <c r="AS123" s="16"/>
    </row>
    <row r="124" spans="1:45" x14ac:dyDescent="0.25">
      <c r="A124" s="16"/>
      <c r="U124" s="16"/>
      <c r="V124" s="16"/>
      <c r="W124" s="16"/>
      <c r="AP124" s="16"/>
      <c r="AS124" s="16"/>
    </row>
    <row r="125" spans="1:45" x14ac:dyDescent="0.25">
      <c r="A125" s="16"/>
      <c r="U125" s="16"/>
      <c r="V125" s="16"/>
      <c r="W125" s="16"/>
      <c r="AP125" s="16"/>
      <c r="AS125" s="16"/>
    </row>
    <row r="126" spans="1:45" x14ac:dyDescent="0.25">
      <c r="A126" s="16"/>
      <c r="U126" s="16"/>
      <c r="V126" s="16"/>
      <c r="W126" s="16"/>
      <c r="AP126" s="16"/>
      <c r="AS126" s="16"/>
    </row>
    <row r="127" spans="1:45" x14ac:dyDescent="0.25">
      <c r="A127" s="16"/>
      <c r="U127" s="16"/>
      <c r="V127" s="16"/>
      <c r="W127" s="16"/>
      <c r="AP127" s="16"/>
      <c r="AS127" s="16"/>
    </row>
    <row r="128" spans="1:45" x14ac:dyDescent="0.25">
      <c r="A128" s="16"/>
      <c r="U128" s="16"/>
      <c r="V128" s="16"/>
      <c r="W128" s="16"/>
      <c r="AP128" s="16"/>
      <c r="AS128" s="16"/>
    </row>
    <row r="129" spans="1:45" x14ac:dyDescent="0.25">
      <c r="A129" s="16"/>
      <c r="U129" s="16"/>
      <c r="V129" s="16"/>
      <c r="W129" s="16"/>
      <c r="AP129" s="16"/>
      <c r="AS129" s="16"/>
    </row>
    <row r="130" spans="1:45" x14ac:dyDescent="0.25">
      <c r="A130" s="16"/>
      <c r="U130" s="16"/>
      <c r="V130" s="16"/>
      <c r="W130" s="16"/>
      <c r="AP130" s="16"/>
      <c r="AS130" s="16"/>
    </row>
    <row r="131" spans="1:45" x14ac:dyDescent="0.25">
      <c r="A131" s="16"/>
      <c r="U131" s="16"/>
      <c r="V131" s="16"/>
      <c r="W131" s="16"/>
      <c r="AP131" s="16"/>
      <c r="AS131" s="16"/>
    </row>
    <row r="132" spans="1:45" x14ac:dyDescent="0.25">
      <c r="A132" s="16"/>
      <c r="U132" s="16"/>
      <c r="V132" s="16"/>
      <c r="W132" s="16"/>
      <c r="AP132" s="16"/>
      <c r="AS132" s="16"/>
    </row>
    <row r="133" spans="1:45" x14ac:dyDescent="0.25">
      <c r="A133" s="16"/>
      <c r="U133" s="16"/>
      <c r="V133" s="16"/>
      <c r="W133" s="16"/>
      <c r="AP133" s="16"/>
      <c r="AS133" s="16"/>
    </row>
    <row r="134" spans="1:45" x14ac:dyDescent="0.25">
      <c r="A134" s="16"/>
      <c r="U134" s="16"/>
      <c r="V134" s="16"/>
      <c r="W134" s="16"/>
      <c r="AP134" s="16"/>
      <c r="AS134" s="16"/>
    </row>
    <row r="135" spans="1:45" x14ac:dyDescent="0.25">
      <c r="A135" s="16"/>
      <c r="U135" s="16"/>
      <c r="V135" s="16"/>
      <c r="W135" s="16"/>
      <c r="AP135" s="16"/>
      <c r="AS135" s="16"/>
    </row>
    <row r="136" spans="1:45" x14ac:dyDescent="0.25">
      <c r="A136" s="16"/>
      <c r="U136" s="16"/>
      <c r="V136" s="16"/>
      <c r="W136" s="16"/>
      <c r="AP136" s="16"/>
      <c r="AS136" s="16"/>
    </row>
    <row r="137" spans="1:45" x14ac:dyDescent="0.25">
      <c r="A137" s="16"/>
      <c r="U137" s="16"/>
      <c r="V137" s="16"/>
      <c r="W137" s="16"/>
      <c r="AP137" s="16"/>
      <c r="AS137" s="16"/>
    </row>
    <row r="138" spans="1:45" x14ac:dyDescent="0.25">
      <c r="A138" s="16"/>
      <c r="U138" s="16"/>
      <c r="V138" s="16"/>
      <c r="W138" s="16"/>
      <c r="AP138" s="16"/>
      <c r="AS138" s="16"/>
    </row>
    <row r="139" spans="1:45" x14ac:dyDescent="0.25">
      <c r="A139" s="16"/>
      <c r="U139" s="16"/>
      <c r="V139" s="16"/>
      <c r="W139" s="16"/>
      <c r="AP139" s="16"/>
      <c r="AS139" s="16"/>
    </row>
    <row r="140" spans="1:45" x14ac:dyDescent="0.25">
      <c r="A140" s="16"/>
      <c r="U140" s="16"/>
      <c r="V140" s="16"/>
      <c r="W140" s="16"/>
      <c r="AP140" s="16"/>
      <c r="AS140" s="16"/>
    </row>
    <row r="141" spans="1:45" x14ac:dyDescent="0.25">
      <c r="A141" s="16"/>
      <c r="U141" s="16"/>
      <c r="V141" s="16"/>
      <c r="W141" s="16"/>
      <c r="AP141" s="16"/>
      <c r="AS141" s="16"/>
    </row>
    <row r="142" spans="1:45" x14ac:dyDescent="0.25">
      <c r="A142" s="16"/>
      <c r="U142" s="16"/>
      <c r="V142" s="16"/>
      <c r="W142" s="16"/>
      <c r="AP142" s="16"/>
      <c r="AS142" s="16"/>
    </row>
    <row r="143" spans="1:45" x14ac:dyDescent="0.25">
      <c r="A143" s="16"/>
      <c r="U143" s="16"/>
      <c r="V143" s="16"/>
      <c r="W143" s="16"/>
      <c r="AP143" s="16"/>
      <c r="AS143" s="16"/>
    </row>
    <row r="144" spans="1:45" x14ac:dyDescent="0.25">
      <c r="A144" s="16"/>
      <c r="U144" s="16"/>
      <c r="V144" s="16"/>
      <c r="W144" s="16"/>
      <c r="AP144" s="16"/>
      <c r="AS144" s="16"/>
    </row>
    <row r="145" spans="1:45" x14ac:dyDescent="0.25">
      <c r="A145" s="16"/>
      <c r="U145" s="16"/>
      <c r="V145" s="16"/>
      <c r="W145" s="16"/>
      <c r="AP145" s="16"/>
      <c r="AS145" s="16"/>
    </row>
    <row r="146" spans="1:45" x14ac:dyDescent="0.25">
      <c r="A146" s="16"/>
      <c r="U146" s="16"/>
      <c r="V146" s="16"/>
      <c r="W146" s="16"/>
      <c r="AP146" s="16"/>
      <c r="AS146" s="16"/>
    </row>
    <row r="147" spans="1:45" x14ac:dyDescent="0.25">
      <c r="A147" s="16"/>
      <c r="U147" s="16"/>
      <c r="V147" s="16"/>
      <c r="W147" s="16"/>
      <c r="AP147" s="16"/>
      <c r="AS147" s="16"/>
    </row>
    <row r="148" spans="1:45" x14ac:dyDescent="0.25">
      <c r="A148" s="16"/>
      <c r="U148" s="16"/>
      <c r="V148" s="16"/>
      <c r="W148" s="16"/>
      <c r="AP148" s="16"/>
      <c r="AS148" s="16"/>
    </row>
    <row r="149" spans="1:45" x14ac:dyDescent="0.25">
      <c r="A149" s="16"/>
      <c r="U149" s="16"/>
      <c r="V149" s="16"/>
      <c r="W149" s="16"/>
      <c r="AP149" s="16"/>
      <c r="AS149" s="16"/>
    </row>
    <row r="150" spans="1:45" x14ac:dyDescent="0.25">
      <c r="A150" s="16"/>
      <c r="U150" s="16"/>
      <c r="V150" s="16"/>
      <c r="W150" s="16"/>
      <c r="AP150" s="16"/>
      <c r="AS150" s="16"/>
    </row>
    <row r="151" spans="1:45" x14ac:dyDescent="0.25">
      <c r="A151" s="16"/>
      <c r="U151" s="16"/>
      <c r="V151" s="16"/>
      <c r="W151" s="16"/>
      <c r="AP151" s="16"/>
      <c r="AS151" s="16"/>
    </row>
    <row r="152" spans="1:45" x14ac:dyDescent="0.25">
      <c r="A152" s="16"/>
      <c r="U152" s="16"/>
      <c r="V152" s="16"/>
      <c r="W152" s="16"/>
      <c r="AP152" s="16"/>
      <c r="AS152" s="16"/>
    </row>
    <row r="153" spans="1:45" x14ac:dyDescent="0.25">
      <c r="A153" s="16"/>
      <c r="U153" s="16"/>
      <c r="V153" s="16"/>
      <c r="W153" s="16"/>
      <c r="AP153" s="16"/>
      <c r="AS153" s="16"/>
    </row>
    <row r="154" spans="1:45" x14ac:dyDescent="0.25">
      <c r="A154" s="16"/>
      <c r="U154" s="16"/>
      <c r="V154" s="16"/>
      <c r="W154" s="16"/>
      <c r="AP154" s="16"/>
      <c r="AS154" s="16"/>
    </row>
    <row r="155" spans="1:45" x14ac:dyDescent="0.25">
      <c r="A155" s="16"/>
      <c r="U155" s="16"/>
      <c r="V155" s="16"/>
      <c r="W155" s="16"/>
      <c r="AP155" s="16"/>
      <c r="AS155" s="16"/>
    </row>
    <row r="156" spans="1:45" x14ac:dyDescent="0.25">
      <c r="A156" s="16"/>
      <c r="U156" s="16"/>
      <c r="V156" s="16"/>
      <c r="W156" s="16"/>
      <c r="AP156" s="16"/>
      <c r="AS156" s="16"/>
    </row>
    <row r="157" spans="1:45" x14ac:dyDescent="0.25">
      <c r="A157" s="16"/>
      <c r="U157" s="16"/>
      <c r="V157" s="16"/>
      <c r="W157" s="16"/>
      <c r="AP157" s="16"/>
      <c r="AS157" s="16"/>
    </row>
    <row r="158" spans="1:45" x14ac:dyDescent="0.25">
      <c r="A158" s="16"/>
      <c r="U158" s="16"/>
      <c r="V158" s="16"/>
      <c r="W158" s="16"/>
      <c r="AP158" s="16"/>
      <c r="AS158" s="16"/>
    </row>
    <row r="159" spans="1:45" x14ac:dyDescent="0.25">
      <c r="A159" s="16"/>
      <c r="U159" s="16"/>
      <c r="V159" s="16"/>
      <c r="W159" s="16"/>
      <c r="AP159" s="16"/>
      <c r="AS159" s="16"/>
    </row>
    <row r="160" spans="1:45" x14ac:dyDescent="0.25">
      <c r="A160" s="16"/>
      <c r="U160" s="16"/>
      <c r="V160" s="16"/>
      <c r="W160" s="16"/>
      <c r="AP160" s="16"/>
      <c r="AS160" s="16"/>
    </row>
    <row r="161" spans="1:45" x14ac:dyDescent="0.25">
      <c r="A161" s="16"/>
      <c r="U161" s="16"/>
      <c r="V161" s="16"/>
      <c r="W161" s="16"/>
      <c r="AP161" s="16"/>
      <c r="AS161" s="16"/>
    </row>
    <row r="162" spans="1:45" x14ac:dyDescent="0.25">
      <c r="A162" s="16"/>
      <c r="U162" s="16"/>
      <c r="V162" s="16"/>
      <c r="W162" s="16"/>
      <c r="AP162" s="16"/>
      <c r="AS162" s="16"/>
    </row>
    <row r="163" spans="1:45" x14ac:dyDescent="0.25">
      <c r="A163" s="16"/>
      <c r="U163" s="16"/>
      <c r="V163" s="16"/>
      <c r="W163" s="16"/>
      <c r="AP163" s="16"/>
      <c r="AS163" s="16"/>
    </row>
    <row r="164" spans="1:45" x14ac:dyDescent="0.25">
      <c r="A164" s="16"/>
      <c r="U164" s="16"/>
      <c r="V164" s="16"/>
      <c r="W164" s="16"/>
      <c r="AP164" s="16"/>
      <c r="AS164" s="16"/>
    </row>
    <row r="165" spans="1:45" x14ac:dyDescent="0.25">
      <c r="A165" s="16"/>
      <c r="U165" s="16"/>
      <c r="V165" s="16"/>
      <c r="W165" s="16"/>
      <c r="AP165" s="16"/>
      <c r="AS165" s="16"/>
    </row>
    <row r="166" spans="1:45" x14ac:dyDescent="0.25">
      <c r="A166" s="16"/>
      <c r="U166" s="16"/>
      <c r="V166" s="16"/>
      <c r="W166" s="16"/>
      <c r="AP166" s="16"/>
      <c r="AS166" s="16"/>
    </row>
    <row r="167" spans="1:45" x14ac:dyDescent="0.25">
      <c r="A167" s="16"/>
      <c r="U167" s="16"/>
      <c r="V167" s="16"/>
      <c r="W167" s="16"/>
      <c r="AP167" s="16"/>
      <c r="AS167" s="16"/>
    </row>
    <row r="168" spans="1:45" x14ac:dyDescent="0.25">
      <c r="A168" s="16"/>
      <c r="U168" s="16"/>
      <c r="V168" s="16"/>
      <c r="W168" s="16"/>
      <c r="AP168" s="16"/>
      <c r="AS168" s="16"/>
    </row>
    <row r="169" spans="1:45" x14ac:dyDescent="0.25">
      <c r="A169" s="16"/>
      <c r="U169" s="16"/>
      <c r="V169" s="16"/>
      <c r="W169" s="16"/>
      <c r="AP169" s="16"/>
      <c r="AS169" s="16"/>
    </row>
    <row r="170" spans="1:45" x14ac:dyDescent="0.25">
      <c r="A170" s="16"/>
      <c r="U170" s="16"/>
      <c r="V170" s="16"/>
      <c r="W170" s="16"/>
      <c r="AP170" s="16"/>
      <c r="AS170" s="16"/>
    </row>
    <row r="171" spans="1:45" x14ac:dyDescent="0.25">
      <c r="A171" s="16"/>
      <c r="U171" s="16"/>
      <c r="V171" s="16"/>
      <c r="W171" s="16"/>
      <c r="AP171" s="16"/>
      <c r="AS171" s="16"/>
    </row>
    <row r="172" spans="1:45" x14ac:dyDescent="0.25">
      <c r="A172" s="16"/>
      <c r="U172" s="16"/>
      <c r="V172" s="16"/>
      <c r="W172" s="16"/>
      <c r="AP172" s="16"/>
      <c r="AS172" s="16"/>
    </row>
    <row r="173" spans="1:45" x14ac:dyDescent="0.25">
      <c r="A173" s="16"/>
      <c r="U173" s="16"/>
      <c r="V173" s="16"/>
      <c r="W173" s="16"/>
      <c r="AP173" s="16"/>
      <c r="AS173" s="16"/>
    </row>
    <row r="174" spans="1:45" x14ac:dyDescent="0.25">
      <c r="A174" s="16"/>
      <c r="U174" s="16"/>
      <c r="V174" s="16"/>
      <c r="W174" s="16"/>
      <c r="AP174" s="16"/>
      <c r="AS174" s="16"/>
    </row>
    <row r="175" spans="1:45" x14ac:dyDescent="0.25">
      <c r="A175" s="16"/>
      <c r="U175" s="16"/>
      <c r="V175" s="16"/>
      <c r="W175" s="16"/>
      <c r="AP175" s="16"/>
      <c r="AS175" s="16"/>
    </row>
    <row r="176" spans="1:45" x14ac:dyDescent="0.25">
      <c r="A176" s="16"/>
      <c r="U176" s="16"/>
      <c r="V176" s="16"/>
      <c r="W176" s="16"/>
      <c r="AP176" s="16"/>
      <c r="AS176" s="16"/>
    </row>
    <row r="177" spans="1:45" x14ac:dyDescent="0.25">
      <c r="A177" s="16"/>
      <c r="U177" s="16"/>
      <c r="V177" s="16"/>
      <c r="W177" s="16"/>
      <c r="AP177" s="16"/>
      <c r="AS177" s="16"/>
    </row>
    <row r="178" spans="1:45" x14ac:dyDescent="0.25">
      <c r="A178" s="16"/>
      <c r="U178" s="16"/>
      <c r="V178" s="16"/>
      <c r="W178" s="16"/>
      <c r="AP178" s="16"/>
      <c r="AS178" s="16"/>
    </row>
    <row r="179" spans="1:45" x14ac:dyDescent="0.25">
      <c r="A179" s="16"/>
      <c r="U179" s="16"/>
      <c r="V179" s="16"/>
      <c r="W179" s="16"/>
      <c r="AP179" s="16"/>
      <c r="AS179" s="16"/>
    </row>
    <row r="180" spans="1:45" x14ac:dyDescent="0.25">
      <c r="A180" s="16"/>
      <c r="U180" s="16"/>
      <c r="V180" s="16"/>
      <c r="W180" s="16"/>
      <c r="AP180" s="16"/>
      <c r="AS180" s="16"/>
    </row>
    <row r="181" spans="1:45" x14ac:dyDescent="0.25">
      <c r="A181" s="16"/>
      <c r="U181" s="16"/>
      <c r="V181" s="16"/>
      <c r="W181" s="16"/>
      <c r="AP181" s="16"/>
      <c r="AS181" s="16"/>
    </row>
    <row r="182" spans="1:45" x14ac:dyDescent="0.25">
      <c r="A182" s="16"/>
      <c r="U182" s="16"/>
      <c r="V182" s="16"/>
      <c r="W182" s="16"/>
      <c r="AP182" s="16"/>
      <c r="AS182" s="16"/>
    </row>
    <row r="183" spans="1:45" x14ac:dyDescent="0.25">
      <c r="A183" s="16"/>
      <c r="U183" s="16"/>
      <c r="V183" s="16"/>
      <c r="W183" s="16"/>
      <c r="AP183" s="16"/>
      <c r="AS183" s="16"/>
    </row>
    <row r="184" spans="1:45" x14ac:dyDescent="0.25">
      <c r="A184" s="16"/>
      <c r="U184" s="16"/>
      <c r="V184" s="16"/>
      <c r="W184" s="16"/>
      <c r="AP184" s="16"/>
      <c r="AS184" s="16"/>
    </row>
    <row r="185" spans="1:45" x14ac:dyDescent="0.25">
      <c r="A185" s="16"/>
      <c r="U185" s="16"/>
      <c r="V185" s="16"/>
      <c r="W185" s="16"/>
      <c r="AP185" s="16"/>
      <c r="AS185" s="16"/>
    </row>
    <row r="186" spans="1:45" x14ac:dyDescent="0.25">
      <c r="A186" s="16"/>
      <c r="U186" s="16"/>
      <c r="V186" s="16"/>
      <c r="W186" s="16"/>
      <c r="AP186" s="16"/>
      <c r="AS186" s="16"/>
    </row>
    <row r="187" spans="1:45" x14ac:dyDescent="0.25">
      <c r="A187" s="16"/>
      <c r="U187" s="16"/>
      <c r="V187" s="16"/>
      <c r="W187" s="16"/>
      <c r="AP187" s="16"/>
      <c r="AS187" s="16"/>
    </row>
    <row r="188" spans="1:45" x14ac:dyDescent="0.25">
      <c r="A188" s="16"/>
      <c r="U188" s="16"/>
      <c r="V188" s="16"/>
      <c r="W188" s="16"/>
      <c r="AP188" s="16"/>
      <c r="AS188" s="16"/>
    </row>
    <row r="189" spans="1:45" x14ac:dyDescent="0.25">
      <c r="A189" s="16"/>
      <c r="U189" s="16"/>
      <c r="V189" s="16"/>
      <c r="W189" s="16"/>
      <c r="AP189" s="16"/>
      <c r="AS189" s="16"/>
    </row>
    <row r="190" spans="1:45" x14ac:dyDescent="0.25">
      <c r="A190" s="16"/>
      <c r="U190" s="16"/>
      <c r="V190" s="16"/>
      <c r="W190" s="16"/>
      <c r="AP190" s="16"/>
      <c r="AS190" s="16"/>
    </row>
    <row r="191" spans="1:45" x14ac:dyDescent="0.25">
      <c r="A191" s="16"/>
      <c r="U191" s="16"/>
      <c r="V191" s="16"/>
      <c r="W191" s="16"/>
      <c r="AP191" s="16"/>
      <c r="AS191" s="16"/>
    </row>
    <row r="192" spans="1:45" x14ac:dyDescent="0.25">
      <c r="A192" s="16"/>
      <c r="U192" s="16"/>
      <c r="V192" s="16"/>
      <c r="W192" s="16"/>
      <c r="AP192" s="16"/>
      <c r="AS192" s="16"/>
    </row>
    <row r="193" spans="1:45" x14ac:dyDescent="0.25">
      <c r="A193" s="16"/>
      <c r="U193" s="16"/>
      <c r="V193" s="16"/>
      <c r="W193" s="16"/>
      <c r="AP193" s="16"/>
      <c r="AS193" s="16"/>
    </row>
    <row r="194" spans="1:45" x14ac:dyDescent="0.25">
      <c r="A194" s="16"/>
      <c r="U194" s="16"/>
      <c r="V194" s="16"/>
      <c r="W194" s="16"/>
      <c r="AP194" s="16"/>
      <c r="AS194" s="16"/>
    </row>
    <row r="195" spans="1:45" x14ac:dyDescent="0.25">
      <c r="A195" s="16"/>
      <c r="U195" s="16"/>
      <c r="V195" s="16"/>
      <c r="W195" s="16"/>
      <c r="AP195" s="16"/>
      <c r="AS195" s="16"/>
    </row>
    <row r="196" spans="1:45" x14ac:dyDescent="0.25">
      <c r="A196" s="16"/>
      <c r="U196" s="16"/>
      <c r="V196" s="16"/>
      <c r="W196" s="16"/>
      <c r="AP196" s="16"/>
      <c r="AS196" s="16"/>
    </row>
    <row r="197" spans="1:45" x14ac:dyDescent="0.25">
      <c r="A197" s="16"/>
      <c r="U197" s="16"/>
      <c r="V197" s="16"/>
      <c r="W197" s="16"/>
      <c r="AP197" s="16"/>
      <c r="AS197" s="16"/>
    </row>
    <row r="198" spans="1:45" x14ac:dyDescent="0.25">
      <c r="A198" s="16"/>
      <c r="U198" s="16"/>
      <c r="V198" s="16"/>
      <c r="W198" s="16"/>
      <c r="AP198" s="16"/>
      <c r="AS198" s="16"/>
    </row>
    <row r="199" spans="1:45" x14ac:dyDescent="0.25">
      <c r="A199" s="16"/>
      <c r="U199" s="16"/>
      <c r="V199" s="16"/>
      <c r="W199" s="16"/>
      <c r="AP199" s="16"/>
      <c r="AS199" s="16"/>
    </row>
    <row r="200" spans="1:45" x14ac:dyDescent="0.25">
      <c r="A200" s="16"/>
      <c r="U200" s="16"/>
      <c r="V200" s="16"/>
      <c r="W200" s="16"/>
      <c r="AP200" s="16"/>
      <c r="AS200" s="16"/>
    </row>
    <row r="201" spans="1:45" x14ac:dyDescent="0.25">
      <c r="A201" s="16"/>
      <c r="U201" s="16"/>
      <c r="V201" s="16"/>
      <c r="W201" s="16"/>
      <c r="AP201" s="16"/>
      <c r="AS201" s="16"/>
    </row>
    <row r="202" spans="1:45" x14ac:dyDescent="0.25">
      <c r="A202" s="16"/>
      <c r="U202" s="16"/>
      <c r="V202" s="16"/>
      <c r="W202" s="16"/>
      <c r="AP202" s="16"/>
      <c r="AS202" s="16"/>
    </row>
    <row r="203" spans="1:45" x14ac:dyDescent="0.25">
      <c r="A203" s="16"/>
      <c r="U203" s="16"/>
      <c r="V203" s="16"/>
      <c r="W203" s="16"/>
      <c r="AP203" s="16"/>
      <c r="AS203" s="16"/>
    </row>
    <row r="204" spans="1:45" x14ac:dyDescent="0.25">
      <c r="A204" s="16"/>
      <c r="U204" s="16"/>
      <c r="V204" s="16"/>
      <c r="W204" s="16"/>
      <c r="AP204" s="16"/>
      <c r="AS204" s="16"/>
    </row>
    <row r="205" spans="1:45" x14ac:dyDescent="0.25">
      <c r="A205" s="16"/>
      <c r="U205" s="16"/>
      <c r="V205" s="16"/>
      <c r="W205" s="16"/>
      <c r="AP205" s="16"/>
      <c r="AS205" s="16"/>
    </row>
    <row r="206" spans="1:45" x14ac:dyDescent="0.25">
      <c r="A206" s="16"/>
      <c r="U206" s="16"/>
      <c r="V206" s="16"/>
      <c r="W206" s="16"/>
      <c r="AP206" s="16"/>
      <c r="AS206" s="16"/>
    </row>
    <row r="207" spans="1:45" x14ac:dyDescent="0.25">
      <c r="A207" s="16"/>
      <c r="U207" s="16"/>
      <c r="V207" s="16"/>
      <c r="W207" s="16"/>
      <c r="AP207" s="16"/>
      <c r="AS207" s="16"/>
    </row>
    <row r="208" spans="1:45" x14ac:dyDescent="0.25">
      <c r="A208" s="16"/>
      <c r="U208" s="16"/>
      <c r="V208" s="16"/>
      <c r="W208" s="16"/>
      <c r="AP208" s="16"/>
      <c r="AS208" s="16"/>
    </row>
    <row r="209" spans="1:45" x14ac:dyDescent="0.25">
      <c r="A209" s="16"/>
      <c r="U209" s="16"/>
      <c r="V209" s="16"/>
      <c r="W209" s="16"/>
      <c r="AP209" s="16"/>
      <c r="AS209" s="16"/>
    </row>
    <row r="210" spans="1:45" x14ac:dyDescent="0.25">
      <c r="A210" s="16"/>
      <c r="U210" s="16"/>
      <c r="V210" s="16"/>
      <c r="W210" s="16"/>
      <c r="AP210" s="16"/>
      <c r="AS210" s="16"/>
    </row>
    <row r="211" spans="1:45" x14ac:dyDescent="0.25">
      <c r="A211" s="16"/>
      <c r="U211" s="16"/>
      <c r="V211" s="16"/>
      <c r="W211" s="16"/>
      <c r="AP211" s="16"/>
      <c r="AS211" s="16"/>
    </row>
    <row r="212" spans="1:45" x14ac:dyDescent="0.25">
      <c r="A212" s="16"/>
      <c r="U212" s="16"/>
      <c r="V212" s="16"/>
      <c r="W212" s="16"/>
      <c r="AP212" s="16"/>
      <c r="AS212" s="16"/>
    </row>
    <row r="213" spans="1:45" x14ac:dyDescent="0.25">
      <c r="A213" s="16"/>
      <c r="U213" s="16"/>
      <c r="V213" s="16"/>
      <c r="W213" s="16"/>
      <c r="AP213" s="16"/>
      <c r="AS213" s="16"/>
    </row>
    <row r="214" spans="1:45" x14ac:dyDescent="0.25">
      <c r="A214" s="16"/>
      <c r="U214" s="16"/>
      <c r="V214" s="16"/>
      <c r="W214" s="16"/>
      <c r="AP214" s="16"/>
      <c r="AS214" s="16"/>
    </row>
    <row r="215" spans="1:45" x14ac:dyDescent="0.25">
      <c r="A215" s="16"/>
      <c r="U215" s="16"/>
      <c r="V215" s="16"/>
      <c r="W215" s="16"/>
      <c r="AP215" s="16"/>
      <c r="AS215" s="16"/>
    </row>
    <row r="216" spans="1:45" x14ac:dyDescent="0.25">
      <c r="A216" s="16"/>
      <c r="U216" s="16"/>
      <c r="V216" s="16"/>
      <c r="W216" s="16"/>
      <c r="AP216" s="16"/>
      <c r="AS216" s="16"/>
    </row>
    <row r="217" spans="1:45" x14ac:dyDescent="0.25">
      <c r="A217" s="16"/>
      <c r="U217" s="16"/>
      <c r="V217" s="16"/>
      <c r="W217" s="16"/>
      <c r="AP217" s="16"/>
      <c r="AS217" s="16"/>
    </row>
    <row r="218" spans="1:45" x14ac:dyDescent="0.25">
      <c r="A218" s="16"/>
      <c r="U218" s="16"/>
      <c r="V218" s="16"/>
      <c r="W218" s="16"/>
      <c r="AP218" s="16"/>
      <c r="AS218" s="16"/>
    </row>
    <row r="219" spans="1:45" x14ac:dyDescent="0.25">
      <c r="A219" s="16"/>
      <c r="U219" s="16"/>
      <c r="V219" s="16"/>
      <c r="W219" s="16"/>
      <c r="AP219" s="16"/>
      <c r="AS219" s="16"/>
    </row>
    <row r="220" spans="1:45" x14ac:dyDescent="0.25">
      <c r="A220" s="16"/>
      <c r="U220" s="16"/>
      <c r="V220" s="16"/>
      <c r="W220" s="16"/>
      <c r="AP220" s="16"/>
      <c r="AS220" s="16"/>
    </row>
    <row r="221" spans="1:45" x14ac:dyDescent="0.25">
      <c r="A221" s="16"/>
      <c r="U221" s="16"/>
      <c r="V221" s="16"/>
      <c r="W221" s="16"/>
      <c r="AP221" s="16"/>
      <c r="AS221" s="16"/>
    </row>
    <row r="222" spans="1:45" x14ac:dyDescent="0.25">
      <c r="A222" s="16"/>
      <c r="U222" s="16"/>
      <c r="V222" s="16"/>
      <c r="W222" s="16"/>
      <c r="AP222" s="16"/>
      <c r="AS222" s="16"/>
    </row>
    <row r="223" spans="1:45" x14ac:dyDescent="0.25">
      <c r="A223" s="16"/>
      <c r="U223" s="16"/>
      <c r="V223" s="16"/>
      <c r="W223" s="16"/>
      <c r="AP223" s="16"/>
      <c r="AS223" s="16"/>
    </row>
    <row r="224" spans="1:45" x14ac:dyDescent="0.25">
      <c r="A224" s="16"/>
      <c r="U224" s="16"/>
      <c r="V224" s="16"/>
      <c r="W224" s="16"/>
      <c r="AP224" s="16"/>
      <c r="AS224" s="16"/>
    </row>
    <row r="225" spans="1:45" x14ac:dyDescent="0.25">
      <c r="A225" s="16"/>
      <c r="U225" s="16"/>
      <c r="V225" s="16"/>
      <c r="W225" s="16"/>
      <c r="AP225" s="16"/>
      <c r="AS225" s="16"/>
    </row>
    <row r="226" spans="1:45" x14ac:dyDescent="0.25">
      <c r="A226" s="16"/>
      <c r="U226" s="16"/>
      <c r="V226" s="16"/>
      <c r="W226" s="16"/>
      <c r="AP226" s="16"/>
      <c r="AS226" s="16"/>
    </row>
    <row r="227" spans="1:45" x14ac:dyDescent="0.25">
      <c r="A227" s="16"/>
      <c r="U227" s="16"/>
      <c r="V227" s="16"/>
      <c r="W227" s="16"/>
      <c r="AP227" s="16"/>
      <c r="AS227" s="16"/>
    </row>
    <row r="228" spans="1:45" x14ac:dyDescent="0.25">
      <c r="A228" s="16"/>
      <c r="U228" s="16"/>
      <c r="V228" s="16"/>
      <c r="W228" s="16"/>
      <c r="AP228" s="16"/>
      <c r="AS228" s="16"/>
    </row>
    <row r="229" spans="1:45" x14ac:dyDescent="0.25">
      <c r="A229" s="16"/>
      <c r="U229" s="16"/>
      <c r="V229" s="16"/>
      <c r="W229" s="16"/>
      <c r="AP229" s="16"/>
      <c r="AS229" s="16"/>
    </row>
    <row r="230" spans="1:45" x14ac:dyDescent="0.25">
      <c r="A230" s="16"/>
      <c r="U230" s="16"/>
      <c r="V230" s="16"/>
      <c r="W230" s="16"/>
      <c r="AP230" s="16"/>
      <c r="AS230" s="16"/>
    </row>
    <row r="231" spans="1:45" x14ac:dyDescent="0.25">
      <c r="A231" s="16"/>
      <c r="U231" s="16"/>
      <c r="V231" s="16"/>
      <c r="W231" s="16"/>
      <c r="AP231" s="16"/>
      <c r="AS231" s="16"/>
    </row>
    <row r="232" spans="1:45" x14ac:dyDescent="0.25">
      <c r="A232" s="16"/>
      <c r="U232" s="16"/>
      <c r="V232" s="16"/>
      <c r="W232" s="16"/>
      <c r="AP232" s="16"/>
      <c r="AS232" s="16"/>
    </row>
    <row r="233" spans="1:45" x14ac:dyDescent="0.25">
      <c r="A233" s="16"/>
      <c r="U233" s="16"/>
      <c r="V233" s="16"/>
      <c r="W233" s="16"/>
      <c r="AP233" s="16"/>
      <c r="AS233" s="16"/>
    </row>
    <row r="234" spans="1:45" x14ac:dyDescent="0.25">
      <c r="A234" s="16"/>
      <c r="U234" s="16"/>
      <c r="V234" s="16"/>
      <c r="W234" s="16"/>
      <c r="AP234" s="16"/>
      <c r="AS234" s="16"/>
    </row>
    <row r="235" spans="1:45" x14ac:dyDescent="0.25">
      <c r="A235" s="16"/>
      <c r="U235" s="16"/>
      <c r="V235" s="16"/>
      <c r="W235" s="16"/>
      <c r="AP235" s="16"/>
      <c r="AS235" s="16"/>
    </row>
    <row r="236" spans="1:45" x14ac:dyDescent="0.25">
      <c r="A236" s="16"/>
      <c r="U236" s="16"/>
      <c r="V236" s="16"/>
      <c r="W236" s="16"/>
      <c r="AP236" s="16"/>
      <c r="AS236" s="16"/>
    </row>
    <row r="237" spans="1:45" x14ac:dyDescent="0.25">
      <c r="A237" s="16"/>
      <c r="U237" s="16"/>
      <c r="V237" s="16"/>
      <c r="W237" s="16"/>
      <c r="AP237" s="16"/>
      <c r="AS237" s="16"/>
    </row>
    <row r="238" spans="1:45" x14ac:dyDescent="0.25">
      <c r="A238" s="16"/>
      <c r="U238" s="16"/>
      <c r="V238" s="16"/>
      <c r="W238" s="16"/>
      <c r="AP238" s="16"/>
      <c r="AS238" s="16"/>
    </row>
    <row r="239" spans="1:45" x14ac:dyDescent="0.25">
      <c r="A239" s="16"/>
      <c r="U239" s="16"/>
      <c r="V239" s="16"/>
      <c r="W239" s="16"/>
      <c r="AP239" s="16"/>
      <c r="AS239" s="16"/>
    </row>
    <row r="240" spans="1:45" x14ac:dyDescent="0.25">
      <c r="A240" s="16"/>
      <c r="U240" s="16"/>
      <c r="V240" s="16"/>
      <c r="W240" s="16"/>
      <c r="AP240" s="16"/>
      <c r="AS240" s="16"/>
    </row>
    <row r="241" spans="1:45" x14ac:dyDescent="0.25">
      <c r="A241" s="16"/>
      <c r="U241" s="16"/>
      <c r="V241" s="16"/>
      <c r="W241" s="16"/>
      <c r="AP241" s="16"/>
      <c r="AS241" s="16"/>
    </row>
    <row r="242" spans="1:45" x14ac:dyDescent="0.25">
      <c r="A242" s="16"/>
      <c r="U242" s="16"/>
      <c r="V242" s="16"/>
      <c r="W242" s="16"/>
      <c r="AP242" s="16"/>
      <c r="AS242" s="16"/>
    </row>
    <row r="243" spans="1:45" x14ac:dyDescent="0.25">
      <c r="A243" s="16"/>
      <c r="U243" s="16"/>
      <c r="V243" s="16"/>
      <c r="W243" s="16"/>
      <c r="AP243" s="16"/>
      <c r="AS243" s="16"/>
    </row>
    <row r="244" spans="1:45" x14ac:dyDescent="0.25">
      <c r="A244" s="16"/>
      <c r="U244" s="16"/>
      <c r="V244" s="16"/>
      <c r="W244" s="16"/>
      <c r="AP244" s="16"/>
      <c r="AS244" s="16"/>
    </row>
    <row r="245" spans="1:45" x14ac:dyDescent="0.25">
      <c r="A245" s="16"/>
      <c r="U245" s="16"/>
      <c r="V245" s="16"/>
      <c r="W245" s="16"/>
      <c r="AP245" s="16"/>
      <c r="AS245" s="16"/>
    </row>
    <row r="246" spans="1:45" x14ac:dyDescent="0.25">
      <c r="A246" s="16"/>
      <c r="U246" s="16"/>
      <c r="V246" s="16"/>
      <c r="W246" s="16"/>
      <c r="AP246" s="16"/>
      <c r="AS246" s="16"/>
    </row>
    <row r="247" spans="1:45" x14ac:dyDescent="0.25">
      <c r="A247" s="16"/>
      <c r="U247" s="16"/>
      <c r="V247" s="16"/>
      <c r="W247" s="16"/>
      <c r="AP247" s="16"/>
      <c r="AS247" s="16"/>
    </row>
    <row r="248" spans="1:45" x14ac:dyDescent="0.25">
      <c r="A248" s="16"/>
      <c r="U248" s="16"/>
      <c r="V248" s="16"/>
      <c r="W248" s="16"/>
      <c r="AP248" s="16"/>
      <c r="AS248" s="16"/>
    </row>
    <row r="249" spans="1:45" x14ac:dyDescent="0.25">
      <c r="A249" s="16"/>
      <c r="U249" s="16"/>
      <c r="V249" s="16"/>
      <c r="W249" s="16"/>
      <c r="AP249" s="16"/>
      <c r="AS249" s="16"/>
    </row>
    <row r="250" spans="1:45" x14ac:dyDescent="0.25">
      <c r="A250" s="16"/>
      <c r="U250" s="16"/>
      <c r="V250" s="16"/>
      <c r="W250" s="16"/>
      <c r="AP250" s="16"/>
      <c r="AS250" s="16"/>
    </row>
    <row r="251" spans="1:45" x14ac:dyDescent="0.25">
      <c r="A251" s="16"/>
      <c r="U251" s="16"/>
      <c r="V251" s="16"/>
      <c r="W251" s="16"/>
      <c r="AP251" s="16"/>
      <c r="AS251" s="16"/>
    </row>
    <row r="252" spans="1:45" x14ac:dyDescent="0.25">
      <c r="A252" s="16"/>
      <c r="U252" s="16"/>
      <c r="V252" s="16"/>
      <c r="W252" s="16"/>
      <c r="AP252" s="16"/>
      <c r="AS252" s="16"/>
    </row>
    <row r="253" spans="1:45" x14ac:dyDescent="0.25">
      <c r="A253" s="16"/>
      <c r="U253" s="16"/>
      <c r="V253" s="16"/>
      <c r="W253" s="16"/>
      <c r="AP253" s="16"/>
      <c r="AS253" s="16"/>
    </row>
    <row r="254" spans="1:45" x14ac:dyDescent="0.25">
      <c r="A254" s="16"/>
      <c r="U254" s="16"/>
      <c r="V254" s="16"/>
      <c r="W254" s="16"/>
      <c r="AP254" s="16"/>
      <c r="AS254" s="16"/>
    </row>
    <row r="255" spans="1:45" x14ac:dyDescent="0.25">
      <c r="A255" s="16"/>
      <c r="U255" s="16"/>
      <c r="V255" s="16"/>
      <c r="W255" s="16"/>
      <c r="AP255" s="16"/>
      <c r="AS255" s="16"/>
    </row>
    <row r="256" spans="1:45" x14ac:dyDescent="0.25">
      <c r="A256" s="16"/>
      <c r="U256" s="16"/>
      <c r="V256" s="16"/>
      <c r="W256" s="16"/>
      <c r="AP256" s="16"/>
      <c r="AS256" s="16"/>
    </row>
    <row r="257" spans="1:45" x14ac:dyDescent="0.25">
      <c r="A257" s="16"/>
      <c r="U257" s="16"/>
      <c r="V257" s="16"/>
      <c r="W257" s="16"/>
      <c r="AP257" s="16"/>
      <c r="AS257" s="16"/>
    </row>
    <row r="258" spans="1:45" x14ac:dyDescent="0.25">
      <c r="A258" s="16"/>
      <c r="U258" s="16"/>
      <c r="V258" s="16"/>
      <c r="W258" s="16"/>
      <c r="AP258" s="16"/>
      <c r="AS258" s="16"/>
    </row>
    <row r="259" spans="1:45" x14ac:dyDescent="0.25">
      <c r="A259" s="16"/>
      <c r="U259" s="16"/>
      <c r="V259" s="16"/>
      <c r="W259" s="16"/>
      <c r="AP259" s="16"/>
      <c r="AS259" s="16"/>
    </row>
    <row r="260" spans="1:45" x14ac:dyDescent="0.25">
      <c r="A260" s="16"/>
      <c r="U260" s="16"/>
      <c r="V260" s="16"/>
      <c r="W260" s="16"/>
      <c r="AP260" s="16"/>
      <c r="AS260" s="16"/>
    </row>
    <row r="261" spans="1:45" x14ac:dyDescent="0.25">
      <c r="A261" s="16"/>
      <c r="U261" s="16"/>
      <c r="V261" s="16"/>
      <c r="W261" s="16"/>
      <c r="AP261" s="16"/>
      <c r="AS261" s="16"/>
    </row>
    <row r="262" spans="1:45" x14ac:dyDescent="0.25">
      <c r="A262" s="16"/>
      <c r="U262" s="16"/>
      <c r="V262" s="16"/>
      <c r="W262" s="16"/>
      <c r="AP262" s="16"/>
      <c r="AS262" s="16"/>
    </row>
    <row r="263" spans="1:45" x14ac:dyDescent="0.25">
      <c r="A263" s="16"/>
      <c r="U263" s="16"/>
      <c r="V263" s="16"/>
      <c r="W263" s="16"/>
      <c r="AP263" s="16"/>
      <c r="AS263" s="16"/>
    </row>
    <row r="264" spans="1:45" x14ac:dyDescent="0.25">
      <c r="A264" s="16"/>
      <c r="U264" s="16"/>
      <c r="V264" s="16"/>
      <c r="W264" s="16"/>
      <c r="AP264" s="16"/>
      <c r="AS264" s="16"/>
    </row>
    <row r="265" spans="1:45" x14ac:dyDescent="0.25">
      <c r="A265" s="16"/>
      <c r="U265" s="16"/>
      <c r="V265" s="16"/>
      <c r="W265" s="16"/>
      <c r="AP265" s="16"/>
      <c r="AS265" s="16"/>
    </row>
    <row r="266" spans="1:45" x14ac:dyDescent="0.25">
      <c r="A266" s="16"/>
      <c r="U266" s="16"/>
      <c r="V266" s="16"/>
      <c r="W266" s="16"/>
      <c r="AP266" s="16"/>
      <c r="AS266" s="16"/>
    </row>
    <row r="267" spans="1:45" x14ac:dyDescent="0.25">
      <c r="A267" s="16"/>
      <c r="U267" s="16"/>
      <c r="V267" s="16"/>
      <c r="W267" s="16"/>
      <c r="AP267" s="16"/>
      <c r="AS267" s="16"/>
    </row>
    <row r="268" spans="1:45" x14ac:dyDescent="0.25">
      <c r="A268" s="16"/>
      <c r="U268" s="16"/>
      <c r="V268" s="16"/>
      <c r="W268" s="16"/>
      <c r="AP268" s="16"/>
      <c r="AS268" s="16"/>
    </row>
    <row r="269" spans="1:45" x14ac:dyDescent="0.25">
      <c r="A269" s="16"/>
      <c r="U269" s="16"/>
      <c r="V269" s="16"/>
      <c r="W269" s="16"/>
      <c r="AP269" s="16"/>
      <c r="AS269" s="16"/>
    </row>
    <row r="270" spans="1:45" x14ac:dyDescent="0.25">
      <c r="A270" s="16"/>
      <c r="U270" s="16"/>
      <c r="V270" s="16"/>
      <c r="W270" s="16"/>
      <c r="AP270" s="16"/>
      <c r="AS270" s="16"/>
    </row>
    <row r="271" spans="1:45" x14ac:dyDescent="0.25">
      <c r="A271" s="16"/>
      <c r="U271" s="16"/>
      <c r="V271" s="16"/>
      <c r="W271" s="16"/>
      <c r="AP271" s="16"/>
      <c r="AS271" s="16"/>
    </row>
    <row r="272" spans="1:45" x14ac:dyDescent="0.25">
      <c r="A272" s="16"/>
      <c r="U272" s="16"/>
      <c r="V272" s="16"/>
      <c r="W272" s="16"/>
      <c r="AP272" s="16"/>
      <c r="AS272" s="16"/>
    </row>
    <row r="273" spans="1:45" x14ac:dyDescent="0.25">
      <c r="A273" s="16"/>
      <c r="U273" s="16"/>
      <c r="V273" s="16"/>
      <c r="W273" s="16"/>
      <c r="AP273" s="16"/>
      <c r="AS273" s="16"/>
    </row>
    <row r="274" spans="1:45" x14ac:dyDescent="0.25">
      <c r="A274" s="16"/>
      <c r="U274" s="16"/>
      <c r="V274" s="16"/>
      <c r="W274" s="16"/>
      <c r="AP274" s="16"/>
      <c r="AS274" s="16"/>
    </row>
    <row r="275" spans="1:45" x14ac:dyDescent="0.25">
      <c r="A275" s="16"/>
      <c r="U275" s="16"/>
      <c r="V275" s="16"/>
      <c r="W275" s="16"/>
      <c r="AP275" s="16"/>
      <c r="AS275" s="16"/>
    </row>
    <row r="276" spans="1:45" x14ac:dyDescent="0.25">
      <c r="A276" s="16"/>
      <c r="U276" s="16"/>
      <c r="V276" s="16"/>
      <c r="W276" s="16"/>
      <c r="AP276" s="16"/>
      <c r="AS276" s="16"/>
    </row>
    <row r="277" spans="1:45" x14ac:dyDescent="0.25">
      <c r="A277" s="16"/>
      <c r="U277" s="16"/>
      <c r="V277" s="16"/>
      <c r="W277" s="16"/>
      <c r="AP277" s="16"/>
      <c r="AS277" s="16"/>
    </row>
    <row r="278" spans="1:45" x14ac:dyDescent="0.25">
      <c r="A278" s="16"/>
      <c r="U278" s="16"/>
      <c r="V278" s="16"/>
      <c r="W278" s="16"/>
      <c r="AP278" s="16"/>
      <c r="AS278" s="16"/>
    </row>
    <row r="279" spans="1:45" x14ac:dyDescent="0.25">
      <c r="A279" s="16"/>
      <c r="U279" s="16"/>
      <c r="V279" s="16"/>
      <c r="W279" s="16"/>
      <c r="AP279" s="16"/>
      <c r="AS279" s="16"/>
    </row>
    <row r="280" spans="1:45" x14ac:dyDescent="0.25">
      <c r="A280" s="16"/>
      <c r="U280" s="16"/>
      <c r="V280" s="16"/>
      <c r="W280" s="16"/>
      <c r="AP280" s="16"/>
      <c r="AS280" s="16"/>
    </row>
    <row r="281" spans="1:45" x14ac:dyDescent="0.25">
      <c r="A281" s="16"/>
      <c r="U281" s="16"/>
      <c r="V281" s="16"/>
      <c r="W281" s="16"/>
      <c r="AP281" s="16"/>
      <c r="AS281" s="16"/>
    </row>
    <row r="282" spans="1:45" x14ac:dyDescent="0.25">
      <c r="A282" s="16"/>
      <c r="U282" s="16"/>
      <c r="V282" s="16"/>
      <c r="W282" s="16"/>
      <c r="AP282" s="16"/>
      <c r="AS282" s="16"/>
    </row>
    <row r="283" spans="1:45" x14ac:dyDescent="0.25">
      <c r="A283" s="16"/>
      <c r="U283" s="16"/>
      <c r="V283" s="16"/>
      <c r="W283" s="16"/>
      <c r="AP283" s="16"/>
      <c r="AS283" s="16"/>
    </row>
    <row r="284" spans="1:45" x14ac:dyDescent="0.25">
      <c r="A284" s="16"/>
      <c r="U284" s="16"/>
      <c r="V284" s="16"/>
      <c r="W284" s="16"/>
      <c r="AP284" s="16"/>
      <c r="AS284" s="16"/>
    </row>
    <row r="285" spans="1:45" x14ac:dyDescent="0.25">
      <c r="A285" s="16"/>
      <c r="U285" s="16"/>
      <c r="V285" s="16"/>
      <c r="W285" s="16"/>
      <c r="AP285" s="16"/>
      <c r="AS285" s="16"/>
    </row>
    <row r="286" spans="1:45" x14ac:dyDescent="0.25">
      <c r="A286" s="16"/>
      <c r="U286" s="16"/>
      <c r="V286" s="16"/>
      <c r="W286" s="16"/>
      <c r="AP286" s="16"/>
      <c r="AS286" s="16"/>
    </row>
    <row r="287" spans="1:45" x14ac:dyDescent="0.25">
      <c r="A287" s="16"/>
      <c r="U287" s="16"/>
      <c r="V287" s="16"/>
      <c r="W287" s="16"/>
      <c r="AP287" s="16"/>
      <c r="AS287" s="16"/>
    </row>
    <row r="288" spans="1:45" x14ac:dyDescent="0.25">
      <c r="A288" s="16"/>
      <c r="U288" s="16"/>
      <c r="V288" s="16"/>
      <c r="W288" s="16"/>
      <c r="AP288" s="16"/>
      <c r="AS288" s="16"/>
    </row>
    <row r="289" spans="1:45" x14ac:dyDescent="0.25">
      <c r="A289" s="16"/>
      <c r="U289" s="16"/>
      <c r="V289" s="16"/>
      <c r="W289" s="16"/>
      <c r="AP289" s="16"/>
      <c r="AS289" s="16"/>
    </row>
    <row r="290" spans="1:45" x14ac:dyDescent="0.25">
      <c r="A290" s="16"/>
      <c r="U290" s="16"/>
      <c r="V290" s="16"/>
      <c r="W290" s="16"/>
      <c r="AP290" s="16"/>
      <c r="AS290" s="16"/>
    </row>
    <row r="291" spans="1:45" x14ac:dyDescent="0.25">
      <c r="A291" s="16"/>
      <c r="U291" s="16"/>
      <c r="V291" s="16"/>
      <c r="W291" s="16"/>
      <c r="AP291" s="16"/>
      <c r="AS291" s="16"/>
    </row>
    <row r="292" spans="1:45" x14ac:dyDescent="0.25">
      <c r="A292" s="16"/>
      <c r="U292" s="16"/>
      <c r="V292" s="16"/>
      <c r="W292" s="16"/>
      <c r="AP292" s="16"/>
      <c r="AS292" s="16"/>
    </row>
    <row r="293" spans="1:45" x14ac:dyDescent="0.25">
      <c r="A293" s="16"/>
      <c r="U293" s="16"/>
      <c r="V293" s="16"/>
      <c r="W293" s="16"/>
      <c r="AP293" s="16"/>
      <c r="AS293" s="16"/>
    </row>
    <row r="294" spans="1:45" x14ac:dyDescent="0.25">
      <c r="A294" s="16"/>
      <c r="U294" s="16"/>
      <c r="V294" s="16"/>
      <c r="W294" s="16"/>
      <c r="AP294" s="16"/>
      <c r="AS294" s="16"/>
    </row>
    <row r="295" spans="1:45" x14ac:dyDescent="0.25">
      <c r="A295" s="16"/>
      <c r="U295" s="16"/>
      <c r="V295" s="16"/>
      <c r="W295" s="16"/>
      <c r="AP295" s="16"/>
      <c r="AS295" s="16"/>
    </row>
    <row r="296" spans="1:45" x14ac:dyDescent="0.25">
      <c r="A296" s="16"/>
      <c r="U296" s="16"/>
      <c r="V296" s="16"/>
      <c r="W296" s="16"/>
      <c r="AP296" s="16"/>
      <c r="AS296" s="16"/>
    </row>
    <row r="297" spans="1:45" x14ac:dyDescent="0.25">
      <c r="A297" s="16"/>
      <c r="U297" s="16"/>
      <c r="V297" s="16"/>
      <c r="W297" s="16"/>
      <c r="AP297" s="16"/>
      <c r="AS297" s="16"/>
    </row>
    <row r="298" spans="1:45" x14ac:dyDescent="0.25">
      <c r="A298" s="16"/>
      <c r="U298" s="16"/>
      <c r="V298" s="16"/>
      <c r="W298" s="16"/>
      <c r="AP298" s="16"/>
      <c r="AS298" s="16"/>
    </row>
    <row r="299" spans="1:45" x14ac:dyDescent="0.25">
      <c r="A299" s="16"/>
      <c r="U299" s="16"/>
      <c r="V299" s="16"/>
      <c r="W299" s="16"/>
      <c r="AP299" s="16"/>
      <c r="AS299" s="16"/>
    </row>
    <row r="300" spans="1:45" x14ac:dyDescent="0.25">
      <c r="A300" s="16"/>
      <c r="U300" s="16"/>
      <c r="V300" s="16"/>
      <c r="W300" s="16"/>
      <c r="AP300" s="16"/>
      <c r="AS300" s="16"/>
    </row>
    <row r="301" spans="1:45" x14ac:dyDescent="0.25">
      <c r="A301" s="16"/>
      <c r="U301" s="16"/>
      <c r="V301" s="16"/>
      <c r="W301" s="16"/>
      <c r="AP301" s="16"/>
      <c r="AS301" s="16"/>
    </row>
    <row r="302" spans="1:45" x14ac:dyDescent="0.25">
      <c r="A302" s="16"/>
      <c r="U302" s="16"/>
      <c r="V302" s="16"/>
      <c r="W302" s="16"/>
      <c r="AP302" s="16"/>
      <c r="AS302" s="16"/>
    </row>
    <row r="303" spans="1:45" x14ac:dyDescent="0.25">
      <c r="A303" s="16"/>
      <c r="U303" s="16"/>
      <c r="V303" s="16"/>
      <c r="W303" s="16"/>
      <c r="AP303" s="16"/>
      <c r="AS303" s="16"/>
    </row>
    <row r="304" spans="1:45" x14ac:dyDescent="0.25">
      <c r="A304" s="16"/>
      <c r="U304" s="16"/>
      <c r="V304" s="16"/>
      <c r="W304" s="16"/>
      <c r="AP304" s="16"/>
      <c r="AS304" s="16"/>
    </row>
    <row r="305" spans="1:45" x14ac:dyDescent="0.25">
      <c r="A305" s="16"/>
      <c r="U305" s="16"/>
      <c r="V305" s="16"/>
      <c r="W305" s="16"/>
      <c r="AP305" s="16"/>
      <c r="AS305" s="16"/>
    </row>
    <row r="306" spans="1:45" x14ac:dyDescent="0.25">
      <c r="A306" s="16"/>
      <c r="U306" s="16"/>
      <c r="V306" s="16"/>
      <c r="W306" s="16"/>
      <c r="AP306" s="16"/>
      <c r="AS306" s="16"/>
    </row>
    <row r="307" spans="1:45" x14ac:dyDescent="0.25">
      <c r="A307" s="16"/>
      <c r="U307" s="16"/>
      <c r="V307" s="16"/>
      <c r="W307" s="16"/>
      <c r="AP307" s="16"/>
      <c r="AS307" s="16"/>
    </row>
    <row r="308" spans="1:45" x14ac:dyDescent="0.25">
      <c r="A308" s="16"/>
      <c r="U308" s="16"/>
      <c r="V308" s="16"/>
      <c r="W308" s="16"/>
      <c r="AP308" s="16"/>
      <c r="AS308" s="16"/>
    </row>
    <row r="309" spans="1:45" x14ac:dyDescent="0.25">
      <c r="A309" s="16"/>
      <c r="U309" s="16"/>
      <c r="V309" s="16"/>
      <c r="W309" s="16"/>
      <c r="AP309" s="16"/>
      <c r="AS309" s="16"/>
    </row>
    <row r="310" spans="1:45" x14ac:dyDescent="0.25">
      <c r="A310" s="16"/>
      <c r="U310" s="16"/>
      <c r="V310" s="16"/>
      <c r="W310" s="16"/>
      <c r="AP310" s="16"/>
      <c r="AS310" s="16"/>
    </row>
    <row r="311" spans="1:45" x14ac:dyDescent="0.25">
      <c r="A311" s="16"/>
      <c r="U311" s="16"/>
      <c r="V311" s="16"/>
      <c r="W311" s="16"/>
      <c r="AP311" s="16"/>
      <c r="AS311" s="16"/>
    </row>
    <row r="312" spans="1:45" x14ac:dyDescent="0.25">
      <c r="A312" s="16"/>
      <c r="U312" s="16"/>
      <c r="V312" s="16"/>
      <c r="W312" s="16"/>
      <c r="AP312" s="16"/>
      <c r="AS312" s="16"/>
    </row>
    <row r="313" spans="1:45" x14ac:dyDescent="0.25">
      <c r="A313" s="16"/>
      <c r="U313" s="16"/>
      <c r="V313" s="16"/>
      <c r="W313" s="16"/>
      <c r="AP313" s="16"/>
      <c r="AS313" s="16"/>
    </row>
    <row r="314" spans="1:45" x14ac:dyDescent="0.25">
      <c r="A314" s="16"/>
      <c r="U314" s="16"/>
      <c r="V314" s="16"/>
      <c r="W314" s="16"/>
      <c r="AP314" s="16"/>
      <c r="AS314" s="16"/>
    </row>
    <row r="315" spans="1:45" x14ac:dyDescent="0.25">
      <c r="A315" s="16"/>
      <c r="U315" s="16"/>
      <c r="V315" s="16"/>
      <c r="W315" s="16"/>
      <c r="AP315" s="16"/>
      <c r="AS315" s="16"/>
    </row>
    <row r="316" spans="1:45" x14ac:dyDescent="0.25">
      <c r="A316" s="16"/>
      <c r="U316" s="16"/>
      <c r="V316" s="16"/>
      <c r="W316" s="16"/>
      <c r="AP316" s="16"/>
      <c r="AS316" s="16"/>
    </row>
    <row r="317" spans="1:45" x14ac:dyDescent="0.25">
      <c r="A317" s="16"/>
      <c r="U317" s="16"/>
      <c r="V317" s="16"/>
      <c r="W317" s="16"/>
      <c r="AP317" s="16"/>
      <c r="AS317" s="16"/>
    </row>
    <row r="318" spans="1:45" x14ac:dyDescent="0.25">
      <c r="A318" s="16"/>
      <c r="U318" s="16"/>
      <c r="V318" s="16"/>
      <c r="W318" s="16"/>
      <c r="AP318" s="16"/>
      <c r="AS318" s="16"/>
    </row>
    <row r="319" spans="1:45" x14ac:dyDescent="0.25">
      <c r="A319" s="16"/>
      <c r="U319" s="16"/>
      <c r="V319" s="16"/>
      <c r="W319" s="16"/>
      <c r="AP319" s="16"/>
      <c r="AS319" s="16"/>
    </row>
    <row r="320" spans="1:45" x14ac:dyDescent="0.25">
      <c r="A320" s="16"/>
      <c r="U320" s="16"/>
      <c r="V320" s="16"/>
      <c r="W320" s="16"/>
      <c r="AP320" s="16"/>
      <c r="AS320" s="16"/>
    </row>
    <row r="321" spans="1:45" x14ac:dyDescent="0.25">
      <c r="A321" s="16"/>
      <c r="U321" s="16"/>
      <c r="V321" s="16"/>
      <c r="W321" s="16"/>
      <c r="AP321" s="16"/>
      <c r="AS321" s="16"/>
    </row>
    <row r="322" spans="1:45" x14ac:dyDescent="0.25">
      <c r="A322" s="16"/>
      <c r="U322" s="16"/>
      <c r="V322" s="16"/>
      <c r="W322" s="16"/>
      <c r="AP322" s="16"/>
      <c r="AS322" s="16"/>
    </row>
    <row r="323" spans="1:45" x14ac:dyDescent="0.25">
      <c r="A323" s="16"/>
      <c r="U323" s="16"/>
      <c r="V323" s="16"/>
      <c r="W323" s="16"/>
      <c r="AP323" s="16"/>
      <c r="AS323" s="16"/>
    </row>
    <row r="324" spans="1:45" x14ac:dyDescent="0.25">
      <c r="A324" s="16"/>
      <c r="U324" s="16"/>
      <c r="V324" s="16"/>
      <c r="W324" s="16"/>
      <c r="AP324" s="16"/>
      <c r="AS324" s="16"/>
    </row>
    <row r="325" spans="1:45" x14ac:dyDescent="0.25">
      <c r="A325" s="16"/>
      <c r="U325" s="16"/>
      <c r="V325" s="16"/>
      <c r="W325" s="16"/>
      <c r="AP325" s="16"/>
      <c r="AS325" s="16"/>
    </row>
    <row r="326" spans="1:45" x14ac:dyDescent="0.25">
      <c r="A326" s="16"/>
      <c r="U326" s="16"/>
      <c r="V326" s="16"/>
      <c r="W326" s="16"/>
      <c r="AP326" s="16"/>
      <c r="AS326" s="16"/>
    </row>
    <row r="327" spans="1:45" x14ac:dyDescent="0.25">
      <c r="A327" s="16"/>
      <c r="U327" s="16"/>
      <c r="V327" s="16"/>
      <c r="W327" s="16"/>
      <c r="AP327" s="16"/>
      <c r="AS327" s="16"/>
    </row>
    <row r="328" spans="1:45" x14ac:dyDescent="0.25">
      <c r="A328" s="16"/>
      <c r="U328" s="16"/>
      <c r="V328" s="16"/>
      <c r="W328" s="16"/>
      <c r="AP328" s="16"/>
      <c r="AS328" s="16"/>
    </row>
    <row r="329" spans="1:45" x14ac:dyDescent="0.25">
      <c r="A329" s="16"/>
      <c r="U329" s="16"/>
      <c r="V329" s="16"/>
      <c r="W329" s="16"/>
      <c r="AP329" s="16"/>
      <c r="AS329" s="16"/>
    </row>
    <row r="330" spans="1:45" x14ac:dyDescent="0.25">
      <c r="A330" s="16"/>
      <c r="U330" s="16"/>
      <c r="V330" s="16"/>
      <c r="W330" s="16"/>
      <c r="AP330" s="16"/>
      <c r="AS330" s="16"/>
    </row>
    <row r="331" spans="1:45" x14ac:dyDescent="0.25">
      <c r="A331" s="16"/>
      <c r="U331" s="16"/>
      <c r="V331" s="16"/>
      <c r="W331" s="16"/>
      <c r="AP331" s="16"/>
      <c r="AS331" s="16"/>
    </row>
    <row r="332" spans="1:45" x14ac:dyDescent="0.25">
      <c r="A332" s="16"/>
      <c r="U332" s="16"/>
      <c r="V332" s="16"/>
      <c r="W332" s="16"/>
      <c r="AP332" s="16"/>
      <c r="AS332" s="16"/>
    </row>
    <row r="333" spans="1:45" x14ac:dyDescent="0.25">
      <c r="A333" s="16"/>
      <c r="U333" s="16"/>
      <c r="V333" s="16"/>
      <c r="W333" s="16"/>
      <c r="AP333" s="16"/>
      <c r="AS333" s="16"/>
    </row>
    <row r="334" spans="1:45" x14ac:dyDescent="0.25">
      <c r="A334" s="16"/>
      <c r="U334" s="16"/>
      <c r="V334" s="16"/>
      <c r="W334" s="16"/>
      <c r="AP334" s="16"/>
      <c r="AS334" s="16"/>
    </row>
    <row r="335" spans="1:45" x14ac:dyDescent="0.25">
      <c r="A335" s="16"/>
      <c r="U335" s="16"/>
      <c r="V335" s="16"/>
      <c r="W335" s="16"/>
      <c r="AP335" s="16"/>
      <c r="AS335" s="16"/>
    </row>
    <row r="336" spans="1:45" x14ac:dyDescent="0.25">
      <c r="A336" s="16"/>
      <c r="U336" s="16"/>
      <c r="V336" s="16"/>
      <c r="W336" s="16"/>
      <c r="AP336" s="16"/>
      <c r="AS336" s="16"/>
    </row>
    <row r="337" spans="1:45" x14ac:dyDescent="0.25">
      <c r="A337" s="16"/>
      <c r="U337" s="16"/>
      <c r="V337" s="16"/>
      <c r="W337" s="16"/>
      <c r="AP337" s="16"/>
      <c r="AS337" s="16"/>
    </row>
    <row r="338" spans="1:45" x14ac:dyDescent="0.25">
      <c r="A338" s="16"/>
      <c r="U338" s="16"/>
      <c r="V338" s="16"/>
      <c r="W338" s="16"/>
      <c r="AP338" s="16"/>
      <c r="AS338" s="16"/>
    </row>
    <row r="339" spans="1:45" x14ac:dyDescent="0.25">
      <c r="A339" s="16"/>
      <c r="U339" s="16"/>
      <c r="V339" s="16"/>
      <c r="W339" s="16"/>
      <c r="AP339" s="16"/>
      <c r="AS339" s="16"/>
    </row>
    <row r="340" spans="1:45" x14ac:dyDescent="0.25">
      <c r="A340" s="16"/>
      <c r="U340" s="16"/>
      <c r="V340" s="16"/>
      <c r="W340" s="16"/>
      <c r="AP340" s="16"/>
      <c r="AS340" s="16"/>
    </row>
    <row r="341" spans="1:45" x14ac:dyDescent="0.25">
      <c r="A341" s="16"/>
      <c r="U341" s="16"/>
      <c r="V341" s="16"/>
      <c r="W341" s="16"/>
      <c r="AP341" s="16"/>
      <c r="AS341" s="16"/>
    </row>
    <row r="342" spans="1:45" x14ac:dyDescent="0.25">
      <c r="A342" s="16"/>
      <c r="U342" s="16"/>
      <c r="V342" s="16"/>
      <c r="W342" s="16"/>
      <c r="AP342" s="16"/>
      <c r="AS342" s="16"/>
    </row>
    <row r="343" spans="1:45" x14ac:dyDescent="0.25">
      <c r="A343" s="16"/>
      <c r="U343" s="16"/>
      <c r="V343" s="16"/>
      <c r="W343" s="16"/>
      <c r="AP343" s="16"/>
      <c r="AS343" s="16"/>
    </row>
    <row r="344" spans="1:45" x14ac:dyDescent="0.25">
      <c r="A344" s="16"/>
      <c r="U344" s="16"/>
      <c r="V344" s="16"/>
      <c r="W344" s="16"/>
      <c r="AP344" s="16"/>
      <c r="AS344" s="16"/>
    </row>
    <row r="345" spans="1:45" x14ac:dyDescent="0.25">
      <c r="A345" s="16"/>
      <c r="U345" s="16"/>
      <c r="V345" s="16"/>
      <c r="W345" s="16"/>
      <c r="AP345" s="16"/>
      <c r="AS345" s="16"/>
    </row>
    <row r="346" spans="1:45" x14ac:dyDescent="0.25">
      <c r="A346" s="16"/>
      <c r="U346" s="16"/>
      <c r="V346" s="16"/>
      <c r="W346" s="16"/>
      <c r="AP346" s="16"/>
      <c r="AS346" s="16"/>
    </row>
    <row r="347" spans="1:45" x14ac:dyDescent="0.25">
      <c r="A347" s="16"/>
      <c r="U347" s="16"/>
      <c r="V347" s="16"/>
      <c r="W347" s="16"/>
      <c r="AP347" s="16"/>
      <c r="AS347" s="16"/>
    </row>
    <row r="348" spans="1:45" x14ac:dyDescent="0.25">
      <c r="A348" s="16"/>
      <c r="U348" s="16"/>
      <c r="V348" s="16"/>
      <c r="W348" s="16"/>
      <c r="AP348" s="16"/>
      <c r="AS348" s="16"/>
    </row>
    <row r="349" spans="1:45" x14ac:dyDescent="0.25">
      <c r="A349" s="16"/>
      <c r="U349" s="16"/>
      <c r="V349" s="16"/>
      <c r="W349" s="16"/>
      <c r="AP349" s="16"/>
      <c r="AS349" s="16"/>
    </row>
    <row r="350" spans="1:45" x14ac:dyDescent="0.25">
      <c r="A350" s="16"/>
      <c r="U350" s="16"/>
      <c r="V350" s="16"/>
      <c r="W350" s="16"/>
      <c r="AP350" s="16"/>
      <c r="AS350" s="16"/>
    </row>
    <row r="351" spans="1:45" x14ac:dyDescent="0.25">
      <c r="A351" s="16"/>
      <c r="U351" s="16"/>
      <c r="V351" s="16"/>
      <c r="W351" s="16"/>
      <c r="AP351" s="16"/>
      <c r="AS351" s="16"/>
    </row>
    <row r="352" spans="1:45" x14ac:dyDescent="0.25">
      <c r="A352" s="16"/>
      <c r="U352" s="16"/>
      <c r="V352" s="16"/>
      <c r="W352" s="16"/>
      <c r="AP352" s="16"/>
      <c r="AS352" s="16"/>
    </row>
    <row r="353" spans="1:45" x14ac:dyDescent="0.25">
      <c r="A353" s="16"/>
      <c r="U353" s="16"/>
      <c r="V353" s="16"/>
      <c r="W353" s="16"/>
      <c r="AP353" s="16"/>
      <c r="AS353" s="16"/>
    </row>
    <row r="354" spans="1:45" x14ac:dyDescent="0.25">
      <c r="A354" s="16"/>
      <c r="U354" s="16"/>
      <c r="V354" s="16"/>
      <c r="W354" s="16"/>
      <c r="AP354" s="16"/>
      <c r="AS354" s="16"/>
    </row>
    <row r="355" spans="1:45" x14ac:dyDescent="0.25">
      <c r="A355" s="16"/>
      <c r="U355" s="16"/>
      <c r="V355" s="16"/>
      <c r="W355" s="16"/>
      <c r="AP355" s="16"/>
      <c r="AS355" s="16"/>
    </row>
    <row r="356" spans="1:45" x14ac:dyDescent="0.25">
      <c r="A356" s="16"/>
      <c r="U356" s="16"/>
      <c r="V356" s="16"/>
      <c r="W356" s="16"/>
      <c r="AP356" s="16"/>
      <c r="AS356" s="16"/>
    </row>
    <row r="357" spans="1:45" x14ac:dyDescent="0.25">
      <c r="A357" s="16"/>
      <c r="U357" s="16"/>
      <c r="V357" s="16"/>
      <c r="W357" s="16"/>
      <c r="AP357" s="16"/>
      <c r="AS357" s="16"/>
    </row>
    <row r="358" spans="1:45" x14ac:dyDescent="0.25">
      <c r="A358" s="16"/>
      <c r="U358" s="16"/>
      <c r="V358" s="16"/>
      <c r="W358" s="16"/>
      <c r="AP358" s="16"/>
      <c r="AS358" s="16"/>
    </row>
    <row r="359" spans="1:45" x14ac:dyDescent="0.25">
      <c r="A359" s="16"/>
      <c r="U359" s="16"/>
      <c r="V359" s="16"/>
      <c r="W359" s="16"/>
      <c r="AP359" s="16"/>
      <c r="AS359" s="16"/>
    </row>
    <row r="360" spans="1:45" x14ac:dyDescent="0.25">
      <c r="A360" s="16"/>
      <c r="U360" s="16"/>
      <c r="V360" s="16"/>
      <c r="W360" s="16"/>
      <c r="AP360" s="16"/>
      <c r="AS360" s="16"/>
    </row>
    <row r="361" spans="1:45" x14ac:dyDescent="0.25">
      <c r="A361" s="16"/>
      <c r="U361" s="16"/>
      <c r="V361" s="16"/>
      <c r="W361" s="16"/>
      <c r="AP361" s="16"/>
      <c r="AS361" s="16"/>
    </row>
    <row r="362" spans="1:45" x14ac:dyDescent="0.25">
      <c r="A362" s="16"/>
      <c r="U362" s="16"/>
      <c r="V362" s="16"/>
      <c r="W362" s="16"/>
      <c r="AP362" s="16"/>
      <c r="AS362" s="16"/>
    </row>
    <row r="363" spans="1:45" x14ac:dyDescent="0.25">
      <c r="A363" s="16"/>
      <c r="U363" s="16"/>
      <c r="V363" s="16"/>
      <c r="W363" s="16"/>
      <c r="AP363" s="16"/>
      <c r="AS363" s="16"/>
    </row>
    <row r="364" spans="1:45" x14ac:dyDescent="0.25">
      <c r="A364" s="16"/>
      <c r="U364" s="16"/>
      <c r="V364" s="16"/>
      <c r="W364" s="16"/>
      <c r="AP364" s="16"/>
      <c r="AS364" s="16"/>
    </row>
    <row r="365" spans="1:45" x14ac:dyDescent="0.25">
      <c r="A365" s="16"/>
      <c r="U365" s="16"/>
      <c r="V365" s="16"/>
      <c r="W365" s="16"/>
      <c r="AP365" s="16"/>
      <c r="AS365" s="16"/>
    </row>
    <row r="366" spans="1:45" x14ac:dyDescent="0.25">
      <c r="A366" s="16"/>
      <c r="U366" s="16"/>
      <c r="V366" s="16"/>
      <c r="W366" s="16"/>
      <c r="AP366" s="16"/>
      <c r="AS366" s="16"/>
    </row>
    <row r="367" spans="1:45" x14ac:dyDescent="0.25">
      <c r="A367" s="16"/>
      <c r="U367" s="16"/>
      <c r="V367" s="16"/>
      <c r="W367" s="16"/>
      <c r="AP367" s="16"/>
      <c r="AS367" s="16"/>
    </row>
    <row r="368" spans="1:45" x14ac:dyDescent="0.25">
      <c r="A368" s="16"/>
      <c r="U368" s="16"/>
      <c r="V368" s="16"/>
      <c r="W368" s="16"/>
      <c r="AP368" s="16"/>
      <c r="AS368" s="16"/>
    </row>
    <row r="369" spans="1:45" x14ac:dyDescent="0.25">
      <c r="A369" s="16"/>
      <c r="U369" s="16"/>
      <c r="V369" s="16"/>
      <c r="W369" s="16"/>
      <c r="AP369" s="16"/>
      <c r="AS369" s="16"/>
    </row>
    <row r="370" spans="1:45" x14ac:dyDescent="0.25">
      <c r="A370" s="16"/>
      <c r="U370" s="16"/>
      <c r="V370" s="16"/>
      <c r="W370" s="16"/>
      <c r="AP370" s="16"/>
      <c r="AS370" s="16"/>
    </row>
    <row r="371" spans="1:45" x14ac:dyDescent="0.25">
      <c r="A371" s="16"/>
      <c r="U371" s="16"/>
      <c r="V371" s="16"/>
      <c r="W371" s="16"/>
      <c r="AP371" s="16"/>
      <c r="AS371" s="16"/>
    </row>
    <row r="372" spans="1:45" x14ac:dyDescent="0.25">
      <c r="A372" s="16"/>
      <c r="U372" s="16"/>
      <c r="V372" s="16"/>
      <c r="W372" s="16"/>
      <c r="AP372" s="16"/>
      <c r="AS372" s="16"/>
    </row>
    <row r="373" spans="1:45" x14ac:dyDescent="0.25">
      <c r="A373" s="16"/>
      <c r="U373" s="16"/>
      <c r="V373" s="16"/>
      <c r="W373" s="16"/>
      <c r="AP373" s="16"/>
      <c r="AS373" s="16"/>
    </row>
    <row r="374" spans="1:45" x14ac:dyDescent="0.25">
      <c r="A374" s="16"/>
      <c r="U374" s="16"/>
      <c r="V374" s="16"/>
      <c r="W374" s="16"/>
      <c r="AP374" s="16"/>
      <c r="AS374" s="16"/>
    </row>
    <row r="375" spans="1:45" x14ac:dyDescent="0.25">
      <c r="A375" s="16"/>
      <c r="U375" s="16"/>
      <c r="V375" s="16"/>
      <c r="W375" s="16"/>
      <c r="AP375" s="16"/>
      <c r="AS375" s="16"/>
    </row>
    <row r="376" spans="1:45" x14ac:dyDescent="0.25">
      <c r="A376" s="16"/>
      <c r="U376" s="16"/>
      <c r="V376" s="16"/>
      <c r="W376" s="16"/>
      <c r="AP376" s="16"/>
      <c r="AS376" s="16"/>
    </row>
    <row r="377" spans="1:45" x14ac:dyDescent="0.25">
      <c r="A377" s="16"/>
      <c r="U377" s="16"/>
      <c r="V377" s="16"/>
      <c r="W377" s="16"/>
      <c r="AP377" s="16"/>
      <c r="AS377" s="16"/>
    </row>
    <row r="378" spans="1:45" x14ac:dyDescent="0.25">
      <c r="A378" s="16"/>
      <c r="U378" s="16"/>
      <c r="V378" s="16"/>
      <c r="W378" s="16"/>
      <c r="AP378" s="16"/>
      <c r="AS378" s="16"/>
    </row>
    <row r="379" spans="1:45" x14ac:dyDescent="0.25">
      <c r="A379" s="16"/>
      <c r="U379" s="16"/>
      <c r="V379" s="16"/>
      <c r="W379" s="16"/>
      <c r="AP379" s="16"/>
      <c r="AS379" s="16"/>
    </row>
    <row r="380" spans="1:45" x14ac:dyDescent="0.25">
      <c r="A380" s="16"/>
      <c r="U380" s="16"/>
      <c r="V380" s="16"/>
      <c r="W380" s="16"/>
      <c r="AP380" s="16"/>
      <c r="AS380" s="16"/>
    </row>
    <row r="381" spans="1:45" x14ac:dyDescent="0.25">
      <c r="A381" s="16"/>
      <c r="U381" s="16"/>
      <c r="V381" s="16"/>
      <c r="W381" s="16"/>
      <c r="AP381" s="16"/>
      <c r="AS381" s="16"/>
    </row>
    <row r="382" spans="1:45" x14ac:dyDescent="0.25">
      <c r="A382" s="16"/>
      <c r="U382" s="16"/>
      <c r="V382" s="16"/>
      <c r="W382" s="16"/>
      <c r="AP382" s="16"/>
      <c r="AS382" s="16"/>
    </row>
    <row r="383" spans="1:45" x14ac:dyDescent="0.25">
      <c r="A383" s="16"/>
      <c r="U383" s="16"/>
      <c r="V383" s="16"/>
      <c r="W383" s="16"/>
      <c r="AP383" s="16"/>
      <c r="AS383" s="16"/>
    </row>
    <row r="384" spans="1:45" x14ac:dyDescent="0.25">
      <c r="A384" s="16"/>
      <c r="U384" s="16"/>
      <c r="V384" s="16"/>
      <c r="W384" s="16"/>
      <c r="AP384" s="16"/>
      <c r="AS384" s="16"/>
    </row>
    <row r="385" spans="1:45" x14ac:dyDescent="0.25">
      <c r="A385" s="16"/>
      <c r="U385" s="16"/>
      <c r="V385" s="16"/>
      <c r="W385" s="16"/>
      <c r="AP385" s="16"/>
      <c r="AS385" s="16"/>
    </row>
    <row r="386" spans="1:45" x14ac:dyDescent="0.25">
      <c r="A386" s="16"/>
      <c r="U386" s="16"/>
      <c r="V386" s="16"/>
      <c r="W386" s="16"/>
      <c r="AP386" s="16"/>
      <c r="AS386" s="16"/>
    </row>
    <row r="387" spans="1:45" x14ac:dyDescent="0.25">
      <c r="A387" s="16"/>
      <c r="U387" s="16"/>
      <c r="V387" s="16"/>
      <c r="W387" s="16"/>
      <c r="AP387" s="16"/>
      <c r="AS387" s="16"/>
    </row>
    <row r="388" spans="1:45" x14ac:dyDescent="0.25">
      <c r="A388" s="16"/>
      <c r="U388" s="16"/>
      <c r="V388" s="16"/>
      <c r="W388" s="16"/>
      <c r="AP388" s="16"/>
      <c r="AS388" s="16"/>
    </row>
    <row r="389" spans="1:45" x14ac:dyDescent="0.25">
      <c r="A389" s="16"/>
      <c r="U389" s="16"/>
      <c r="V389" s="16"/>
      <c r="W389" s="16"/>
      <c r="AP389" s="16"/>
      <c r="AS389" s="16"/>
    </row>
    <row r="390" spans="1:45" x14ac:dyDescent="0.25">
      <c r="A390" s="16"/>
      <c r="U390" s="16"/>
      <c r="V390" s="16"/>
      <c r="W390" s="16"/>
      <c r="AP390" s="16"/>
      <c r="AS390" s="16"/>
    </row>
    <row r="391" spans="1:45" x14ac:dyDescent="0.25">
      <c r="A391" s="16"/>
      <c r="U391" s="16"/>
      <c r="V391" s="16"/>
      <c r="W391" s="16"/>
      <c r="AP391" s="16"/>
      <c r="AS391" s="16"/>
    </row>
    <row r="392" spans="1:45" x14ac:dyDescent="0.25">
      <c r="A392" s="16"/>
      <c r="U392" s="16"/>
      <c r="V392" s="16"/>
      <c r="W392" s="16"/>
      <c r="AP392" s="16"/>
      <c r="AS392" s="16"/>
    </row>
    <row r="393" spans="1:45" x14ac:dyDescent="0.25">
      <c r="A393" s="16"/>
      <c r="U393" s="16"/>
      <c r="V393" s="16"/>
      <c r="W393" s="16"/>
      <c r="AP393" s="16"/>
      <c r="AS393" s="16"/>
    </row>
    <row r="394" spans="1:45" x14ac:dyDescent="0.25">
      <c r="A394" s="16"/>
      <c r="U394" s="16"/>
      <c r="V394" s="16"/>
      <c r="W394" s="16"/>
      <c r="AP394" s="16"/>
      <c r="AS394" s="16"/>
    </row>
    <row r="395" spans="1:45" x14ac:dyDescent="0.25">
      <c r="A395" s="16"/>
      <c r="U395" s="16"/>
      <c r="V395" s="16"/>
      <c r="W395" s="16"/>
      <c r="AP395" s="16"/>
      <c r="AS395" s="16"/>
    </row>
    <row r="396" spans="1:45" x14ac:dyDescent="0.25">
      <c r="A396" s="16"/>
      <c r="U396" s="16"/>
      <c r="V396" s="16"/>
      <c r="W396" s="16"/>
      <c r="AP396" s="16"/>
      <c r="AS396" s="16"/>
    </row>
    <row r="397" spans="1:45" x14ac:dyDescent="0.25">
      <c r="A397" s="16"/>
      <c r="U397" s="16"/>
      <c r="V397" s="16"/>
      <c r="W397" s="16"/>
      <c r="AP397" s="16"/>
      <c r="AS397" s="16"/>
    </row>
    <row r="398" spans="1:45" x14ac:dyDescent="0.25">
      <c r="A398" s="16"/>
      <c r="U398" s="16"/>
      <c r="V398" s="16"/>
      <c r="W398" s="16"/>
      <c r="AP398" s="16"/>
      <c r="AS398" s="16"/>
    </row>
    <row r="399" spans="1:45" x14ac:dyDescent="0.25">
      <c r="A399" s="16"/>
      <c r="U399" s="16"/>
      <c r="V399" s="16"/>
      <c r="W399" s="16"/>
      <c r="AP399" s="16"/>
      <c r="AS399" s="16"/>
    </row>
    <row r="400" spans="1:45" x14ac:dyDescent="0.25">
      <c r="A400" s="16"/>
      <c r="U400" s="16"/>
      <c r="V400" s="16"/>
      <c r="W400" s="16"/>
      <c r="AP400" s="16"/>
      <c r="AS400" s="16"/>
    </row>
    <row r="401" spans="1:45" x14ac:dyDescent="0.25">
      <c r="A401" s="16"/>
      <c r="U401" s="16"/>
      <c r="V401" s="16"/>
      <c r="W401" s="16"/>
      <c r="AP401" s="16"/>
      <c r="AS401" s="16"/>
    </row>
    <row r="402" spans="1:45" x14ac:dyDescent="0.25">
      <c r="A402" s="16"/>
      <c r="U402" s="16"/>
      <c r="V402" s="16"/>
      <c r="W402" s="16"/>
      <c r="AP402" s="16"/>
      <c r="AS402" s="16"/>
    </row>
    <row r="403" spans="1:45" x14ac:dyDescent="0.25">
      <c r="A403" s="16"/>
      <c r="U403" s="16"/>
      <c r="V403" s="16"/>
      <c r="W403" s="16"/>
      <c r="AP403" s="16"/>
      <c r="AS403" s="16"/>
    </row>
    <row r="404" spans="1:45" x14ac:dyDescent="0.25">
      <c r="A404" s="16"/>
      <c r="U404" s="16"/>
      <c r="V404" s="16"/>
      <c r="W404" s="16"/>
      <c r="AP404" s="16"/>
      <c r="AS404" s="16"/>
    </row>
    <row r="405" spans="1:45" x14ac:dyDescent="0.25">
      <c r="A405" s="16"/>
      <c r="U405" s="16"/>
      <c r="V405" s="16"/>
      <c r="W405" s="16"/>
      <c r="AP405" s="16"/>
      <c r="AS405" s="16"/>
    </row>
    <row r="406" spans="1:45" x14ac:dyDescent="0.25">
      <c r="A406" s="16"/>
      <c r="U406" s="16"/>
      <c r="V406" s="16"/>
      <c r="W406" s="16"/>
      <c r="AP406" s="16"/>
      <c r="AS406" s="16"/>
    </row>
    <row r="407" spans="1:45" x14ac:dyDescent="0.25">
      <c r="A407" s="16"/>
      <c r="U407" s="16"/>
      <c r="V407" s="16"/>
      <c r="W407" s="16"/>
      <c r="AP407" s="16"/>
      <c r="AS407" s="16"/>
    </row>
    <row r="408" spans="1:45" x14ac:dyDescent="0.25">
      <c r="A408" s="16"/>
      <c r="U408" s="16"/>
      <c r="V408" s="16"/>
      <c r="W408" s="16"/>
      <c r="AP408" s="16"/>
      <c r="AS408" s="16"/>
    </row>
    <row r="409" spans="1:45" x14ac:dyDescent="0.25">
      <c r="A409" s="16"/>
      <c r="U409" s="16"/>
      <c r="V409" s="16"/>
      <c r="W409" s="16"/>
      <c r="AP409" s="16"/>
      <c r="AS409" s="16"/>
    </row>
    <row r="410" spans="1:45" x14ac:dyDescent="0.25">
      <c r="A410" s="16"/>
      <c r="U410" s="16"/>
      <c r="V410" s="16"/>
      <c r="W410" s="16"/>
      <c r="AP410" s="16"/>
      <c r="AS410" s="16"/>
    </row>
    <row r="411" spans="1:45" x14ac:dyDescent="0.25">
      <c r="A411" s="16"/>
      <c r="U411" s="16"/>
      <c r="V411" s="16"/>
      <c r="W411" s="16"/>
      <c r="AP411" s="16"/>
      <c r="AS411" s="16"/>
    </row>
    <row r="412" spans="1:45" x14ac:dyDescent="0.25">
      <c r="A412" s="16"/>
      <c r="U412" s="16"/>
      <c r="V412" s="16"/>
      <c r="W412" s="16"/>
      <c r="AP412" s="16"/>
      <c r="AS412" s="16"/>
    </row>
    <row r="413" spans="1:45" x14ac:dyDescent="0.25">
      <c r="A413" s="16"/>
      <c r="U413" s="16"/>
      <c r="V413" s="16"/>
      <c r="W413" s="16"/>
      <c r="AP413" s="16"/>
      <c r="AS413" s="16"/>
    </row>
    <row r="414" spans="1:45" x14ac:dyDescent="0.25">
      <c r="A414" s="16"/>
      <c r="U414" s="16"/>
      <c r="V414" s="16"/>
      <c r="W414" s="16"/>
      <c r="AP414" s="16"/>
      <c r="AS414" s="16"/>
    </row>
    <row r="415" spans="1:45" x14ac:dyDescent="0.25">
      <c r="A415" s="16"/>
      <c r="U415" s="16"/>
      <c r="V415" s="16"/>
      <c r="W415" s="16"/>
      <c r="AP415" s="16"/>
      <c r="AS415" s="16"/>
    </row>
    <row r="416" spans="1:45" x14ac:dyDescent="0.25">
      <c r="A416" s="16"/>
      <c r="U416" s="16"/>
      <c r="V416" s="16"/>
      <c r="W416" s="16"/>
      <c r="AP416" s="16"/>
      <c r="AS416" s="16"/>
    </row>
    <row r="417" spans="1:45" x14ac:dyDescent="0.25">
      <c r="A417" s="16"/>
      <c r="U417" s="16"/>
      <c r="V417" s="16"/>
      <c r="W417" s="16"/>
      <c r="AP417" s="16"/>
      <c r="AS417" s="16"/>
    </row>
    <row r="418" spans="1:45" x14ac:dyDescent="0.25">
      <c r="A418" s="16"/>
      <c r="U418" s="16"/>
      <c r="V418" s="16"/>
      <c r="W418" s="16"/>
      <c r="AP418" s="16"/>
      <c r="AS418" s="16"/>
    </row>
    <row r="419" spans="1:45" x14ac:dyDescent="0.25">
      <c r="A419" s="16"/>
      <c r="U419" s="16"/>
      <c r="V419" s="16"/>
      <c r="W419" s="16"/>
      <c r="AP419" s="16"/>
      <c r="AS419" s="16"/>
    </row>
    <row r="420" spans="1:45" x14ac:dyDescent="0.25">
      <c r="A420" s="16"/>
      <c r="U420" s="16"/>
      <c r="V420" s="16"/>
      <c r="W420" s="16"/>
      <c r="AP420" s="16"/>
      <c r="AS420" s="16"/>
    </row>
    <row r="421" spans="1:45" x14ac:dyDescent="0.25">
      <c r="A421" s="16"/>
      <c r="U421" s="16"/>
      <c r="V421" s="16"/>
      <c r="W421" s="16"/>
      <c r="AP421" s="16"/>
      <c r="AS421" s="16"/>
    </row>
    <row r="422" spans="1:45" x14ac:dyDescent="0.25">
      <c r="A422" s="16"/>
      <c r="U422" s="16"/>
      <c r="V422" s="16"/>
      <c r="W422" s="16"/>
      <c r="AP422" s="16"/>
      <c r="AS422" s="16"/>
    </row>
    <row r="423" spans="1:45" x14ac:dyDescent="0.25">
      <c r="A423" s="16"/>
      <c r="U423" s="16"/>
      <c r="V423" s="16"/>
      <c r="W423" s="16"/>
      <c r="AP423" s="16"/>
      <c r="AS423" s="16"/>
    </row>
    <row r="424" spans="1:45" x14ac:dyDescent="0.25">
      <c r="A424" s="16"/>
      <c r="U424" s="16"/>
      <c r="V424" s="16"/>
      <c r="W424" s="16"/>
      <c r="AP424" s="16"/>
      <c r="AS424" s="16"/>
    </row>
    <row r="425" spans="1:45" x14ac:dyDescent="0.25">
      <c r="A425" s="16"/>
      <c r="U425" s="16"/>
      <c r="V425" s="16"/>
      <c r="W425" s="16"/>
      <c r="AP425" s="16"/>
      <c r="AS425" s="16"/>
    </row>
    <row r="426" spans="1:45" x14ac:dyDescent="0.25">
      <c r="A426" s="16"/>
      <c r="U426" s="16"/>
      <c r="V426" s="16"/>
      <c r="W426" s="16"/>
      <c r="AP426" s="16"/>
      <c r="AS426" s="16"/>
    </row>
    <row r="427" spans="1:45" x14ac:dyDescent="0.25">
      <c r="A427" s="16"/>
      <c r="U427" s="16"/>
      <c r="V427" s="16"/>
      <c r="W427" s="16"/>
      <c r="AP427" s="16"/>
      <c r="AS427" s="16"/>
    </row>
    <row r="428" spans="1:45" x14ac:dyDescent="0.25">
      <c r="A428" s="16"/>
      <c r="U428" s="16"/>
      <c r="V428" s="16"/>
      <c r="W428" s="16"/>
      <c r="AP428" s="16"/>
      <c r="AS428" s="16"/>
    </row>
    <row r="429" spans="1:45" x14ac:dyDescent="0.25">
      <c r="A429" s="16"/>
      <c r="U429" s="16"/>
      <c r="V429" s="16"/>
      <c r="W429" s="16"/>
      <c r="AP429" s="16"/>
      <c r="AS429" s="16"/>
    </row>
    <row r="430" spans="1:45" x14ac:dyDescent="0.25">
      <c r="A430" s="16"/>
      <c r="U430" s="16"/>
      <c r="V430" s="16"/>
      <c r="W430" s="16"/>
      <c r="AP430" s="16"/>
      <c r="AS430" s="16"/>
    </row>
    <row r="431" spans="1:45" x14ac:dyDescent="0.25">
      <c r="A431" s="16"/>
      <c r="U431" s="16"/>
      <c r="V431" s="16"/>
      <c r="W431" s="16"/>
      <c r="AP431" s="16"/>
      <c r="AS431" s="16"/>
    </row>
    <row r="432" spans="1:45" x14ac:dyDescent="0.25">
      <c r="A432" s="16"/>
      <c r="U432" s="16"/>
      <c r="V432" s="16"/>
      <c r="W432" s="16"/>
      <c r="AP432" s="16"/>
      <c r="AS432" s="16"/>
    </row>
    <row r="433" spans="1:45" x14ac:dyDescent="0.25">
      <c r="A433" s="16"/>
      <c r="U433" s="16"/>
      <c r="V433" s="16"/>
      <c r="W433" s="16"/>
      <c r="AP433" s="16"/>
      <c r="AS433" s="16"/>
    </row>
    <row r="434" spans="1:45" x14ac:dyDescent="0.25">
      <c r="A434" s="16"/>
      <c r="U434" s="16"/>
      <c r="V434" s="16"/>
      <c r="W434" s="16"/>
      <c r="AP434" s="16"/>
      <c r="AS434" s="16"/>
    </row>
    <row r="435" spans="1:45" x14ac:dyDescent="0.25">
      <c r="A435" s="16"/>
      <c r="U435" s="16"/>
      <c r="V435" s="16"/>
      <c r="W435" s="16"/>
      <c r="AP435" s="16"/>
      <c r="AS435" s="16"/>
    </row>
    <row r="436" spans="1:45" x14ac:dyDescent="0.25">
      <c r="A436" s="16"/>
      <c r="U436" s="16"/>
      <c r="V436" s="16"/>
      <c r="W436" s="16"/>
      <c r="AP436" s="16"/>
      <c r="AS436" s="16"/>
    </row>
    <row r="437" spans="1:45" x14ac:dyDescent="0.25">
      <c r="A437" s="16"/>
      <c r="U437" s="16"/>
      <c r="V437" s="16"/>
      <c r="W437" s="16"/>
      <c r="AP437" s="16"/>
      <c r="AS437" s="16"/>
    </row>
    <row r="438" spans="1:45" x14ac:dyDescent="0.25">
      <c r="A438" s="16"/>
      <c r="U438" s="16"/>
      <c r="V438" s="16"/>
      <c r="W438" s="16"/>
      <c r="AP438" s="16"/>
      <c r="AS438" s="16"/>
    </row>
    <row r="439" spans="1:45" x14ac:dyDescent="0.25">
      <c r="A439" s="16"/>
      <c r="U439" s="16"/>
      <c r="V439" s="16"/>
      <c r="W439" s="16"/>
      <c r="AP439" s="16"/>
      <c r="AS439" s="16"/>
    </row>
    <row r="440" spans="1:45" x14ac:dyDescent="0.25">
      <c r="A440" s="16"/>
      <c r="U440" s="16"/>
      <c r="V440" s="16"/>
      <c r="W440" s="16"/>
      <c r="AP440" s="16"/>
      <c r="AS440" s="16"/>
    </row>
    <row r="441" spans="1:45" x14ac:dyDescent="0.25">
      <c r="A441" s="16"/>
      <c r="U441" s="16"/>
      <c r="V441" s="16"/>
      <c r="W441" s="16"/>
      <c r="AP441" s="16"/>
      <c r="AS441" s="16"/>
    </row>
    <row r="442" spans="1:45" x14ac:dyDescent="0.25">
      <c r="A442" s="16"/>
      <c r="U442" s="16"/>
      <c r="V442" s="16"/>
      <c r="W442" s="16"/>
      <c r="AP442" s="16"/>
      <c r="AS442" s="16"/>
    </row>
    <row r="443" spans="1:45" x14ac:dyDescent="0.25">
      <c r="A443" s="16"/>
      <c r="U443" s="16"/>
      <c r="V443" s="16"/>
      <c r="W443" s="16"/>
      <c r="AP443" s="16"/>
      <c r="AS443" s="16"/>
    </row>
    <row r="444" spans="1:45" x14ac:dyDescent="0.25">
      <c r="A444" s="16"/>
      <c r="U444" s="16"/>
      <c r="V444" s="16"/>
      <c r="W444" s="16"/>
      <c r="AP444" s="16"/>
      <c r="AS444" s="16"/>
    </row>
    <row r="445" spans="1:45" x14ac:dyDescent="0.25">
      <c r="A445" s="16"/>
      <c r="U445" s="16"/>
      <c r="V445" s="16"/>
      <c r="W445" s="16"/>
      <c r="AP445" s="16"/>
      <c r="AS445" s="16"/>
    </row>
    <row r="446" spans="1:45" x14ac:dyDescent="0.25">
      <c r="A446" s="16"/>
      <c r="U446" s="16"/>
      <c r="V446" s="16"/>
      <c r="W446" s="16"/>
      <c r="AP446" s="16"/>
      <c r="AS446" s="16"/>
    </row>
    <row r="447" spans="1:45" x14ac:dyDescent="0.25">
      <c r="A447" s="16"/>
      <c r="U447" s="16"/>
      <c r="V447" s="16"/>
      <c r="W447" s="16"/>
      <c r="AP447" s="16"/>
      <c r="AS447" s="16"/>
    </row>
    <row r="448" spans="1:45" x14ac:dyDescent="0.25">
      <c r="A448" s="16"/>
      <c r="U448" s="16"/>
      <c r="V448" s="16"/>
      <c r="W448" s="16"/>
      <c r="AP448" s="16"/>
      <c r="AS448" s="16"/>
    </row>
    <row r="449" spans="1:45" x14ac:dyDescent="0.25">
      <c r="A449" s="16"/>
      <c r="U449" s="16"/>
      <c r="V449" s="16"/>
      <c r="W449" s="16"/>
      <c r="AP449" s="16"/>
      <c r="AS449" s="16"/>
    </row>
    <row r="450" spans="1:45" x14ac:dyDescent="0.25">
      <c r="A450" s="16"/>
      <c r="U450" s="16"/>
      <c r="V450" s="16"/>
      <c r="W450" s="16"/>
      <c r="AP450" s="16"/>
      <c r="AS450" s="16"/>
    </row>
    <row r="451" spans="1:45" x14ac:dyDescent="0.25">
      <c r="A451" s="16"/>
      <c r="U451" s="16"/>
      <c r="V451" s="16"/>
      <c r="W451" s="16"/>
      <c r="AP451" s="16"/>
      <c r="AS451" s="16"/>
    </row>
    <row r="452" spans="1:45" x14ac:dyDescent="0.25">
      <c r="A452" s="16"/>
      <c r="U452" s="16"/>
      <c r="V452" s="16"/>
      <c r="W452" s="16"/>
      <c r="AP452" s="16"/>
      <c r="AS452" s="16"/>
    </row>
    <row r="453" spans="1:45" x14ac:dyDescent="0.25">
      <c r="A453" s="16"/>
      <c r="U453" s="16"/>
      <c r="V453" s="16"/>
      <c r="W453" s="16"/>
      <c r="AP453" s="16"/>
      <c r="AS453" s="16"/>
    </row>
    <row r="454" spans="1:45" x14ac:dyDescent="0.25">
      <c r="A454" s="16"/>
      <c r="U454" s="16"/>
      <c r="V454" s="16"/>
      <c r="W454" s="16"/>
      <c r="AP454" s="16"/>
      <c r="AS454" s="16"/>
    </row>
    <row r="455" spans="1:45" x14ac:dyDescent="0.25">
      <c r="A455" s="16"/>
      <c r="U455" s="16"/>
      <c r="V455" s="16"/>
      <c r="W455" s="16"/>
      <c r="AP455" s="16"/>
      <c r="AS455" s="16"/>
    </row>
    <row r="456" spans="1:45" x14ac:dyDescent="0.25">
      <c r="A456" s="16"/>
      <c r="U456" s="16"/>
      <c r="V456" s="16"/>
      <c r="W456" s="16"/>
      <c r="AP456" s="16"/>
      <c r="AS456" s="16"/>
    </row>
    <row r="457" spans="1:45" x14ac:dyDescent="0.25">
      <c r="A457" s="16"/>
      <c r="U457" s="16"/>
      <c r="V457" s="16"/>
      <c r="W457" s="16"/>
      <c r="AP457" s="16"/>
      <c r="AS457" s="16"/>
    </row>
    <row r="458" spans="1:45" x14ac:dyDescent="0.25">
      <c r="A458" s="16"/>
      <c r="U458" s="16"/>
      <c r="V458" s="16"/>
      <c r="W458" s="16"/>
      <c r="AP458" s="16"/>
      <c r="AS458" s="16"/>
    </row>
    <row r="459" spans="1:45" x14ac:dyDescent="0.25">
      <c r="A459" s="16"/>
      <c r="U459" s="16"/>
      <c r="V459" s="16"/>
      <c r="W459" s="16"/>
      <c r="AP459" s="16"/>
      <c r="AS459" s="16"/>
    </row>
    <row r="460" spans="1:45" x14ac:dyDescent="0.25">
      <c r="A460" s="16"/>
      <c r="U460" s="16"/>
      <c r="V460" s="16"/>
      <c r="W460" s="16"/>
      <c r="AP460" s="16"/>
      <c r="AS460" s="16"/>
    </row>
    <row r="461" spans="1:45" x14ac:dyDescent="0.25">
      <c r="A461" s="16"/>
      <c r="U461" s="16"/>
      <c r="V461" s="16"/>
      <c r="W461" s="16"/>
      <c r="AP461" s="16"/>
      <c r="AS461" s="16"/>
    </row>
    <row r="462" spans="1:45" x14ac:dyDescent="0.25">
      <c r="A462" s="16"/>
      <c r="U462" s="16"/>
      <c r="V462" s="16"/>
      <c r="W462" s="16"/>
      <c r="AP462" s="16"/>
      <c r="AS462" s="16"/>
    </row>
    <row r="463" spans="1:45" x14ac:dyDescent="0.25">
      <c r="A463" s="16"/>
      <c r="U463" s="16"/>
      <c r="V463" s="16"/>
      <c r="W463" s="16"/>
      <c r="AP463" s="16"/>
      <c r="AS463" s="16"/>
    </row>
    <row r="464" spans="1:45" x14ac:dyDescent="0.25">
      <c r="A464" s="16"/>
      <c r="U464" s="16"/>
      <c r="V464" s="16"/>
      <c r="W464" s="16"/>
      <c r="AP464" s="16"/>
      <c r="AS464" s="16"/>
    </row>
    <row r="465" spans="1:45" x14ac:dyDescent="0.25">
      <c r="A465" s="16"/>
      <c r="U465" s="16"/>
      <c r="V465" s="16"/>
      <c r="W465" s="16"/>
      <c r="AP465" s="16"/>
      <c r="AS465" s="16"/>
    </row>
    <row r="466" spans="1:45" x14ac:dyDescent="0.25">
      <c r="A466" s="16"/>
      <c r="U466" s="16"/>
      <c r="V466" s="16"/>
      <c r="W466" s="16"/>
      <c r="AP466" s="16"/>
      <c r="AS466" s="16"/>
    </row>
    <row r="467" spans="1:45" x14ac:dyDescent="0.25">
      <c r="A467" s="16"/>
      <c r="U467" s="16"/>
      <c r="V467" s="16"/>
      <c r="W467" s="16"/>
      <c r="AP467" s="16"/>
      <c r="AS467" s="16"/>
    </row>
    <row r="468" spans="1:45" x14ac:dyDescent="0.25">
      <c r="A468" s="16"/>
      <c r="U468" s="16"/>
      <c r="V468" s="16"/>
      <c r="W468" s="16"/>
      <c r="AP468" s="16"/>
      <c r="AS468" s="16"/>
    </row>
    <row r="469" spans="1:45" x14ac:dyDescent="0.25">
      <c r="A469" s="16"/>
      <c r="U469" s="16"/>
      <c r="V469" s="16"/>
      <c r="W469" s="16"/>
      <c r="AP469" s="16"/>
      <c r="AS469" s="16"/>
    </row>
    <row r="470" spans="1:45" x14ac:dyDescent="0.25">
      <c r="A470" s="16"/>
      <c r="U470" s="16"/>
      <c r="V470" s="16"/>
      <c r="W470" s="16"/>
      <c r="AP470" s="16"/>
      <c r="AS470" s="16"/>
    </row>
    <row r="471" spans="1:45" x14ac:dyDescent="0.25">
      <c r="A471" s="16"/>
      <c r="U471" s="16"/>
      <c r="V471" s="16"/>
      <c r="W471" s="16"/>
      <c r="AP471" s="16"/>
      <c r="AS471" s="16"/>
    </row>
    <row r="472" spans="1:45" x14ac:dyDescent="0.25">
      <c r="A472" s="16"/>
      <c r="U472" s="16"/>
      <c r="V472" s="16"/>
      <c r="W472" s="16"/>
      <c r="AP472" s="16"/>
      <c r="AS472" s="16"/>
    </row>
    <row r="473" spans="1:45" x14ac:dyDescent="0.25">
      <c r="A473" s="16"/>
      <c r="U473" s="16"/>
      <c r="V473" s="16"/>
      <c r="W473" s="16"/>
      <c r="AP473" s="16"/>
      <c r="AS473" s="16"/>
    </row>
    <row r="474" spans="1:45" x14ac:dyDescent="0.25">
      <c r="A474" s="16"/>
      <c r="U474" s="16"/>
      <c r="V474" s="16"/>
      <c r="W474" s="16"/>
      <c r="AP474" s="16"/>
      <c r="AS474" s="16"/>
    </row>
    <row r="475" spans="1:45" x14ac:dyDescent="0.25">
      <c r="A475" s="16"/>
      <c r="U475" s="16"/>
      <c r="V475" s="16"/>
      <c r="W475" s="16"/>
      <c r="AP475" s="16"/>
      <c r="AS475" s="16"/>
    </row>
    <row r="476" spans="1:45" x14ac:dyDescent="0.25">
      <c r="A476" s="16"/>
      <c r="U476" s="16"/>
      <c r="V476" s="16"/>
      <c r="W476" s="16"/>
      <c r="AP476" s="16"/>
      <c r="AS476" s="16"/>
    </row>
    <row r="477" spans="1:45" x14ac:dyDescent="0.25">
      <c r="A477" s="16"/>
      <c r="U477" s="16"/>
      <c r="V477" s="16"/>
      <c r="W477" s="16"/>
      <c r="AP477" s="16"/>
      <c r="AS477" s="16"/>
    </row>
    <row r="478" spans="1:45" x14ac:dyDescent="0.25">
      <c r="A478" s="16"/>
      <c r="U478" s="16"/>
      <c r="V478" s="16"/>
      <c r="W478" s="16"/>
      <c r="AP478" s="16"/>
      <c r="AS478" s="16"/>
    </row>
    <row r="479" spans="1:45" x14ac:dyDescent="0.25">
      <c r="A479" s="16"/>
      <c r="U479" s="16"/>
      <c r="V479" s="16"/>
      <c r="W479" s="16"/>
      <c r="AP479" s="16"/>
      <c r="AS479" s="16"/>
    </row>
    <row r="480" spans="1:45" x14ac:dyDescent="0.25">
      <c r="A480" s="16"/>
      <c r="U480" s="16"/>
      <c r="V480" s="16"/>
      <c r="W480" s="16"/>
      <c r="AP480" s="16"/>
      <c r="AS480" s="16"/>
    </row>
    <row r="481" spans="1:45" x14ac:dyDescent="0.25">
      <c r="A481" s="16"/>
      <c r="U481" s="16"/>
      <c r="V481" s="16"/>
      <c r="W481" s="16"/>
      <c r="AP481" s="16"/>
      <c r="AS481" s="16"/>
    </row>
    <row r="482" spans="1:45" x14ac:dyDescent="0.25">
      <c r="A482" s="16"/>
      <c r="U482" s="16"/>
      <c r="V482" s="16"/>
      <c r="W482" s="16"/>
      <c r="AP482" s="16"/>
      <c r="AS482" s="16"/>
    </row>
    <row r="483" spans="1:45" x14ac:dyDescent="0.25">
      <c r="A483" s="16"/>
      <c r="U483" s="16"/>
      <c r="V483" s="16"/>
      <c r="W483" s="16"/>
      <c r="AP483" s="16"/>
      <c r="AS483" s="16"/>
    </row>
    <row r="484" spans="1:45" x14ac:dyDescent="0.25">
      <c r="A484" s="16"/>
      <c r="U484" s="16"/>
      <c r="V484" s="16"/>
      <c r="W484" s="16"/>
      <c r="AP484" s="16"/>
      <c r="AS484" s="16"/>
    </row>
    <row r="485" spans="1:45" x14ac:dyDescent="0.25">
      <c r="A485" s="16"/>
      <c r="U485" s="16"/>
      <c r="V485" s="16"/>
      <c r="W485" s="16"/>
      <c r="AP485" s="16"/>
      <c r="AS485" s="16"/>
    </row>
    <row r="486" spans="1:45" x14ac:dyDescent="0.25">
      <c r="A486" s="16"/>
      <c r="U486" s="16"/>
      <c r="V486" s="16"/>
      <c r="W486" s="16"/>
      <c r="AP486" s="16"/>
      <c r="AS486" s="16"/>
    </row>
    <row r="487" spans="1:45" x14ac:dyDescent="0.25">
      <c r="A487" s="16"/>
      <c r="U487" s="16"/>
      <c r="V487" s="16"/>
      <c r="W487" s="16"/>
      <c r="AP487" s="16"/>
      <c r="AS487" s="16"/>
    </row>
    <row r="488" spans="1:45" x14ac:dyDescent="0.25">
      <c r="A488" s="16"/>
      <c r="U488" s="16"/>
      <c r="V488" s="16"/>
      <c r="W488" s="16"/>
      <c r="AP488" s="16"/>
      <c r="AS488" s="16"/>
    </row>
    <row r="489" spans="1:45" x14ac:dyDescent="0.25">
      <c r="A489" s="16"/>
      <c r="U489" s="16"/>
      <c r="V489" s="16"/>
      <c r="W489" s="16"/>
      <c r="AP489" s="16"/>
      <c r="AS489" s="16"/>
    </row>
    <row r="490" spans="1:45" x14ac:dyDescent="0.25">
      <c r="A490" s="16"/>
      <c r="U490" s="16"/>
      <c r="V490" s="16"/>
      <c r="W490" s="16"/>
      <c r="AP490" s="16"/>
      <c r="AS490" s="16"/>
    </row>
    <row r="491" spans="1:45" x14ac:dyDescent="0.25">
      <c r="A491" s="16"/>
      <c r="U491" s="16"/>
      <c r="V491" s="16"/>
      <c r="W491" s="16"/>
      <c r="AP491" s="16"/>
      <c r="AS491" s="16"/>
    </row>
    <row r="492" spans="1:45" x14ac:dyDescent="0.25">
      <c r="A492" s="16"/>
      <c r="U492" s="16"/>
      <c r="V492" s="16"/>
      <c r="W492" s="16"/>
      <c r="AP492" s="16"/>
      <c r="AS492" s="16"/>
    </row>
    <row r="493" spans="1:45" x14ac:dyDescent="0.25">
      <c r="A493" s="16"/>
      <c r="U493" s="16"/>
      <c r="V493" s="16"/>
      <c r="W493" s="16"/>
      <c r="AP493" s="16"/>
      <c r="AS493" s="16"/>
    </row>
    <row r="494" spans="1:45" x14ac:dyDescent="0.25">
      <c r="A494" s="16"/>
      <c r="U494" s="16"/>
      <c r="V494" s="16"/>
      <c r="W494" s="16"/>
      <c r="AP494" s="16"/>
      <c r="AS494" s="16"/>
    </row>
    <row r="495" spans="1:45" x14ac:dyDescent="0.25">
      <c r="A495" s="16"/>
      <c r="U495" s="16"/>
      <c r="V495" s="16"/>
      <c r="W495" s="16"/>
      <c r="AP495" s="16"/>
      <c r="AS495" s="16"/>
    </row>
    <row r="496" spans="1:45" x14ac:dyDescent="0.25">
      <c r="A496" s="16"/>
      <c r="U496" s="16"/>
      <c r="V496" s="16"/>
      <c r="W496" s="16"/>
      <c r="AP496" s="16"/>
      <c r="AS496" s="16"/>
    </row>
    <row r="497" spans="1:45" x14ac:dyDescent="0.25">
      <c r="A497" s="16"/>
      <c r="U497" s="16"/>
      <c r="V497" s="16"/>
      <c r="W497" s="16"/>
      <c r="AP497" s="16"/>
      <c r="AS497" s="16"/>
    </row>
    <row r="498" spans="1:45" x14ac:dyDescent="0.25">
      <c r="A498" s="16"/>
      <c r="U498" s="16"/>
      <c r="V498" s="16"/>
      <c r="W498" s="16"/>
      <c r="AP498" s="16"/>
      <c r="AS498" s="16"/>
    </row>
    <row r="499" spans="1:45" x14ac:dyDescent="0.25">
      <c r="A499" s="16"/>
      <c r="U499" s="16"/>
      <c r="V499" s="16"/>
      <c r="W499" s="16"/>
      <c r="AP499" s="16"/>
      <c r="AS499" s="16"/>
    </row>
    <row r="500" spans="1:45" x14ac:dyDescent="0.25">
      <c r="A500" s="16"/>
      <c r="U500" s="16"/>
      <c r="V500" s="16"/>
      <c r="W500" s="16"/>
      <c r="AP500" s="16"/>
      <c r="AS500" s="16"/>
    </row>
    <row r="501" spans="1:45" x14ac:dyDescent="0.25">
      <c r="A501" s="16"/>
      <c r="U501" s="16"/>
      <c r="V501" s="16"/>
      <c r="W501" s="16"/>
      <c r="AP501" s="16"/>
      <c r="AS501" s="16"/>
    </row>
    <row r="502" spans="1:45" x14ac:dyDescent="0.25">
      <c r="A502" s="16"/>
      <c r="U502" s="16"/>
      <c r="V502" s="16"/>
      <c r="W502" s="16"/>
      <c r="AP502" s="16"/>
      <c r="AS502" s="16"/>
    </row>
    <row r="503" spans="1:45" x14ac:dyDescent="0.25">
      <c r="A503" s="16"/>
      <c r="U503" s="16"/>
      <c r="V503" s="16"/>
      <c r="W503" s="16"/>
      <c r="AP503" s="16"/>
      <c r="AS503" s="16"/>
    </row>
    <row r="504" spans="1:45" x14ac:dyDescent="0.25">
      <c r="A504" s="16"/>
      <c r="U504" s="16"/>
      <c r="V504" s="16"/>
      <c r="W504" s="16"/>
      <c r="AP504" s="16"/>
      <c r="AS504" s="16"/>
    </row>
    <row r="505" spans="1:45" x14ac:dyDescent="0.25">
      <c r="A505" s="16"/>
      <c r="U505" s="16"/>
      <c r="V505" s="16"/>
      <c r="W505" s="16"/>
      <c r="AP505" s="16"/>
      <c r="AS505" s="16"/>
    </row>
    <row r="506" spans="1:45" x14ac:dyDescent="0.25">
      <c r="A506" s="16"/>
      <c r="U506" s="16"/>
      <c r="V506" s="16"/>
      <c r="W506" s="16"/>
      <c r="AP506" s="16"/>
      <c r="AS506" s="16"/>
    </row>
    <row r="507" spans="1:45" x14ac:dyDescent="0.25">
      <c r="A507" s="16"/>
      <c r="U507" s="16"/>
      <c r="V507" s="16"/>
      <c r="W507" s="16"/>
      <c r="AP507" s="16"/>
      <c r="AS507" s="16"/>
    </row>
    <row r="508" spans="1:45" x14ac:dyDescent="0.25">
      <c r="A508" s="16"/>
      <c r="U508" s="16"/>
      <c r="V508" s="16"/>
      <c r="W508" s="16"/>
      <c r="AP508" s="16"/>
      <c r="AS508" s="16"/>
    </row>
    <row r="509" spans="1:45" x14ac:dyDescent="0.25">
      <c r="A509" s="16"/>
      <c r="U509" s="16"/>
      <c r="V509" s="16"/>
      <c r="W509" s="16"/>
      <c r="AP509" s="16"/>
      <c r="AS509" s="16"/>
    </row>
    <row r="510" spans="1:45" x14ac:dyDescent="0.25">
      <c r="A510" s="16"/>
      <c r="U510" s="16"/>
      <c r="V510" s="16"/>
      <c r="W510" s="16"/>
      <c r="AP510" s="16"/>
      <c r="AS510" s="16"/>
    </row>
    <row r="511" spans="1:45" x14ac:dyDescent="0.25">
      <c r="A511" s="16"/>
      <c r="U511" s="16"/>
      <c r="V511" s="16"/>
      <c r="W511" s="16"/>
      <c r="AP511" s="16"/>
      <c r="AS511" s="16"/>
    </row>
    <row r="512" spans="1:45" x14ac:dyDescent="0.25">
      <c r="A512" s="16"/>
      <c r="U512" s="16"/>
      <c r="V512" s="16"/>
      <c r="W512" s="16"/>
      <c r="AP512" s="16"/>
      <c r="AS512" s="16"/>
    </row>
    <row r="513" spans="1:45" x14ac:dyDescent="0.25">
      <c r="A513" s="16"/>
      <c r="U513" s="16"/>
      <c r="V513" s="16"/>
      <c r="W513" s="16"/>
      <c r="AP513" s="16"/>
      <c r="AS513" s="16"/>
    </row>
    <row r="514" spans="1:45" x14ac:dyDescent="0.25">
      <c r="A514" s="16"/>
      <c r="U514" s="16"/>
      <c r="V514" s="16"/>
      <c r="W514" s="16"/>
      <c r="AP514" s="16"/>
      <c r="AS514" s="16"/>
    </row>
    <row r="515" spans="1:45" x14ac:dyDescent="0.25">
      <c r="A515" s="16"/>
      <c r="U515" s="16"/>
      <c r="V515" s="16"/>
      <c r="W515" s="16"/>
      <c r="AP515" s="16"/>
      <c r="AS515" s="16"/>
    </row>
    <row r="516" spans="1:45" x14ac:dyDescent="0.25">
      <c r="A516" s="16"/>
      <c r="U516" s="16"/>
      <c r="V516" s="16"/>
      <c r="W516" s="16"/>
      <c r="AP516" s="16"/>
      <c r="AS516" s="16"/>
    </row>
    <row r="517" spans="1:45" x14ac:dyDescent="0.25">
      <c r="A517" s="16"/>
      <c r="U517" s="16"/>
      <c r="V517" s="16"/>
      <c r="W517" s="16"/>
      <c r="AP517" s="16"/>
      <c r="AS517" s="16"/>
    </row>
    <row r="518" spans="1:45" x14ac:dyDescent="0.25">
      <c r="A518" s="16"/>
      <c r="U518" s="16"/>
      <c r="V518" s="16"/>
      <c r="W518" s="16"/>
      <c r="AP518" s="16"/>
      <c r="AS518" s="16"/>
    </row>
    <row r="519" spans="1:45" x14ac:dyDescent="0.25">
      <c r="A519" s="16"/>
      <c r="U519" s="16"/>
      <c r="V519" s="16"/>
      <c r="W519" s="16"/>
      <c r="AP519" s="16"/>
      <c r="AS519" s="16"/>
    </row>
    <row r="520" spans="1:45" x14ac:dyDescent="0.25">
      <c r="A520" s="16"/>
      <c r="U520" s="16"/>
      <c r="V520" s="16"/>
      <c r="W520" s="16"/>
      <c r="AP520" s="16"/>
      <c r="AS520" s="16"/>
    </row>
    <row r="521" spans="1:45" x14ac:dyDescent="0.25">
      <c r="A521" s="16"/>
      <c r="U521" s="16"/>
      <c r="V521" s="16"/>
      <c r="W521" s="16"/>
      <c r="AP521" s="16"/>
      <c r="AS521" s="16"/>
    </row>
    <row r="522" spans="1:45" x14ac:dyDescent="0.25">
      <c r="A522" s="16"/>
      <c r="U522" s="16"/>
      <c r="V522" s="16"/>
      <c r="W522" s="16"/>
      <c r="AP522" s="16"/>
      <c r="AS522" s="16"/>
    </row>
    <row r="523" spans="1:45" x14ac:dyDescent="0.25">
      <c r="A523" s="16"/>
      <c r="U523" s="16"/>
      <c r="V523" s="16"/>
      <c r="W523" s="16"/>
      <c r="AP523" s="16"/>
      <c r="AS523" s="16"/>
    </row>
    <row r="524" spans="1:45" x14ac:dyDescent="0.25">
      <c r="A524" s="16"/>
      <c r="U524" s="16"/>
      <c r="V524" s="16"/>
      <c r="W524" s="16"/>
      <c r="AP524" s="16"/>
      <c r="AS524" s="16"/>
    </row>
    <row r="525" spans="1:45" x14ac:dyDescent="0.25">
      <c r="A525" s="16"/>
      <c r="U525" s="16"/>
      <c r="V525" s="16"/>
      <c r="W525" s="16"/>
      <c r="AP525" s="16"/>
      <c r="AS525" s="16"/>
    </row>
    <row r="526" spans="1:45" x14ac:dyDescent="0.25">
      <c r="A526" s="16"/>
      <c r="U526" s="16"/>
      <c r="V526" s="16"/>
      <c r="W526" s="16"/>
      <c r="AP526" s="16"/>
      <c r="AS526" s="16"/>
    </row>
    <row r="527" spans="1:45" x14ac:dyDescent="0.25">
      <c r="A527" s="16"/>
      <c r="U527" s="16"/>
      <c r="V527" s="16"/>
      <c r="W527" s="16"/>
      <c r="AP527" s="16"/>
      <c r="AS527" s="16"/>
    </row>
    <row r="528" spans="1:45" x14ac:dyDescent="0.25">
      <c r="A528" s="16"/>
      <c r="U528" s="16"/>
      <c r="V528" s="16"/>
      <c r="W528" s="16"/>
      <c r="AP528" s="16"/>
      <c r="AS528" s="16"/>
    </row>
    <row r="529" spans="1:45" x14ac:dyDescent="0.25">
      <c r="A529" s="16"/>
      <c r="U529" s="16"/>
      <c r="V529" s="16"/>
      <c r="W529" s="16"/>
      <c r="AP529" s="16"/>
      <c r="AS529" s="16"/>
    </row>
    <row r="530" spans="1:45" x14ac:dyDescent="0.25">
      <c r="A530" s="16"/>
      <c r="U530" s="16"/>
      <c r="V530" s="16"/>
      <c r="W530" s="16"/>
      <c r="AP530" s="16"/>
      <c r="AS530" s="16"/>
    </row>
    <row r="531" spans="1:45" x14ac:dyDescent="0.25">
      <c r="A531" s="16"/>
      <c r="U531" s="16"/>
      <c r="V531" s="16"/>
      <c r="W531" s="16"/>
      <c r="AP531" s="16"/>
      <c r="AS531" s="16"/>
    </row>
    <row r="532" spans="1:45" x14ac:dyDescent="0.25">
      <c r="A532" s="16"/>
      <c r="U532" s="16"/>
      <c r="V532" s="16"/>
      <c r="W532" s="16"/>
      <c r="AP532" s="16"/>
      <c r="AS532" s="16"/>
    </row>
    <row r="533" spans="1:45" x14ac:dyDescent="0.25">
      <c r="A533" s="16"/>
      <c r="U533" s="16"/>
      <c r="V533" s="16"/>
      <c r="W533" s="16"/>
      <c r="AP533" s="16"/>
      <c r="AS533" s="16"/>
    </row>
    <row r="534" spans="1:45" x14ac:dyDescent="0.25">
      <c r="A534" s="16"/>
      <c r="U534" s="16"/>
      <c r="V534" s="16"/>
      <c r="W534" s="16"/>
      <c r="AP534" s="16"/>
      <c r="AS534" s="16"/>
    </row>
    <row r="535" spans="1:45" x14ac:dyDescent="0.25">
      <c r="A535" s="16"/>
      <c r="U535" s="16"/>
      <c r="V535" s="16"/>
      <c r="W535" s="16"/>
      <c r="AP535" s="16"/>
      <c r="AS535" s="16"/>
    </row>
    <row r="536" spans="1:45" x14ac:dyDescent="0.25">
      <c r="A536" s="16"/>
      <c r="U536" s="16"/>
      <c r="V536" s="16"/>
      <c r="W536" s="16"/>
      <c r="AP536" s="16"/>
      <c r="AS536" s="16"/>
    </row>
    <row r="537" spans="1:45" x14ac:dyDescent="0.25">
      <c r="A537" s="16"/>
      <c r="U537" s="16"/>
      <c r="V537" s="16"/>
      <c r="W537" s="16"/>
      <c r="AP537" s="16"/>
      <c r="AS537" s="16"/>
    </row>
    <row r="538" spans="1:45" x14ac:dyDescent="0.25">
      <c r="A538" s="16"/>
      <c r="U538" s="16"/>
      <c r="V538" s="16"/>
      <c r="W538" s="16"/>
      <c r="AP538" s="16"/>
      <c r="AS538" s="16"/>
    </row>
  </sheetData>
  <mergeCells count="3">
    <mergeCell ref="C2:M2"/>
    <mergeCell ref="C3:M3"/>
    <mergeCell ref="AS35:BE35"/>
  </mergeCells>
  <phoneticPr fontId="7" type="noConversion"/>
  <pageMargins left="0.15748031496062992" right="0.15748031496062992" top="0.19685039370078741" bottom="0.15748031496062992" header="0.19685039370078741" footer="0.15748031496062992"/>
  <pageSetup paperSize="9" scale="63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Foaie1!Print_Titles</vt:lpstr>
    </vt:vector>
  </TitlesOfParts>
  <Company>cas olt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2024-01-29T07:11:18Z</cp:lastPrinted>
  <dcterms:created xsi:type="dcterms:W3CDTF">2019-01-29T08:53:27Z</dcterms:created>
  <dcterms:modified xsi:type="dcterms:W3CDTF">2024-01-29T07:11:30Z</dcterms:modified>
</cp:coreProperties>
</file>