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3\PLATI 2023\"/>
    </mc:Choice>
  </mc:AlternateContent>
  <xr:revisionPtr revIDLastSave="0" documentId="13_ncr:1_{D8061C79-C345-4B50-BC3B-CCFA8E21A6C9}" xr6:coauthVersionLast="47" xr6:coauthVersionMax="47" xr10:uidLastSave="{00000000-0000-0000-0000-000000000000}"/>
  <bookViews>
    <workbookView xWindow="-120" yWindow="-120" windowWidth="29040" windowHeight="15840" firstSheet="8" activeTab="11" xr2:uid="{00000000-000D-0000-FFFF-FFFF00000000}"/>
  </bookViews>
  <sheets>
    <sheet name="IANUARIE 2023" sheetId="1" r:id="rId1"/>
    <sheet name="FEBRUARIE 2023 " sheetId="2" r:id="rId2"/>
    <sheet name="MARTIE 2023  " sheetId="3" r:id="rId3"/>
    <sheet name="APRILIE 2023 " sheetId="4" r:id="rId4"/>
    <sheet name="MAI 2023 " sheetId="5" r:id="rId5"/>
    <sheet name="IUNIE 2023" sheetId="6" r:id="rId6"/>
    <sheet name="IULIE 2023" sheetId="7" r:id="rId7"/>
    <sheet name="AUGUST2023" sheetId="8" r:id="rId8"/>
    <sheet name="SEPTEMBRIE2023" sheetId="9" r:id="rId9"/>
    <sheet name="OCTOMBRIE 2023" sheetId="10" r:id="rId10"/>
    <sheet name="NOIEMBRIE 2023" sheetId="11" r:id="rId11"/>
    <sheet name="DECEMBRIE 2023 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2" l="1"/>
  <c r="I28" i="12"/>
  <c r="D12" i="12"/>
  <c r="B10" i="12"/>
  <c r="B28" i="12" s="1"/>
  <c r="V28" i="12"/>
  <c r="U28" i="12"/>
  <c r="T28" i="12"/>
  <c r="S28" i="12"/>
  <c r="R28" i="12"/>
  <c r="Q28" i="12"/>
  <c r="P28" i="12"/>
  <c r="O28" i="12"/>
  <c r="M28" i="12"/>
  <c r="L28" i="12"/>
  <c r="K28" i="12"/>
  <c r="J28" i="12"/>
  <c r="H28" i="12"/>
  <c r="G28" i="12"/>
  <c r="F28" i="12"/>
  <c r="C28" i="12"/>
  <c r="N28" i="12"/>
  <c r="D28" i="12"/>
  <c r="N12" i="11"/>
  <c r="D11" i="11"/>
  <c r="V28" i="11" l="1"/>
  <c r="U28" i="11"/>
  <c r="T28" i="11"/>
  <c r="S28" i="11"/>
  <c r="R28" i="11"/>
  <c r="Q28" i="11"/>
  <c r="P28" i="11"/>
  <c r="O28" i="11"/>
  <c r="M28" i="11"/>
  <c r="L28" i="11"/>
  <c r="K28" i="11"/>
  <c r="J28" i="11"/>
  <c r="F28" i="11"/>
  <c r="C28" i="11"/>
  <c r="B28" i="11"/>
  <c r="N28" i="11"/>
  <c r="H28" i="11"/>
  <c r="G28" i="11"/>
  <c r="D28" i="11"/>
  <c r="N15" i="10"/>
  <c r="H13" i="10"/>
  <c r="G13" i="10"/>
  <c r="F13" i="10"/>
  <c r="D12" i="10"/>
  <c r="I28" i="11" l="1"/>
  <c r="V28" i="10"/>
  <c r="U28" i="10"/>
  <c r="T28" i="10"/>
  <c r="S28" i="10"/>
  <c r="R28" i="10"/>
  <c r="Q28" i="10"/>
  <c r="P28" i="10"/>
  <c r="O28" i="10"/>
  <c r="M28" i="10"/>
  <c r="L28" i="10"/>
  <c r="J28" i="10"/>
  <c r="H28" i="10"/>
  <c r="G28" i="10"/>
  <c r="F28" i="10"/>
  <c r="C28" i="10"/>
  <c r="B28" i="10"/>
  <c r="N28" i="10"/>
  <c r="K28" i="10"/>
  <c r="D28" i="10"/>
  <c r="I34" i="9"/>
  <c r="K14" i="9"/>
  <c r="C11" i="9"/>
  <c r="I28" i="10" l="1"/>
  <c r="D12" i="9"/>
  <c r="D28" i="9" s="1"/>
  <c r="N15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H28" i="9"/>
  <c r="I28" i="9" s="1"/>
  <c r="G28" i="9"/>
  <c r="F28" i="9"/>
  <c r="C28" i="9"/>
  <c r="B28" i="9"/>
  <c r="D12" i="8"/>
  <c r="V28" i="8"/>
  <c r="U28" i="8"/>
  <c r="T28" i="8"/>
  <c r="S28" i="8"/>
  <c r="R28" i="8"/>
  <c r="Q28" i="8"/>
  <c r="P28" i="8"/>
  <c r="O28" i="8"/>
  <c r="M28" i="8"/>
  <c r="L28" i="8"/>
  <c r="K28" i="8"/>
  <c r="J28" i="8"/>
  <c r="H28" i="8"/>
  <c r="G28" i="8"/>
  <c r="F28" i="8"/>
  <c r="D28" i="8"/>
  <c r="C28" i="8"/>
  <c r="B28" i="8"/>
  <c r="N28" i="8"/>
  <c r="N14" i="7"/>
  <c r="I28" i="8" l="1"/>
  <c r="V28" i="7"/>
  <c r="U28" i="7"/>
  <c r="T28" i="7"/>
  <c r="S28" i="7"/>
  <c r="R28" i="7"/>
  <c r="Q28" i="7"/>
  <c r="P28" i="7"/>
  <c r="O28" i="7"/>
  <c r="M28" i="7"/>
  <c r="L28" i="7"/>
  <c r="K28" i="7"/>
  <c r="J28" i="7"/>
  <c r="H28" i="7"/>
  <c r="G28" i="7"/>
  <c r="F28" i="7"/>
  <c r="C28" i="7"/>
  <c r="B28" i="7"/>
  <c r="N28" i="7"/>
  <c r="D28" i="7"/>
  <c r="D11" i="6"/>
  <c r="N14" i="6"/>
  <c r="N28" i="6" s="1"/>
  <c r="D28" i="6"/>
  <c r="V28" i="6"/>
  <c r="U28" i="6"/>
  <c r="T28" i="6"/>
  <c r="S28" i="6"/>
  <c r="R28" i="6"/>
  <c r="Q28" i="6"/>
  <c r="P28" i="6"/>
  <c r="O28" i="6"/>
  <c r="M28" i="6"/>
  <c r="L28" i="6"/>
  <c r="K28" i="6"/>
  <c r="J28" i="6"/>
  <c r="H28" i="6"/>
  <c r="G28" i="6"/>
  <c r="F28" i="6"/>
  <c r="B28" i="6"/>
  <c r="C28" i="6"/>
  <c r="D12" i="5"/>
  <c r="B28" i="5"/>
  <c r="N15" i="5"/>
  <c r="C11" i="5"/>
  <c r="I28" i="7" l="1"/>
  <c r="I28" i="6"/>
  <c r="V28" i="5"/>
  <c r="U28" i="5"/>
  <c r="T28" i="5"/>
  <c r="S28" i="5"/>
  <c r="R28" i="5"/>
  <c r="Q28" i="5"/>
  <c r="P28" i="5"/>
  <c r="O28" i="5"/>
  <c r="M28" i="5"/>
  <c r="L28" i="5"/>
  <c r="K28" i="5"/>
  <c r="J28" i="5"/>
  <c r="H28" i="5"/>
  <c r="G28" i="5"/>
  <c r="F28" i="5"/>
  <c r="C28" i="5"/>
  <c r="N28" i="5"/>
  <c r="D28" i="5"/>
  <c r="Q28" i="4"/>
  <c r="H34" i="4"/>
  <c r="M15" i="4"/>
  <c r="D11" i="4"/>
  <c r="I28" i="5" l="1"/>
  <c r="U28" i="4"/>
  <c r="T28" i="4"/>
  <c r="S28" i="4"/>
  <c r="R28" i="4"/>
  <c r="P28" i="4"/>
  <c r="O28" i="4"/>
  <c r="N28" i="4"/>
  <c r="L28" i="4"/>
  <c r="K28" i="4"/>
  <c r="J28" i="4"/>
  <c r="I28" i="4"/>
  <c r="G28" i="4"/>
  <c r="F28" i="4"/>
  <c r="E28" i="4"/>
  <c r="C28" i="4"/>
  <c r="B28" i="4"/>
  <c r="M28" i="4"/>
  <c r="D28" i="4"/>
  <c r="B28" i="3"/>
  <c r="H28" i="4" l="1"/>
  <c r="D11" i="3"/>
  <c r="M16" i="3" l="1"/>
  <c r="U28" i="3"/>
  <c r="T28" i="3"/>
  <c r="S28" i="3"/>
  <c r="R28" i="3"/>
  <c r="Q28" i="3"/>
  <c r="P28" i="3"/>
  <c r="O28" i="3"/>
  <c r="N28" i="3"/>
  <c r="L28" i="3"/>
  <c r="K28" i="3"/>
  <c r="J28" i="3"/>
  <c r="I28" i="3"/>
  <c r="G28" i="3"/>
  <c r="F28" i="3"/>
  <c r="E28" i="3"/>
  <c r="C28" i="3"/>
  <c r="M28" i="3"/>
  <c r="D28" i="3"/>
  <c r="D11" i="2"/>
  <c r="H28" i="3" l="1"/>
  <c r="M16" i="2"/>
  <c r="P28" i="2" l="1"/>
  <c r="O28" i="2"/>
  <c r="N28" i="2"/>
  <c r="K28" i="2"/>
  <c r="J28" i="2"/>
  <c r="G28" i="2"/>
  <c r="F28" i="2"/>
  <c r="C28" i="2"/>
  <c r="B28" i="2"/>
  <c r="U28" i="2"/>
  <c r="T28" i="2"/>
  <c r="S28" i="2"/>
  <c r="R28" i="2"/>
  <c r="Q28" i="2"/>
  <c r="M28" i="2"/>
  <c r="L28" i="2"/>
  <c r="I28" i="2"/>
  <c r="E28" i="2"/>
  <c r="D28" i="2"/>
  <c r="F13" i="1"/>
  <c r="H28" i="2" l="1"/>
  <c r="U20" i="1"/>
  <c r="T20" i="1"/>
  <c r="S19" i="1"/>
  <c r="S28" i="1" s="1"/>
  <c r="Q28" i="1"/>
  <c r="R18" i="1"/>
  <c r="R28" i="1" s="1"/>
  <c r="Q18" i="1"/>
  <c r="O17" i="1"/>
  <c r="O28" i="1" s="1"/>
  <c r="N16" i="1"/>
  <c r="N28" i="1" s="1"/>
  <c r="M16" i="1"/>
  <c r="M28" i="1" s="1"/>
  <c r="L15" i="1"/>
  <c r="L28" i="1" s="1"/>
  <c r="K15" i="1"/>
  <c r="K28" i="1" s="1"/>
  <c r="J14" i="1"/>
  <c r="J28" i="1" s="1"/>
  <c r="I14" i="1"/>
  <c r="I28" i="1" s="1"/>
  <c r="G13" i="1"/>
  <c r="G28" i="1"/>
  <c r="D12" i="1"/>
  <c r="E13" i="1"/>
  <c r="E28" i="1" s="1"/>
  <c r="B10" i="1"/>
  <c r="U28" i="1"/>
  <c r="T28" i="1"/>
  <c r="P28" i="1"/>
  <c r="F28" i="1"/>
  <c r="B28" i="1"/>
  <c r="D28" i="1"/>
  <c r="C28" i="1"/>
  <c r="H28" i="1" l="1"/>
</calcChain>
</file>

<file path=xl/sharedStrings.xml><?xml version="1.0" encoding="utf-8"?>
<sst xmlns="http://schemas.openxmlformats.org/spreadsheetml/2006/main" count="466" uniqueCount="66">
  <si>
    <t>CASA DE ASIGURARI DE SANATATE OLT</t>
  </si>
  <si>
    <t>LUNA pentru care s-a platit</t>
  </si>
  <si>
    <t>COMP.+GRATUIT</t>
  </si>
  <si>
    <t>PENSMS 40%</t>
  </si>
  <si>
    <t>CV COMP.SI GRATUIT</t>
  </si>
  <si>
    <t>ADO</t>
  </si>
  <si>
    <t>INSULINA</t>
  </si>
  <si>
    <t>MIXT</t>
  </si>
  <si>
    <t>TOTAL DIABET</t>
  </si>
  <si>
    <t>ONCOLOGIE ACTV.CRT.</t>
  </si>
  <si>
    <t>ONCOLOGIE COST-VOLUM</t>
  </si>
  <si>
    <t>MUCOVISCIDOZA CV</t>
  </si>
  <si>
    <t>POSTTRANSPLANT</t>
  </si>
  <si>
    <t>MUCOVISCIDOZA</t>
  </si>
  <si>
    <t>SCLEROZA</t>
  </si>
  <si>
    <t>ANGIOEDEM</t>
  </si>
  <si>
    <t>FIBROZA</t>
  </si>
  <si>
    <t>LIMFA</t>
  </si>
  <si>
    <t>AMIOTROFIE</t>
  </si>
  <si>
    <t>TALASEMIE</t>
  </si>
  <si>
    <t>TESTE COPII</t>
  </si>
  <si>
    <t>TESTE ADULTI</t>
  </si>
  <si>
    <t xml:space="preserve">TOTAL </t>
  </si>
  <si>
    <t>Intocmit,</t>
  </si>
  <si>
    <t>Ec.V.Marinas</t>
  </si>
  <si>
    <t>PLATI FARMACII IANUARIE 2023</t>
  </si>
  <si>
    <t>AUG.SEPT.2022</t>
  </si>
  <si>
    <t>SEPT.OCT.2022</t>
  </si>
  <si>
    <t>NOV.2022</t>
  </si>
  <si>
    <t>PLATI FARMACII FEBRUARIE 2023</t>
  </si>
  <si>
    <t>OCT.2022</t>
  </si>
  <si>
    <t>DEC.2022</t>
  </si>
  <si>
    <t>PLATI FARMACII MARTIE 2023</t>
  </si>
  <si>
    <t>IAN.2023</t>
  </si>
  <si>
    <t>PLATI FARMACII APRILIE 2023</t>
  </si>
  <si>
    <t>PLATI FARMACII MAI 2023</t>
  </si>
  <si>
    <t>FEBR.2023</t>
  </si>
  <si>
    <t>UCRAINA C+G</t>
  </si>
  <si>
    <t>PLATI FARMACII IUNIE 2023</t>
  </si>
  <si>
    <t>FEBR.PARTIAL.2023</t>
  </si>
  <si>
    <t>MARTIE 2023</t>
  </si>
  <si>
    <t>PLATI FARMACII IULIE 2023</t>
  </si>
  <si>
    <t>APRILIE 2023</t>
  </si>
  <si>
    <t>FEBR.DIF.2023+MARTIE</t>
  </si>
  <si>
    <t>PLATI FARMACII AUGUST 2023</t>
  </si>
  <si>
    <t>MAI 2023</t>
  </si>
  <si>
    <t>PLATI FARMACII SEPTEMBRIE  2023</t>
  </si>
  <si>
    <t>IULIE 2023</t>
  </si>
  <si>
    <t>PLATI FARMACII OCTOMBRIE  2023</t>
  </si>
  <si>
    <t>IUNIE 2023</t>
  </si>
  <si>
    <t>PLATI FARMACII NOIEMBRIE  2023</t>
  </si>
  <si>
    <t>IUNIE,IULIE PARTIAL AUG. 2023</t>
  </si>
  <si>
    <t>AUGUS 2023</t>
  </si>
  <si>
    <t>IULIE,PARTIAL AUG. 2023</t>
  </si>
  <si>
    <t>IULIE,PARTIAL AUG. 2032</t>
  </si>
  <si>
    <t>IULIE,PARTIAL AUG. 2033</t>
  </si>
  <si>
    <t>IULIE,PARTIAL AUG. 2034</t>
  </si>
  <si>
    <t>IULIE,PARTIAL AUG. 2035</t>
  </si>
  <si>
    <t>IULIE,PARTIAL AUG. 2036</t>
  </si>
  <si>
    <t>IULIE,PARTIAL AUG. 2037</t>
  </si>
  <si>
    <t>IULIE,PARTIAL AUG. 2038</t>
  </si>
  <si>
    <t>PLATI FARMACII DECEMBRIE  2023</t>
  </si>
  <si>
    <t>DIF.AUG. SI PARTIAL SEPT,2023</t>
  </si>
  <si>
    <t>partial sept. 2023</t>
  </si>
  <si>
    <t>dif.aug.PARTIAL sept. 2023</t>
  </si>
  <si>
    <t>imunlogice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</si>
</sst>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1" fillId="0" borderId="8" xfId="0" applyNumberFormat="1" applyFont="1" applyBorder="1"/>
    <xf numFmtId="4" fontId="2" fillId="0" borderId="8" xfId="0" applyNumberFormat="1" applyFont="1" applyBorder="1" applyAlignment="1">
      <alignment vertical="top"/>
    </xf>
    <xf numFmtId="0" fontId="2" fillId="0" borderId="8" xfId="0" applyFont="1" applyBorder="1"/>
    <xf numFmtId="4" fontId="2" fillId="0" borderId="8" xfId="0" applyNumberFormat="1" applyFont="1" applyBorder="1" applyAlignment="1">
      <alignment vertical="top" wrapText="1"/>
    </xf>
    <xf numFmtId="0" fontId="1" fillId="0" borderId="8" xfId="0" applyFont="1" applyBorder="1"/>
    <xf numFmtId="4" fontId="2" fillId="0" borderId="9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/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8"/>
  <sheetViews>
    <sheetView workbookViewId="0">
      <selection activeCell="Y20" sqref="Y20"/>
    </sheetView>
  </sheetViews>
  <sheetFormatPr defaultRowHeight="15" x14ac:dyDescent="0.25"/>
  <cols>
    <col min="1" max="1" width="12.5703125" customWidth="1"/>
    <col min="2" max="2" width="11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0.8554687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25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26</v>
      </c>
      <c r="B10" s="4">
        <f>7747772.02+8290706.89</f>
        <v>16038478.91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28</v>
      </c>
      <c r="B11" s="14"/>
      <c r="C11" s="15">
        <v>204946.39000000004</v>
      </c>
      <c r="D11" s="16"/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27</v>
      </c>
      <c r="B12" s="14"/>
      <c r="C12" s="10"/>
      <c r="D12" s="16">
        <f>1671588.84+57874.31+45565.36</f>
        <v>1775028.5100000002</v>
      </c>
      <c r="E12" s="1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27</v>
      </c>
      <c r="B13" s="14"/>
      <c r="C13" s="10"/>
      <c r="D13" s="16"/>
      <c r="E13" s="17">
        <f>1922825.09+1774977.25</f>
        <v>3697802.34</v>
      </c>
      <c r="F13" s="12">
        <f>236727.34+236672.06</f>
        <v>473399.4</v>
      </c>
      <c r="G13" s="12">
        <f>994525.62+1041782.72</f>
        <v>2036308.3399999999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27</v>
      </c>
      <c r="B14" s="14"/>
      <c r="C14" s="10"/>
      <c r="D14" s="16"/>
      <c r="E14" s="17"/>
      <c r="F14" s="12"/>
      <c r="G14" s="12"/>
      <c r="H14" s="12"/>
      <c r="I14" s="12">
        <f>1032230.01+1290838.74</f>
        <v>2323068.75</v>
      </c>
      <c r="J14" s="12">
        <f>334724.88+336918.63</f>
        <v>671643.51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27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f>4527.32+4532.68</f>
        <v>9060</v>
      </c>
      <c r="L15" s="12">
        <f>79415.55+39464.74</f>
        <v>118880.29000000001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27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>
        <f>19281.12+3169.44+150715.54+9564.31</f>
        <v>182730.41</v>
      </c>
      <c r="N16" s="12">
        <f>2023.9+2023.9</f>
        <v>4047.8</v>
      </c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27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/>
      <c r="O17" s="12">
        <f>131575.04+120880.92</f>
        <v>252455.96000000002</v>
      </c>
      <c r="P17" s="12">
        <v>20273.3</v>
      </c>
      <c r="Q17" s="12"/>
      <c r="R17" s="12"/>
      <c r="S17" s="12"/>
      <c r="T17" s="12"/>
      <c r="U17" s="13"/>
    </row>
    <row r="18" spans="1:21" x14ac:dyDescent="0.25">
      <c r="A18" s="8" t="s">
        <v>27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f>2080.6+2080.6</f>
        <v>4161.2</v>
      </c>
      <c r="R18" s="20">
        <f>132372.51+264745.02</f>
        <v>397117.53</v>
      </c>
      <c r="S18" s="20"/>
      <c r="T18" s="20"/>
      <c r="U18" s="21"/>
    </row>
    <row r="19" spans="1:21" x14ac:dyDescent="0.25">
      <c r="A19" s="8" t="s">
        <v>27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f>50964.95+47818.12</f>
        <v>98783.07</v>
      </c>
      <c r="T19" s="18"/>
      <c r="U19" s="22"/>
    </row>
    <row r="20" spans="1:21" ht="15.75" thickBot="1" x14ac:dyDescent="0.3">
      <c r="A20" s="8" t="s">
        <v>27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f>2880+4560</f>
        <v>7440</v>
      </c>
      <c r="U20" s="21">
        <f>137374.8+138263.22</f>
        <v>275638.02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</f>
        <v>16038478.91</v>
      </c>
      <c r="C28" s="26">
        <f>SUM(C11:C27)</f>
        <v>204946.39000000004</v>
      </c>
      <c r="D28" s="26">
        <f>SUM(D10:D27)</f>
        <v>1775028.5100000002</v>
      </c>
      <c r="E28" s="26">
        <f>SUM(E10:E27)</f>
        <v>3697802.34</v>
      </c>
      <c r="F28" s="26">
        <f>SUM(F10:F27)</f>
        <v>473399.4</v>
      </c>
      <c r="G28" s="26">
        <f>SUM(G10:G27)</f>
        <v>2036308.3399999999</v>
      </c>
      <c r="H28" s="6">
        <f>E28+F28+G28</f>
        <v>6207510.0800000001</v>
      </c>
      <c r="I28" s="6">
        <f t="shared" ref="I28:P28" si="0">SUM(I10:I27)</f>
        <v>2323068.75</v>
      </c>
      <c r="J28" s="6">
        <f t="shared" si="0"/>
        <v>671643.51</v>
      </c>
      <c r="K28" s="6">
        <f>SUM(K10:K27)</f>
        <v>9060</v>
      </c>
      <c r="L28" s="6">
        <f t="shared" si="0"/>
        <v>118880.29000000001</v>
      </c>
      <c r="M28" s="6">
        <f t="shared" si="0"/>
        <v>182730.41</v>
      </c>
      <c r="N28" s="6">
        <f t="shared" si="0"/>
        <v>4047.8</v>
      </c>
      <c r="O28" s="6">
        <f t="shared" si="0"/>
        <v>252455.96000000002</v>
      </c>
      <c r="P28" s="6">
        <f t="shared" si="0"/>
        <v>20273.3</v>
      </c>
      <c r="Q28" s="6">
        <f>SUM(Q18:Q27)</f>
        <v>4161.2</v>
      </c>
      <c r="R28" s="6">
        <f>SUM(R10:R27)</f>
        <v>397117.53</v>
      </c>
      <c r="S28" s="6">
        <f>SUM(S10:S27)</f>
        <v>98783.07</v>
      </c>
      <c r="T28" s="6">
        <f>SUM(T10:T27)</f>
        <v>7440</v>
      </c>
      <c r="U28" s="7">
        <f>SUM(U10:U27)</f>
        <v>275638.02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E4E3-7FED-42A1-9161-05797E706BA7}">
  <dimension ref="A3:V38"/>
  <sheetViews>
    <sheetView topLeftCell="A4" workbookViewId="0">
      <selection activeCell="W35" sqref="W35"/>
    </sheetView>
  </sheetViews>
  <sheetFormatPr defaultRowHeight="15" x14ac:dyDescent="0.25"/>
  <cols>
    <col min="1" max="1" width="10.5703125" customWidth="1"/>
    <col min="2" max="2" width="12" customWidth="1"/>
    <col min="3" max="3" width="8.7109375" customWidth="1"/>
    <col min="4" max="4" width="9.7109375" customWidth="1"/>
    <col min="5" max="5" width="0.140625" hidden="1" customWidth="1"/>
    <col min="6" max="6" width="10.5703125" customWidth="1"/>
    <col min="7" max="7" width="8.7109375" customWidth="1"/>
    <col min="8" max="8" width="10.140625" customWidth="1"/>
    <col min="9" max="9" width="10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8.710937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48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13.2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x14ac:dyDescent="0.25">
      <c r="A10" s="8" t="s">
        <v>49</v>
      </c>
      <c r="B10" s="4">
        <v>8187517.5899999999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47</v>
      </c>
      <c r="B11" s="14"/>
      <c r="C11" s="15">
        <v>123800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47</v>
      </c>
      <c r="B12" s="14"/>
      <c r="C12" s="10"/>
      <c r="D12" s="16">
        <f>1812928.47+123965.25</f>
        <v>1936893.72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47</v>
      </c>
      <c r="B13" s="14"/>
      <c r="C13" s="10"/>
      <c r="D13" s="16"/>
      <c r="E13" s="16"/>
      <c r="F13" s="17">
        <f>2104567.55+2186723.37</f>
        <v>4291290.92</v>
      </c>
      <c r="G13" s="12">
        <f>210359.29+200065.83</f>
        <v>410425.12</v>
      </c>
      <c r="H13" s="12">
        <f>1097229.7+292298.57</f>
        <v>1389528.27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47</v>
      </c>
      <c r="B14" s="14"/>
      <c r="C14" s="10"/>
      <c r="D14" s="16"/>
      <c r="E14" s="16"/>
      <c r="F14" s="17"/>
      <c r="G14" s="12"/>
      <c r="H14" s="12"/>
      <c r="I14" s="12"/>
      <c r="J14" s="12">
        <v>2468175.13</v>
      </c>
      <c r="K14" s="12">
        <v>190021.79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47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>
        <v>4558.12</v>
      </c>
      <c r="M15" s="12">
        <v>117360</v>
      </c>
      <c r="N15" s="12">
        <f>166648.67+479838.92</f>
        <v>646487.59</v>
      </c>
      <c r="O15" s="12"/>
      <c r="P15" s="12"/>
      <c r="Q15" s="12"/>
      <c r="R15" s="12"/>
      <c r="S15" s="12"/>
      <c r="T15" s="12"/>
      <c r="U15" s="12"/>
      <c r="V15" s="13"/>
    </row>
    <row r="16" spans="1:22" x14ac:dyDescent="0.25">
      <c r="A16" s="8" t="s">
        <v>47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>
        <v>2023.9</v>
      </c>
      <c r="P16" s="12">
        <v>131737.32</v>
      </c>
      <c r="Q16" s="12">
        <v>10136.65</v>
      </c>
      <c r="R16" s="12">
        <v>2080.6</v>
      </c>
      <c r="S16" s="12">
        <v>132372.51</v>
      </c>
      <c r="T16" s="12"/>
      <c r="U16" s="12"/>
      <c r="V16" s="13"/>
    </row>
    <row r="17" spans="1:22" x14ac:dyDescent="0.25">
      <c r="A17" s="8" t="s">
        <v>47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105860.06</v>
      </c>
      <c r="U17" s="12"/>
      <c r="V17" s="13"/>
    </row>
    <row r="18" spans="1:22" x14ac:dyDescent="0.25">
      <c r="A18" s="8" t="s">
        <v>47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8280</v>
      </c>
      <c r="V18" s="21"/>
    </row>
    <row r="19" spans="1:22" x14ac:dyDescent="0.25">
      <c r="A19" s="8" t="s">
        <v>47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>
        <v>271400.78000000003</v>
      </c>
    </row>
    <row r="20" spans="1:22" ht="15.75" thickBot="1" x14ac:dyDescent="0.3">
      <c r="A20" s="8" t="s">
        <v>47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8187517.5899999999</v>
      </c>
      <c r="C28" s="26">
        <f>SUM(C11:C27)</f>
        <v>123800</v>
      </c>
      <c r="D28" s="26">
        <f>SUM(D10:D27)</f>
        <v>1936893.72</v>
      </c>
      <c r="E28" s="26"/>
      <c r="F28" s="26">
        <f>SUM(F10:F27)</f>
        <v>4291290.92</v>
      </c>
      <c r="G28" s="26">
        <f>SUM(G10:G27)</f>
        <v>410425.12</v>
      </c>
      <c r="H28" s="26">
        <f>SUM(H10:H27)</f>
        <v>1389528.27</v>
      </c>
      <c r="I28" s="6">
        <f>F28+G28+H28</f>
        <v>6091244.3100000005</v>
      </c>
      <c r="J28" s="6">
        <f t="shared" ref="J28:Q28" si="0">SUM(J10:J27)</f>
        <v>2468175.13</v>
      </c>
      <c r="K28" s="6">
        <f t="shared" si="0"/>
        <v>190021.79</v>
      </c>
      <c r="L28" s="6">
        <f>SUM(L10:L27)</f>
        <v>4558.12</v>
      </c>
      <c r="M28" s="6">
        <f t="shared" si="0"/>
        <v>117360</v>
      </c>
      <c r="N28" s="6">
        <f t="shared" si="0"/>
        <v>646487.59</v>
      </c>
      <c r="O28" s="6">
        <f t="shared" si="0"/>
        <v>2023.9</v>
      </c>
      <c r="P28" s="6">
        <f t="shared" si="0"/>
        <v>131737.32</v>
      </c>
      <c r="Q28" s="6">
        <f t="shared" si="0"/>
        <v>10136.65</v>
      </c>
      <c r="R28" s="6">
        <f>SUM(R10:R27)</f>
        <v>2080.6</v>
      </c>
      <c r="S28" s="6">
        <f>SUM(S10:S27)</f>
        <v>132372.51</v>
      </c>
      <c r="T28" s="6">
        <f>SUM(T10:T27)</f>
        <v>105860.06</v>
      </c>
      <c r="U28" s="6">
        <f>SUM(U10:U27)</f>
        <v>8280</v>
      </c>
      <c r="V28" s="7">
        <f>SUM(V10:V27)</f>
        <v>271400.78000000003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4B78-07F0-467D-A5B7-0DFB51F28F4B}">
  <dimension ref="A3:V38"/>
  <sheetViews>
    <sheetView workbookViewId="0">
      <selection activeCell="G36" sqref="G36"/>
    </sheetView>
  </sheetViews>
  <sheetFormatPr defaultRowHeight="15" x14ac:dyDescent="0.25"/>
  <cols>
    <col min="1" max="1" width="10.5703125" customWidth="1"/>
    <col min="2" max="2" width="12" customWidth="1"/>
    <col min="3" max="3" width="8.7109375" customWidth="1"/>
    <col min="4" max="4" width="9.7109375" customWidth="1"/>
    <col min="5" max="5" width="0.140625" hidden="1" customWidth="1"/>
    <col min="6" max="6" width="13.28515625" customWidth="1"/>
    <col min="7" max="7" width="8.7109375" customWidth="1"/>
    <col min="8" max="8" width="10.140625" customWidth="1"/>
    <col min="9" max="9" width="10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8.710937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50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2.5" customHeight="1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ht="33.75" x14ac:dyDescent="0.25">
      <c r="A10" s="8" t="s">
        <v>51</v>
      </c>
      <c r="B10" s="4">
        <v>12976710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52</v>
      </c>
      <c r="B11" s="14"/>
      <c r="C11" s="15">
        <v>218270</v>
      </c>
      <c r="D11" s="16">
        <f>1333260+88660+67036.34</f>
        <v>1488956.34</v>
      </c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22.5" x14ac:dyDescent="0.25">
      <c r="A12" s="8" t="s">
        <v>53</v>
      </c>
      <c r="B12" s="14"/>
      <c r="C12" s="10"/>
      <c r="D12" s="16"/>
      <c r="E12" s="16"/>
      <c r="F12" s="17">
        <v>2399647.5299999998</v>
      </c>
      <c r="G12" s="12">
        <v>46026.52</v>
      </c>
      <c r="H12" s="12">
        <v>874465.95</v>
      </c>
      <c r="I12" s="12"/>
      <c r="J12" s="12"/>
      <c r="K12" s="12"/>
      <c r="L12" s="12"/>
      <c r="M12" s="12"/>
      <c r="N12" s="12">
        <f>165442.08+154429.27</f>
        <v>319871.34999999998</v>
      </c>
      <c r="O12" s="12"/>
      <c r="P12" s="12"/>
      <c r="Q12" s="12"/>
      <c r="R12" s="12"/>
      <c r="S12" s="12"/>
      <c r="T12" s="12"/>
      <c r="U12" s="12"/>
      <c r="V12" s="13"/>
    </row>
    <row r="13" spans="1:22" ht="22.5" x14ac:dyDescent="0.25">
      <c r="A13" s="8" t="s">
        <v>53</v>
      </c>
      <c r="B13" s="14"/>
      <c r="C13" s="10"/>
      <c r="D13" s="16"/>
      <c r="E13" s="16"/>
      <c r="F13" s="17"/>
      <c r="G13" s="12"/>
      <c r="H13" s="12"/>
      <c r="I13" s="12"/>
      <c r="J13" s="12">
        <v>1427057.63</v>
      </c>
      <c r="K13" s="12"/>
      <c r="L13" s="12"/>
      <c r="M13" s="12"/>
      <c r="N13" s="12"/>
      <c r="O13" s="12">
        <v>6135.8</v>
      </c>
      <c r="P13" s="12">
        <v>164930.26</v>
      </c>
      <c r="Q13" s="12">
        <v>10041.969999999999</v>
      </c>
      <c r="R13" s="12"/>
      <c r="S13" s="12"/>
      <c r="T13" s="12"/>
      <c r="U13" s="12"/>
      <c r="V13" s="13"/>
    </row>
    <row r="14" spans="1:22" ht="22.5" x14ac:dyDescent="0.25">
      <c r="A14" s="8" t="s">
        <v>53</v>
      </c>
      <c r="B14" s="14"/>
      <c r="C14" s="10"/>
      <c r="D14" s="16"/>
      <c r="E14" s="16"/>
      <c r="F14" s="17"/>
      <c r="G14" s="12"/>
      <c r="H14" s="12"/>
      <c r="I14" s="12"/>
      <c r="J14" s="12"/>
      <c r="K14" s="12">
        <v>192257.74</v>
      </c>
      <c r="L14" s="12">
        <v>3230</v>
      </c>
      <c r="M14" s="12">
        <v>46250</v>
      </c>
      <c r="N14" s="12"/>
      <c r="O14" s="12"/>
      <c r="P14" s="12"/>
      <c r="Q14" s="12"/>
      <c r="R14" s="12">
        <v>4304.76</v>
      </c>
      <c r="S14" s="12">
        <v>121117.74</v>
      </c>
      <c r="T14" s="12"/>
      <c r="U14" s="12"/>
      <c r="V14" s="13"/>
    </row>
    <row r="15" spans="1:22" ht="22.5" x14ac:dyDescent="0.25">
      <c r="A15" s="8" t="s">
        <v>53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7600.1</v>
      </c>
      <c r="U15" s="12"/>
      <c r="V15" s="13"/>
    </row>
    <row r="16" spans="1:22" ht="22.5" x14ac:dyDescent="0.25">
      <c r="A16" s="8" t="s">
        <v>53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3840</v>
      </c>
      <c r="V16" s="13"/>
    </row>
    <row r="17" spans="1:22" ht="22.5" x14ac:dyDescent="0.25">
      <c r="A17" s="8" t="s">
        <v>53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>
        <v>130450</v>
      </c>
    </row>
    <row r="18" spans="1:22" ht="22.5" x14ac:dyDescent="0.25">
      <c r="A18" s="8" t="s">
        <v>53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22.5" x14ac:dyDescent="0.25">
      <c r="A19" s="8" t="s">
        <v>53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</row>
    <row r="20" spans="1:22" ht="23.25" thickBot="1" x14ac:dyDescent="0.3">
      <c r="A20" s="8" t="s">
        <v>53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23.25" hidden="1" thickBot="1" x14ac:dyDescent="0.3">
      <c r="A21" s="8" t="s">
        <v>54</v>
      </c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23.25" hidden="1" thickBot="1" x14ac:dyDescent="0.3">
      <c r="A22" s="8" t="s">
        <v>55</v>
      </c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23.25" hidden="1" thickBot="1" x14ac:dyDescent="0.3">
      <c r="A23" s="8" t="s">
        <v>56</v>
      </c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23.25" hidden="1" thickBot="1" x14ac:dyDescent="0.3">
      <c r="A24" s="8" t="s">
        <v>57</v>
      </c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23.25" hidden="1" thickBot="1" x14ac:dyDescent="0.3">
      <c r="A25" s="8" t="s">
        <v>58</v>
      </c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23.25" hidden="1" thickBot="1" x14ac:dyDescent="0.3">
      <c r="A26" s="8" t="s">
        <v>59</v>
      </c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23.25" hidden="1" thickBot="1" x14ac:dyDescent="0.3">
      <c r="A27" s="8" t="s">
        <v>60</v>
      </c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12976710</v>
      </c>
      <c r="C28" s="26">
        <f>SUM(C11:C27)</f>
        <v>218270</v>
      </c>
      <c r="D28" s="26">
        <f>SUM(D10:D27)</f>
        <v>1488956.34</v>
      </c>
      <c r="E28" s="26"/>
      <c r="F28" s="26">
        <f>SUM(F10:F27)</f>
        <v>2399647.5299999998</v>
      </c>
      <c r="G28" s="26">
        <f>SUM(G10:G27)</f>
        <v>46026.52</v>
      </c>
      <c r="H28" s="26">
        <f>SUM(H10:H27)</f>
        <v>874465.95</v>
      </c>
      <c r="I28" s="6">
        <f>F28+G28+H28</f>
        <v>3320140</v>
      </c>
      <c r="J28" s="6">
        <f t="shared" ref="J28:Q28" si="0">SUM(J10:J27)</f>
        <v>1427057.63</v>
      </c>
      <c r="K28" s="6">
        <f t="shared" si="0"/>
        <v>192257.74</v>
      </c>
      <c r="L28" s="6">
        <f>SUM(L10:L27)</f>
        <v>3230</v>
      </c>
      <c r="M28" s="6">
        <f t="shared" si="0"/>
        <v>46250</v>
      </c>
      <c r="N28" s="6">
        <f t="shared" si="0"/>
        <v>319871.34999999998</v>
      </c>
      <c r="O28" s="6">
        <f t="shared" si="0"/>
        <v>6135.8</v>
      </c>
      <c r="P28" s="6">
        <f t="shared" si="0"/>
        <v>164930.26</v>
      </c>
      <c r="Q28" s="6">
        <f t="shared" si="0"/>
        <v>10041.969999999999</v>
      </c>
      <c r="R28" s="6">
        <f>SUM(R10:R27)</f>
        <v>4304.76</v>
      </c>
      <c r="S28" s="6">
        <f>SUM(S10:S27)</f>
        <v>121117.74</v>
      </c>
      <c r="T28" s="6">
        <f>SUM(T10:T27)</f>
        <v>7600.1</v>
      </c>
      <c r="U28" s="6">
        <f>SUM(U10:U27)</f>
        <v>3840</v>
      </c>
      <c r="V28" s="7">
        <f>SUM(V10:V27)</f>
        <v>130450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honeticPr fontId="3" type="noConversion"/>
  <pageMargins left="0" right="0" top="0.74803149606299213" bottom="0.74803149606299213" header="0.31496062992125984" footer="0.31496062992125984"/>
  <pageSetup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264B-E59D-4378-AAC7-AF9C9AC69E2C}">
  <dimension ref="A3:W38"/>
  <sheetViews>
    <sheetView tabSelected="1" workbookViewId="0">
      <selection activeCell="K47" sqref="K47"/>
    </sheetView>
  </sheetViews>
  <sheetFormatPr defaultRowHeight="15" x14ac:dyDescent="0.25"/>
  <cols>
    <col min="1" max="1" width="15.7109375" customWidth="1"/>
    <col min="2" max="2" width="12" customWidth="1"/>
    <col min="3" max="3" width="9.5703125" customWidth="1"/>
    <col min="4" max="4" width="10.28515625" customWidth="1"/>
    <col min="5" max="5" width="0.5703125" hidden="1" customWidth="1"/>
    <col min="6" max="6" width="8.5703125" customWidth="1"/>
    <col min="7" max="7" width="10.85546875" hidden="1" customWidth="1"/>
    <col min="8" max="8" width="10.140625" hidden="1" customWidth="1"/>
    <col min="9" max="9" width="10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8.7109375" customWidth="1"/>
    <col min="21" max="21" width="6.85546875" customWidth="1"/>
    <col min="22" max="22" width="8.5703125" customWidth="1"/>
    <col min="23" max="23" width="13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61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2.5" customHeight="1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65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ht="33.75" x14ac:dyDescent="0.25">
      <c r="A10" s="8" t="s">
        <v>62</v>
      </c>
      <c r="B10" s="4">
        <f>5444460.12+4041549.88</f>
        <v>9486010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2.5" x14ac:dyDescent="0.25">
      <c r="A11" s="8" t="s">
        <v>63</v>
      </c>
      <c r="B11" s="14"/>
      <c r="C11" s="14">
        <v>106411.54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33.75" x14ac:dyDescent="0.25">
      <c r="A12" s="8" t="s">
        <v>64</v>
      </c>
      <c r="B12" s="14"/>
      <c r="C12" s="10"/>
      <c r="D12" s="16">
        <f>1162940+72170+29035.44</f>
        <v>1264145.44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33.75" x14ac:dyDescent="0.25">
      <c r="A13" s="8" t="s">
        <v>64</v>
      </c>
      <c r="B13" s="14"/>
      <c r="C13" s="10"/>
      <c r="D13" s="16"/>
      <c r="E13" s="16"/>
      <c r="F13" s="17">
        <v>170000</v>
      </c>
      <c r="G13" s="12"/>
      <c r="H13" s="12"/>
      <c r="I13" s="12">
        <v>2083680</v>
      </c>
      <c r="J13" s="12">
        <v>905744.74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33.75" x14ac:dyDescent="0.25">
      <c r="A14" s="8" t="s">
        <v>64</v>
      </c>
      <c r="B14" s="14"/>
      <c r="C14" s="10"/>
      <c r="D14" s="16"/>
      <c r="E14" s="16"/>
      <c r="F14" s="17"/>
      <c r="G14" s="12"/>
      <c r="H14" s="12"/>
      <c r="I14" s="12"/>
      <c r="J14" s="12"/>
      <c r="K14" s="12">
        <v>164356.01999999999</v>
      </c>
      <c r="L14" s="12">
        <v>1335</v>
      </c>
      <c r="M14" s="12">
        <v>43700</v>
      </c>
      <c r="N14" s="12"/>
      <c r="O14" s="12"/>
      <c r="P14" s="12"/>
      <c r="Q14" s="12"/>
      <c r="R14" s="12"/>
      <c r="S14" s="12"/>
      <c r="T14" s="12"/>
      <c r="U14" s="12"/>
      <c r="V14" s="13"/>
    </row>
    <row r="15" spans="1:22" ht="33.75" x14ac:dyDescent="0.25">
      <c r="A15" s="8" t="s">
        <v>64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>
        <f>165442.08+162923.95</f>
        <v>328366.03000000003</v>
      </c>
      <c r="O15" s="12">
        <v>3177.53</v>
      </c>
      <c r="P15" s="12"/>
      <c r="Q15" s="12"/>
      <c r="R15" s="12"/>
      <c r="S15" s="12"/>
      <c r="T15" s="12"/>
      <c r="U15" s="12"/>
      <c r="V15" s="13"/>
    </row>
    <row r="16" spans="1:22" ht="33.75" x14ac:dyDescent="0.25">
      <c r="A16" s="8" t="s">
        <v>64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>
        <v>107365.09</v>
      </c>
      <c r="Q16" s="12">
        <v>10041.969999999999</v>
      </c>
      <c r="R16" s="12">
        <v>2224.16</v>
      </c>
      <c r="S16" s="12"/>
      <c r="T16" s="12"/>
      <c r="U16" s="12"/>
      <c r="V16" s="13"/>
    </row>
    <row r="17" spans="1:23" ht="33.75" x14ac:dyDescent="0.25">
      <c r="A17" s="8" t="s">
        <v>64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51061.93</v>
      </c>
      <c r="T17" s="12">
        <v>13149.48</v>
      </c>
      <c r="U17" s="12"/>
      <c r="V17" s="13"/>
    </row>
    <row r="18" spans="1:23" ht="33.75" x14ac:dyDescent="0.25">
      <c r="A18" s="8" t="s">
        <v>64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3600</v>
      </c>
      <c r="V18" s="21"/>
    </row>
    <row r="19" spans="1:23" ht="33.75" x14ac:dyDescent="0.25">
      <c r="A19" s="8" t="s">
        <v>64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>
        <v>113800</v>
      </c>
    </row>
    <row r="20" spans="1:23" ht="34.5" thickBot="1" x14ac:dyDescent="0.3">
      <c r="A20" s="8" t="s">
        <v>64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3" ht="23.25" hidden="1" thickBot="1" x14ac:dyDescent="0.3">
      <c r="A21" s="8" t="s">
        <v>54</v>
      </c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3" ht="23.25" hidden="1" thickBot="1" x14ac:dyDescent="0.3">
      <c r="A22" s="8" t="s">
        <v>55</v>
      </c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3" ht="23.25" hidden="1" thickBot="1" x14ac:dyDescent="0.3">
      <c r="A23" s="8" t="s">
        <v>56</v>
      </c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3" ht="23.25" hidden="1" thickBot="1" x14ac:dyDescent="0.3">
      <c r="A24" s="8" t="s">
        <v>57</v>
      </c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3" ht="23.25" hidden="1" thickBot="1" x14ac:dyDescent="0.3">
      <c r="A25" s="8" t="s">
        <v>58</v>
      </c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3" ht="23.25" hidden="1" thickBot="1" x14ac:dyDescent="0.3">
      <c r="A26" s="8" t="s">
        <v>59</v>
      </c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3" ht="23.25" hidden="1" thickBot="1" x14ac:dyDescent="0.3">
      <c r="A27" s="8" t="s">
        <v>60</v>
      </c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3" ht="15.75" thickBot="1" x14ac:dyDescent="0.3">
      <c r="A28" s="24" t="s">
        <v>22</v>
      </c>
      <c r="B28" s="25">
        <f>SUM(B10:B27)</f>
        <v>9486010</v>
      </c>
      <c r="C28" s="26">
        <f>SUM(C11:C27)</f>
        <v>106411.54</v>
      </c>
      <c r="D28" s="26">
        <f>SUM(D10:D27)</f>
        <v>1264145.44</v>
      </c>
      <c r="E28" s="26"/>
      <c r="F28" s="26">
        <f>SUM(F10:F27)</f>
        <v>170000</v>
      </c>
      <c r="G28" s="26">
        <f>SUM(G10:G27)</f>
        <v>0</v>
      </c>
      <c r="H28" s="26">
        <f>SUM(H10:H27)</f>
        <v>0</v>
      </c>
      <c r="I28" s="6">
        <f>SUM(I10:I27)</f>
        <v>2083680</v>
      </c>
      <c r="J28" s="6">
        <f t="shared" ref="J28:Q28" si="0">SUM(J10:J27)</f>
        <v>905744.74</v>
      </c>
      <c r="K28" s="6">
        <f t="shared" si="0"/>
        <v>164356.01999999999</v>
      </c>
      <c r="L28" s="6">
        <f>SUM(L10:L27)</f>
        <v>1335</v>
      </c>
      <c r="M28" s="6">
        <f t="shared" si="0"/>
        <v>43700</v>
      </c>
      <c r="N28" s="6">
        <f t="shared" si="0"/>
        <v>328366.03000000003</v>
      </c>
      <c r="O28" s="6">
        <f t="shared" si="0"/>
        <v>3177.53</v>
      </c>
      <c r="P28" s="6">
        <f t="shared" si="0"/>
        <v>107365.09</v>
      </c>
      <c r="Q28" s="6">
        <f t="shared" si="0"/>
        <v>10041.969999999999</v>
      </c>
      <c r="R28" s="6">
        <f>SUM(R10:R27)</f>
        <v>2224.16</v>
      </c>
      <c r="S28" s="6">
        <f>SUM(S10:S27)</f>
        <v>51061.93</v>
      </c>
      <c r="T28" s="6">
        <f>SUM(T10:T27)</f>
        <v>13149.48</v>
      </c>
      <c r="U28" s="6">
        <f>SUM(U10:U27)</f>
        <v>3600</v>
      </c>
      <c r="V28" s="7">
        <f>SUM(V10:V27)</f>
        <v>113800</v>
      </c>
      <c r="W28" s="27"/>
    </row>
    <row r="29" spans="1:23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3" x14ac:dyDescent="0.25">
      <c r="I30" s="27"/>
    </row>
    <row r="31" spans="1:23" x14ac:dyDescent="0.25">
      <c r="I31" s="27"/>
      <c r="W31" s="27"/>
    </row>
    <row r="32" spans="1:23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932E-3A62-4814-AFDF-1C66C465E615}">
  <dimension ref="A3:U38"/>
  <sheetViews>
    <sheetView workbookViewId="0">
      <selection activeCell="Y29" sqref="Y29"/>
    </sheetView>
  </sheetViews>
  <sheetFormatPr defaultRowHeight="15" x14ac:dyDescent="0.25"/>
  <cols>
    <col min="1" max="1" width="12.5703125" customWidth="1"/>
    <col min="2" max="2" width="11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3.285156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29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30</v>
      </c>
      <c r="B10" s="4">
        <v>8287612.6299999999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31</v>
      </c>
      <c r="B11" s="14"/>
      <c r="C11" s="15">
        <v>184972.45</v>
      </c>
      <c r="D11" s="16">
        <f>63605.69+966628.45+50885.27</f>
        <v>1081119.4099999999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28</v>
      </c>
      <c r="B12" s="14"/>
      <c r="C12" s="10"/>
      <c r="D12" s="16"/>
      <c r="E12" s="17">
        <v>2021809.82</v>
      </c>
      <c r="F12" s="12">
        <v>249901.42</v>
      </c>
      <c r="G12" s="12">
        <v>1050774.69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28</v>
      </c>
      <c r="B13" s="14"/>
      <c r="C13" s="10"/>
      <c r="D13" s="16"/>
      <c r="E13" s="17"/>
      <c r="F13" s="12"/>
      <c r="G13" s="12"/>
      <c r="H13" s="12"/>
      <c r="I13" s="12">
        <v>1149265.32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28</v>
      </c>
      <c r="B14" s="14"/>
      <c r="C14" s="10"/>
      <c r="D14" s="16"/>
      <c r="E14" s="17"/>
      <c r="F14" s="12"/>
      <c r="G14" s="12"/>
      <c r="H14" s="12"/>
      <c r="I14" s="12"/>
      <c r="J14" s="12">
        <v>250337.48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28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v>0</v>
      </c>
      <c r="L15" s="12">
        <v>57173.26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28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>
        <f>84766.18+154163.26</f>
        <v>238929.44</v>
      </c>
      <c r="N16" s="12"/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28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>
        <v>2428.67</v>
      </c>
      <c r="O17" s="12">
        <v>142593.72</v>
      </c>
      <c r="P17" s="12">
        <v>10136.65</v>
      </c>
      <c r="Q17" s="12"/>
      <c r="R17" s="12"/>
      <c r="S17" s="12"/>
      <c r="T17" s="12"/>
      <c r="U17" s="13"/>
    </row>
    <row r="18" spans="1:21" x14ac:dyDescent="0.25">
      <c r="A18" s="8" t="s">
        <v>28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v>2080.6</v>
      </c>
      <c r="R18" s="20"/>
      <c r="S18" s="20"/>
      <c r="T18" s="20"/>
      <c r="U18" s="21"/>
    </row>
    <row r="19" spans="1:21" x14ac:dyDescent="0.25">
      <c r="A19" s="8" t="s">
        <v>28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>
        <v>264745.02</v>
      </c>
      <c r="S19" s="18">
        <v>39198.54</v>
      </c>
      <c r="T19" s="18"/>
      <c r="U19" s="22"/>
    </row>
    <row r="20" spans="1:21" ht="15.75" thickBot="1" x14ac:dyDescent="0.3">
      <c r="A20" s="8" t="s">
        <v>28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4440</v>
      </c>
      <c r="U20" s="21">
        <v>143834.4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</f>
        <v>8287612.6299999999</v>
      </c>
      <c r="C28" s="26">
        <f>SUM(C11:C27)</f>
        <v>184972.45</v>
      </c>
      <c r="D28" s="26">
        <f>SUM(D10:D27)</f>
        <v>1081119.4099999999</v>
      </c>
      <c r="E28" s="26">
        <f>SUM(E10:E27)</f>
        <v>2021809.82</v>
      </c>
      <c r="F28" s="26">
        <f>SUM(F10:F27)</f>
        <v>249901.42</v>
      </c>
      <c r="G28" s="26">
        <f>SUM(G10:G27)</f>
        <v>1050774.69</v>
      </c>
      <c r="H28" s="6">
        <f>E28+F28+G28</f>
        <v>3322485.93</v>
      </c>
      <c r="I28" s="6">
        <f t="shared" ref="I28:P28" si="0">SUM(I10:I27)</f>
        <v>1149265.32</v>
      </c>
      <c r="J28" s="6">
        <f t="shared" si="0"/>
        <v>250337.48</v>
      </c>
      <c r="K28" s="6">
        <f>SUM(K10:K27)</f>
        <v>0</v>
      </c>
      <c r="L28" s="6">
        <f t="shared" si="0"/>
        <v>57173.26</v>
      </c>
      <c r="M28" s="6">
        <f t="shared" si="0"/>
        <v>238929.44</v>
      </c>
      <c r="N28" s="6">
        <f t="shared" si="0"/>
        <v>2428.67</v>
      </c>
      <c r="O28" s="6">
        <f t="shared" si="0"/>
        <v>142593.72</v>
      </c>
      <c r="P28" s="6">
        <f t="shared" si="0"/>
        <v>10136.65</v>
      </c>
      <c r="Q28" s="6">
        <f>SUM(Q18:Q27)</f>
        <v>2080.6</v>
      </c>
      <c r="R28" s="6">
        <f>SUM(R10:R27)</f>
        <v>264745.02</v>
      </c>
      <c r="S28" s="6">
        <f>SUM(S10:S27)</f>
        <v>39198.54</v>
      </c>
      <c r="T28" s="6">
        <f>SUM(T10:T27)</f>
        <v>4440</v>
      </c>
      <c r="U28" s="7">
        <f>SUM(U10:U27)</f>
        <v>143834.4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6029-279D-4FD2-8526-C86BD4B48C31}">
  <dimension ref="A3:U38"/>
  <sheetViews>
    <sheetView workbookViewId="0">
      <selection activeCell="E34" sqref="E34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2.1406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32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28</v>
      </c>
      <c r="B10" s="4">
        <v>5479128.46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33</v>
      </c>
      <c r="B11" s="14"/>
      <c r="C11" s="15">
        <v>200513.81</v>
      </c>
      <c r="D11" s="16">
        <f>65455.73+52365.54+964782.12</f>
        <v>1082603.3899999999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31</v>
      </c>
      <c r="B12" s="14"/>
      <c r="C12" s="10"/>
      <c r="D12" s="16"/>
      <c r="E12" s="17">
        <v>1641140.23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31</v>
      </c>
      <c r="B13" s="14"/>
      <c r="C13" s="10"/>
      <c r="D13" s="16"/>
      <c r="E13" s="17"/>
      <c r="F13" s="12">
        <v>201448.23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31</v>
      </c>
      <c r="B14" s="14"/>
      <c r="C14" s="10"/>
      <c r="D14" s="16"/>
      <c r="E14" s="17"/>
      <c r="F14" s="12"/>
      <c r="G14" s="12">
        <v>986996.78</v>
      </c>
      <c r="H14" s="12"/>
      <c r="I14" s="12">
        <v>1078802.1299999999</v>
      </c>
      <c r="J14" s="12">
        <v>343078.04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31</v>
      </c>
      <c r="B15" s="14"/>
      <c r="C15" s="10"/>
      <c r="D15" s="16"/>
      <c r="E15" s="17"/>
      <c r="F15" s="12"/>
      <c r="G15" s="12"/>
      <c r="H15" s="12"/>
      <c r="I15" s="12"/>
      <c r="J15" s="12"/>
      <c r="K15" s="12">
        <v>9070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31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>
        <v>31546.44</v>
      </c>
      <c r="M16" s="12">
        <f>90503.57+153732.58</f>
        <v>244236.15</v>
      </c>
      <c r="N16" s="12"/>
      <c r="O16" s="12"/>
      <c r="P16" s="12"/>
      <c r="Q16" s="12"/>
      <c r="R16" s="12"/>
      <c r="S16" s="12"/>
      <c r="T16" s="12"/>
      <c r="U16" s="13"/>
    </row>
    <row r="17" spans="1:21" x14ac:dyDescent="0.25">
      <c r="A17" s="8" t="s">
        <v>31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>
        <v>1619.12</v>
      </c>
      <c r="O17" s="12">
        <v>134456.03</v>
      </c>
      <c r="P17" s="12">
        <v>10136.65</v>
      </c>
      <c r="Q17" s="12"/>
      <c r="R17" s="12"/>
      <c r="S17" s="12"/>
      <c r="T17" s="12"/>
      <c r="U17" s="13"/>
    </row>
    <row r="18" spans="1:21" x14ac:dyDescent="0.25">
      <c r="A18" s="8" t="s">
        <v>31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>
        <v>2080.6</v>
      </c>
      <c r="R18" s="20">
        <v>132372.51</v>
      </c>
      <c r="S18" s="20"/>
      <c r="T18" s="20"/>
      <c r="U18" s="21"/>
    </row>
    <row r="19" spans="1:21" x14ac:dyDescent="0.25">
      <c r="A19" s="8" t="s">
        <v>31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v>39198.54</v>
      </c>
      <c r="T19" s="18"/>
      <c r="U19" s="22"/>
    </row>
    <row r="20" spans="1:21" ht="15.75" thickBot="1" x14ac:dyDescent="0.3">
      <c r="A20" s="8" t="s">
        <v>31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4320</v>
      </c>
      <c r="U20" s="21">
        <v>126062.39999999999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SUM(B10:B27)+0.01</f>
        <v>5479128.4699999997</v>
      </c>
      <c r="C28" s="26">
        <f>SUM(C11:C27)</f>
        <v>200513.81</v>
      </c>
      <c r="D28" s="26">
        <f>SUM(D10:D27)</f>
        <v>1082603.3899999999</v>
      </c>
      <c r="E28" s="26">
        <f>SUM(E10:E27)</f>
        <v>1641140.23</v>
      </c>
      <c r="F28" s="26">
        <f>SUM(F10:F27)</f>
        <v>201448.23</v>
      </c>
      <c r="G28" s="26">
        <f>SUM(G10:G27)</f>
        <v>986996.78</v>
      </c>
      <c r="H28" s="6">
        <f>E28+F28+G28</f>
        <v>2829585.24</v>
      </c>
      <c r="I28" s="6">
        <f t="shared" ref="I28:P28" si="0">SUM(I10:I27)</f>
        <v>1078802.1299999999</v>
      </c>
      <c r="J28" s="6">
        <f t="shared" si="0"/>
        <v>343078.04</v>
      </c>
      <c r="K28" s="6">
        <f>SUM(K10:K27)</f>
        <v>9070</v>
      </c>
      <c r="L28" s="6">
        <f t="shared" si="0"/>
        <v>31546.44</v>
      </c>
      <c r="M28" s="6">
        <f t="shared" si="0"/>
        <v>244236.15</v>
      </c>
      <c r="N28" s="6">
        <f t="shared" si="0"/>
        <v>1619.12</v>
      </c>
      <c r="O28" s="6">
        <f t="shared" si="0"/>
        <v>134456.03</v>
      </c>
      <c r="P28" s="6">
        <f t="shared" si="0"/>
        <v>10136.65</v>
      </c>
      <c r="Q28" s="6">
        <f>SUM(Q18:Q27)</f>
        <v>2080.6</v>
      </c>
      <c r="R28" s="6">
        <f>SUM(R10:R27)</f>
        <v>132372.51</v>
      </c>
      <c r="S28" s="6">
        <f>SUM(S10:S27)</f>
        <v>39198.54</v>
      </c>
      <c r="T28" s="6">
        <f>SUM(T10:T27)</f>
        <v>4320</v>
      </c>
      <c r="U28" s="7">
        <f>SUM(U10:U27)</f>
        <v>126062.39999999999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/>
    </row>
    <row r="37" spans="5:15" x14ac:dyDescent="0.25">
      <c r="E37" s="27"/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F1E9-04F2-41FB-B06D-53FD81E2D8C2}">
  <dimension ref="A3:U38"/>
  <sheetViews>
    <sheetView workbookViewId="0">
      <selection activeCell="D11" sqref="D11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10.42578125" customWidth="1"/>
    <col min="6" max="6" width="8.7109375" customWidth="1"/>
    <col min="7" max="7" width="10.28515625" customWidth="1"/>
    <col min="8" max="8" width="13.425781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7.5703125" customWidth="1"/>
    <col min="20" max="20" width="6.85546875" customWidth="1"/>
    <col min="21" max="21" width="8.570312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34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20</v>
      </c>
      <c r="U9" s="7" t="s">
        <v>21</v>
      </c>
    </row>
    <row r="10" spans="1:21" x14ac:dyDescent="0.25">
      <c r="A10" s="8" t="s">
        <v>31</v>
      </c>
      <c r="B10" s="4">
        <v>8070568.4500000002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x14ac:dyDescent="0.25">
      <c r="A11" s="8" t="s">
        <v>33</v>
      </c>
      <c r="B11" s="14"/>
      <c r="C11" s="15">
        <v>0</v>
      </c>
      <c r="D11" s="16">
        <f>998380.59+67406</f>
        <v>1065786.5899999999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x14ac:dyDescent="0.25">
      <c r="A12" s="8" t="s">
        <v>33</v>
      </c>
      <c r="B12" s="14"/>
      <c r="C12" s="10"/>
      <c r="D12" s="16"/>
      <c r="E12" s="17">
        <v>2112073.5099999998</v>
      </c>
      <c r="F12" s="12">
        <v>244595.01</v>
      </c>
      <c r="G12" s="12">
        <v>1139028.3700000001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x14ac:dyDescent="0.25">
      <c r="A13" s="8" t="s">
        <v>33</v>
      </c>
      <c r="B13" s="14"/>
      <c r="C13" s="10"/>
      <c r="D13" s="16"/>
      <c r="E13" s="17"/>
      <c r="F13" s="12"/>
      <c r="G13" s="12"/>
      <c r="H13" s="12"/>
      <c r="I13" s="12">
        <v>1037452.19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21" x14ac:dyDescent="0.25">
      <c r="A14" s="8" t="s">
        <v>33</v>
      </c>
      <c r="B14" s="14"/>
      <c r="C14" s="10"/>
      <c r="D14" s="16"/>
      <c r="E14" s="17"/>
      <c r="F14" s="12"/>
      <c r="G14" s="12"/>
      <c r="H14" s="12"/>
      <c r="I14" s="12"/>
      <c r="J14" s="12">
        <v>284033.77</v>
      </c>
      <c r="K14" s="12">
        <v>0</v>
      </c>
      <c r="L14" s="12">
        <v>76688.06</v>
      </c>
      <c r="M14" s="12"/>
      <c r="N14" s="12"/>
      <c r="O14" s="12"/>
      <c r="P14" s="12"/>
      <c r="Q14" s="12"/>
      <c r="R14" s="12"/>
      <c r="S14" s="12"/>
      <c r="T14" s="12"/>
      <c r="U14" s="13"/>
    </row>
    <row r="15" spans="1:21" x14ac:dyDescent="0.25">
      <c r="A15" s="8" t="s">
        <v>33</v>
      </c>
      <c r="B15" s="14"/>
      <c r="C15" s="10"/>
      <c r="D15" s="16"/>
      <c r="E15" s="17"/>
      <c r="F15" s="12"/>
      <c r="G15" s="12"/>
      <c r="H15" s="12"/>
      <c r="I15" s="12"/>
      <c r="J15" s="12"/>
      <c r="K15" s="12"/>
      <c r="L15" s="12"/>
      <c r="M15" s="12">
        <f>84766.18+149882.24</f>
        <v>234648.41999999998</v>
      </c>
      <c r="N15" s="12"/>
      <c r="O15" s="12"/>
      <c r="P15" s="12"/>
      <c r="Q15" s="12"/>
      <c r="R15" s="12"/>
      <c r="S15" s="12"/>
      <c r="T15" s="12"/>
      <c r="U15" s="13"/>
    </row>
    <row r="16" spans="1:21" x14ac:dyDescent="0.25">
      <c r="A16" s="8" t="s">
        <v>33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/>
      <c r="N16" s="12">
        <v>3238.23</v>
      </c>
      <c r="O16" s="12">
        <v>142593.72</v>
      </c>
      <c r="P16" s="12"/>
      <c r="Q16" s="12"/>
      <c r="R16" s="12"/>
      <c r="S16" s="12"/>
      <c r="T16" s="12"/>
      <c r="U16" s="13"/>
    </row>
    <row r="17" spans="1:21" x14ac:dyDescent="0.25">
      <c r="A17" s="8" t="s">
        <v>33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>
        <v>10136.65</v>
      </c>
      <c r="Q17" s="12">
        <v>2080.6</v>
      </c>
      <c r="R17" s="12"/>
      <c r="S17" s="12"/>
      <c r="T17" s="12"/>
      <c r="U17" s="13"/>
    </row>
    <row r="18" spans="1:21" x14ac:dyDescent="0.25">
      <c r="A18" s="8" t="s">
        <v>33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/>
      <c r="R18" s="20">
        <v>264745.02</v>
      </c>
      <c r="S18" s="20"/>
      <c r="T18" s="20"/>
      <c r="U18" s="21"/>
    </row>
    <row r="19" spans="1:21" x14ac:dyDescent="0.25">
      <c r="A19" s="8" t="s">
        <v>33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>
        <v>39198.54</v>
      </c>
      <c r="T19" s="18"/>
      <c r="U19" s="22"/>
    </row>
    <row r="20" spans="1:21" ht="15.75" thickBot="1" x14ac:dyDescent="0.3">
      <c r="A20" s="8" t="s">
        <v>33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4560</v>
      </c>
      <c r="U20" s="21">
        <v>146854.79999999999</v>
      </c>
    </row>
    <row r="21" spans="1:21" ht="15.75" hidden="1" thickBot="1" x14ac:dyDescent="0.3">
      <c r="A21" s="8"/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hidden="1" thickBot="1" x14ac:dyDescent="0.3">
      <c r="A22" s="8"/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hidden="1" thickBot="1" x14ac:dyDescent="0.3">
      <c r="A23" s="8"/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hidden="1" thickBot="1" x14ac:dyDescent="0.3">
      <c r="A24" s="8"/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1" ht="15.75" hidden="1" thickBot="1" x14ac:dyDescent="0.3">
      <c r="A25" s="8"/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hidden="1" thickBot="1" x14ac:dyDescent="0.3">
      <c r="A26" s="8"/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1" ht="15.75" hidden="1" thickBot="1" x14ac:dyDescent="0.3">
      <c r="A27" s="8"/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1" ht="15.75" thickBot="1" x14ac:dyDescent="0.3">
      <c r="A28" s="24" t="s">
        <v>22</v>
      </c>
      <c r="B28" s="25">
        <f>SUM(B10:B27)+0.01</f>
        <v>8070568.46</v>
      </c>
      <c r="C28" s="26">
        <f>SUM(C11:C27)</f>
        <v>0</v>
      </c>
      <c r="D28" s="26">
        <f>SUM(D10:D27)</f>
        <v>1065786.5899999999</v>
      </c>
      <c r="E28" s="26">
        <f>SUM(E10:E27)</f>
        <v>2112073.5099999998</v>
      </c>
      <c r="F28" s="26">
        <f>SUM(F10:F27)</f>
        <v>244595.01</v>
      </c>
      <c r="G28" s="26">
        <f>SUM(G10:G27)</f>
        <v>1139028.3700000001</v>
      </c>
      <c r="H28" s="6">
        <f>E28+F28+G28</f>
        <v>3495696.8899999997</v>
      </c>
      <c r="I28" s="6">
        <f t="shared" ref="I28:P28" si="0">SUM(I10:I27)</f>
        <v>1037452.19</v>
      </c>
      <c r="J28" s="6">
        <f t="shared" si="0"/>
        <v>284033.77</v>
      </c>
      <c r="K28" s="6">
        <f>SUM(K10:K27)</f>
        <v>0</v>
      </c>
      <c r="L28" s="6">
        <f t="shared" si="0"/>
        <v>76688.06</v>
      </c>
      <c r="M28" s="6">
        <f t="shared" si="0"/>
        <v>234648.41999999998</v>
      </c>
      <c r="N28" s="6">
        <f t="shared" si="0"/>
        <v>3238.23</v>
      </c>
      <c r="O28" s="6">
        <f t="shared" si="0"/>
        <v>142593.72</v>
      </c>
      <c r="P28" s="6">
        <f t="shared" si="0"/>
        <v>10136.65</v>
      </c>
      <c r="Q28" s="6">
        <f>SUM(Q10:Q27)</f>
        <v>2080.6</v>
      </c>
      <c r="R28" s="6">
        <f>SUM(R10:R27)</f>
        <v>264745.02</v>
      </c>
      <c r="S28" s="6">
        <f>SUM(S10:S27)</f>
        <v>39198.54</v>
      </c>
      <c r="T28" s="6">
        <f>SUM(T10:T27)</f>
        <v>4560</v>
      </c>
      <c r="U28" s="7">
        <f>SUM(U10:U27)</f>
        <v>146854.79999999999</v>
      </c>
    </row>
    <row r="29" spans="1:21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H30" s="27"/>
    </row>
    <row r="31" spans="1:21" x14ac:dyDescent="0.25">
      <c r="H31" s="27"/>
    </row>
    <row r="32" spans="1:21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>
        <f>B28+D28+H28+I28+J28+L28+M28+N28+O28+P28+Q28+R28+S28+T28+U28</f>
        <v>14878281.940000001</v>
      </c>
      <c r="O34" t="s">
        <v>23</v>
      </c>
    </row>
    <row r="35" spans="5:15" x14ac:dyDescent="0.25">
      <c r="H35" s="28"/>
      <c r="O35" t="s">
        <v>24</v>
      </c>
    </row>
    <row r="36" spans="5:15" x14ac:dyDescent="0.25">
      <c r="H36" s="27">
        <v>14878281.930000011</v>
      </c>
    </row>
    <row r="37" spans="5:15" x14ac:dyDescent="0.25">
      <c r="E37" s="27"/>
      <c r="H37" s="27"/>
      <c r="I37" s="28"/>
    </row>
    <row r="38" spans="5:15" x14ac:dyDescent="0.25">
      <c r="E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002-ECE1-4167-9C7E-1719B8A305A3}">
  <dimension ref="A3:V38"/>
  <sheetViews>
    <sheetView topLeftCell="A4" workbookViewId="0">
      <selection activeCell="U33" sqref="U33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8" customWidth="1"/>
    <col min="6" max="6" width="10.42578125" customWidth="1"/>
    <col min="7" max="7" width="8.7109375" customWidth="1"/>
    <col min="8" max="8" width="10.28515625" customWidth="1"/>
    <col min="9" max="9" width="13.4257812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35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x14ac:dyDescent="0.25">
      <c r="A10" s="8" t="s">
        <v>33</v>
      </c>
      <c r="B10" s="4">
        <v>8809714.2799999993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36</v>
      </c>
      <c r="B11" s="14"/>
      <c r="C11" s="15">
        <f>185501.2+204536.14</f>
        <v>390037.34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36</v>
      </c>
      <c r="B12" s="14"/>
      <c r="C12" s="10"/>
      <c r="D12" s="16">
        <f>1044950+66080.22+52865.23+54073.22</f>
        <v>1217968.67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36</v>
      </c>
      <c r="B13" s="14"/>
      <c r="C13" s="10"/>
      <c r="D13" s="16"/>
      <c r="E13" s="16"/>
      <c r="F13" s="17">
        <v>2258276.06</v>
      </c>
      <c r="G13" s="12">
        <v>220639.7</v>
      </c>
      <c r="H13" s="12">
        <v>1157247.05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36</v>
      </c>
      <c r="B14" s="14"/>
      <c r="C14" s="10"/>
      <c r="D14" s="16"/>
      <c r="E14" s="16"/>
      <c r="F14" s="17"/>
      <c r="G14" s="12"/>
      <c r="H14" s="12"/>
      <c r="I14" s="12"/>
      <c r="J14" s="12">
        <v>1195322.0900000001</v>
      </c>
      <c r="K14" s="12">
        <v>259354.93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36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>
        <v>4533.3999999999996</v>
      </c>
      <c r="M15" s="12">
        <v>46015.91</v>
      </c>
      <c r="N15" s="12">
        <f>172100.34+154056.58</f>
        <v>326156.92</v>
      </c>
      <c r="O15" s="12"/>
      <c r="P15" s="12"/>
      <c r="Q15" s="12"/>
      <c r="R15" s="12"/>
      <c r="S15" s="12"/>
      <c r="T15" s="12"/>
      <c r="U15" s="12"/>
      <c r="V15" s="13"/>
    </row>
    <row r="16" spans="1:22" x14ac:dyDescent="0.25">
      <c r="A16" s="8" t="s">
        <v>36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>
        <v>1214.3399999999999</v>
      </c>
      <c r="P16" s="12">
        <v>140037.29</v>
      </c>
      <c r="Q16" s="12"/>
      <c r="R16" s="12"/>
      <c r="S16" s="12"/>
      <c r="T16" s="12"/>
      <c r="U16" s="12"/>
      <c r="V16" s="13"/>
    </row>
    <row r="17" spans="1:22" x14ac:dyDescent="0.25">
      <c r="A17" s="8" t="s">
        <v>36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>
        <v>10136.65</v>
      </c>
      <c r="R17" s="12">
        <v>2080.6</v>
      </c>
      <c r="S17" s="12"/>
      <c r="T17" s="12"/>
      <c r="U17" s="12"/>
      <c r="V17" s="13"/>
    </row>
    <row r="18" spans="1:22" x14ac:dyDescent="0.25">
      <c r="A18" s="8" t="s">
        <v>36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>
        <v>132372.51</v>
      </c>
      <c r="T18" s="20"/>
      <c r="U18" s="20"/>
      <c r="V18" s="21"/>
    </row>
    <row r="19" spans="1:22" x14ac:dyDescent="0.25">
      <c r="A19" s="8" t="s">
        <v>36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>
        <v>39198.54</v>
      </c>
      <c r="U19" s="18"/>
      <c r="V19" s="22"/>
    </row>
    <row r="20" spans="1:22" ht="15.75" thickBot="1" x14ac:dyDescent="0.3">
      <c r="A20" s="8" t="s">
        <v>36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>
        <v>4200</v>
      </c>
      <c r="V20" s="21">
        <v>148262.39999999999</v>
      </c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8809714.2799999993</v>
      </c>
      <c r="C28" s="26">
        <f>SUM(C11:C27)</f>
        <v>390037.34</v>
      </c>
      <c r="D28" s="26">
        <f>SUM(D10:D27)</f>
        <v>1217968.67</v>
      </c>
      <c r="E28" s="26">
        <v>79.56</v>
      </c>
      <c r="F28" s="26">
        <f>SUM(F10:F27)</f>
        <v>2258276.06</v>
      </c>
      <c r="G28" s="26">
        <f>SUM(G10:G27)</f>
        <v>220639.7</v>
      </c>
      <c r="H28" s="26">
        <f>SUM(H10:H27)</f>
        <v>1157247.05</v>
      </c>
      <c r="I28" s="6">
        <f>F28+G28+H28</f>
        <v>3636162.8100000005</v>
      </c>
      <c r="J28" s="6">
        <f t="shared" ref="J28:Q28" si="0">SUM(J10:J27)</f>
        <v>1195322.0900000001</v>
      </c>
      <c r="K28" s="6">
        <f t="shared" si="0"/>
        <v>259354.93</v>
      </c>
      <c r="L28" s="6">
        <f>SUM(L10:L27)</f>
        <v>4533.3999999999996</v>
      </c>
      <c r="M28" s="6">
        <f t="shared" si="0"/>
        <v>46015.91</v>
      </c>
      <c r="N28" s="6">
        <f t="shared" si="0"/>
        <v>326156.92</v>
      </c>
      <c r="O28" s="6">
        <f t="shared" si="0"/>
        <v>1214.3399999999999</v>
      </c>
      <c r="P28" s="6">
        <f t="shared" si="0"/>
        <v>140037.29</v>
      </c>
      <c r="Q28" s="6">
        <f t="shared" si="0"/>
        <v>10136.65</v>
      </c>
      <c r="R28" s="6">
        <f>SUM(R10:R27)</f>
        <v>2080.6</v>
      </c>
      <c r="S28" s="6">
        <f>SUM(S10:S27)</f>
        <v>132372.51</v>
      </c>
      <c r="T28" s="6">
        <f>SUM(T10:T27)</f>
        <v>39198.54</v>
      </c>
      <c r="U28" s="6">
        <f>SUM(U10:U27)</f>
        <v>4200</v>
      </c>
      <c r="V28" s="7">
        <f>SUM(V10:V27)</f>
        <v>148262.39999999999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06FF-D0BB-4990-B6EC-2546688F071F}">
  <dimension ref="A3:V38"/>
  <sheetViews>
    <sheetView topLeftCell="A4" workbookViewId="0">
      <selection activeCell="I33" sqref="I33:I39"/>
    </sheetView>
  </sheetViews>
  <sheetFormatPr defaultRowHeight="15" x14ac:dyDescent="0.25"/>
  <cols>
    <col min="1" max="1" width="10.5703125" customWidth="1"/>
    <col min="2" max="2" width="10.140625" customWidth="1"/>
    <col min="3" max="3" width="8.7109375" customWidth="1"/>
    <col min="4" max="4" width="10.28515625" customWidth="1"/>
    <col min="5" max="5" width="8" hidden="1" customWidth="1"/>
    <col min="6" max="6" width="10.42578125" customWidth="1"/>
    <col min="7" max="7" width="8.7109375" customWidth="1"/>
    <col min="8" max="8" width="10.28515625" customWidth="1"/>
    <col min="9" max="9" width="12.710937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38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ht="22.5" x14ac:dyDescent="0.25">
      <c r="A10" s="8" t="s">
        <v>39</v>
      </c>
      <c r="B10" s="4">
        <v>4912775.26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40</v>
      </c>
      <c r="B11" s="14"/>
      <c r="C11" s="15">
        <v>192070</v>
      </c>
      <c r="D11" s="16">
        <f>1132910+76815.8+39405.55</f>
        <v>1249131.3500000001</v>
      </c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40</v>
      </c>
      <c r="B12" s="14"/>
      <c r="C12" s="10"/>
      <c r="D12" s="16"/>
      <c r="E12" s="16"/>
      <c r="F12" s="17">
        <v>1519759.11</v>
      </c>
      <c r="G12" s="12">
        <v>237032.06</v>
      </c>
      <c r="H12" s="12">
        <v>1133107.8799999999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40</v>
      </c>
      <c r="B13" s="14"/>
      <c r="C13" s="10"/>
      <c r="D13" s="16"/>
      <c r="E13" s="16"/>
      <c r="F13" s="17"/>
      <c r="G13" s="12"/>
      <c r="H13" s="12"/>
      <c r="I13" s="12"/>
      <c r="J13" s="12">
        <v>1051814.8600000001</v>
      </c>
      <c r="K13" s="12">
        <v>224354.23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40</v>
      </c>
      <c r="B14" s="14"/>
      <c r="C14" s="10"/>
      <c r="D14" s="16"/>
      <c r="E14" s="16"/>
      <c r="F14" s="17"/>
      <c r="G14" s="12"/>
      <c r="H14" s="12"/>
      <c r="I14" s="12"/>
      <c r="J14" s="12"/>
      <c r="K14" s="12"/>
      <c r="L14" s="12">
        <v>4532.68</v>
      </c>
      <c r="M14" s="12">
        <v>48577.14</v>
      </c>
      <c r="N14" s="12">
        <f>166608.86+153732.58</f>
        <v>320341.43999999994</v>
      </c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40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/>
      <c r="O15" s="12">
        <v>2023.9</v>
      </c>
      <c r="P15" s="12">
        <v>142593.72</v>
      </c>
      <c r="Q15" s="12"/>
      <c r="R15" s="12"/>
      <c r="S15" s="12"/>
      <c r="T15" s="12"/>
      <c r="U15" s="12"/>
      <c r="V15" s="13"/>
    </row>
    <row r="16" spans="1:22" x14ac:dyDescent="0.25">
      <c r="A16" s="8" t="s">
        <v>40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10136.65</v>
      </c>
      <c r="R16" s="12">
        <v>2080.6</v>
      </c>
      <c r="S16" s="12"/>
      <c r="T16" s="12"/>
      <c r="U16" s="12"/>
      <c r="V16" s="13"/>
    </row>
    <row r="17" spans="1:22" x14ac:dyDescent="0.25">
      <c r="A17" s="8" t="s">
        <v>40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132372.51</v>
      </c>
      <c r="T17" s="12">
        <v>39198.54</v>
      </c>
      <c r="U17" s="12"/>
      <c r="V17" s="13"/>
    </row>
    <row r="18" spans="1:22" x14ac:dyDescent="0.25">
      <c r="A18" s="8" t="s">
        <v>40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4440</v>
      </c>
      <c r="V18" s="21"/>
    </row>
    <row r="19" spans="1:22" x14ac:dyDescent="0.25">
      <c r="A19" s="8" t="s">
        <v>40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>
        <v>127457.98</v>
      </c>
    </row>
    <row r="20" spans="1:22" ht="15.75" thickBot="1" x14ac:dyDescent="0.3">
      <c r="A20" s="8" t="s">
        <v>40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4912775.26</v>
      </c>
      <c r="C28" s="26">
        <f>SUM(C11:C27)</f>
        <v>192070</v>
      </c>
      <c r="D28" s="26">
        <f>SUM(D10:D27)</f>
        <v>1249131.3500000001</v>
      </c>
      <c r="E28" s="26"/>
      <c r="F28" s="26">
        <f>SUM(F10:F27)</f>
        <v>1519759.11</v>
      </c>
      <c r="G28" s="26">
        <f>SUM(G10:G27)</f>
        <v>237032.06</v>
      </c>
      <c r="H28" s="26">
        <f>SUM(H10:H27)</f>
        <v>1133107.8799999999</v>
      </c>
      <c r="I28" s="6">
        <f>F28+G28+H28</f>
        <v>2889899.05</v>
      </c>
      <c r="J28" s="6">
        <f t="shared" ref="J28:Q28" si="0">SUM(J10:J27)</f>
        <v>1051814.8600000001</v>
      </c>
      <c r="K28" s="6">
        <f t="shared" si="0"/>
        <v>224354.23</v>
      </c>
      <c r="L28" s="6">
        <f>SUM(L10:L27)</f>
        <v>4532.68</v>
      </c>
      <c r="M28" s="6">
        <f t="shared" si="0"/>
        <v>48577.14</v>
      </c>
      <c r="N28" s="6">
        <f t="shared" si="0"/>
        <v>320341.43999999994</v>
      </c>
      <c r="O28" s="6">
        <f t="shared" si="0"/>
        <v>2023.9</v>
      </c>
      <c r="P28" s="6">
        <f t="shared" si="0"/>
        <v>142593.72</v>
      </c>
      <c r="Q28" s="6">
        <f t="shared" si="0"/>
        <v>10136.65</v>
      </c>
      <c r="R28" s="6">
        <f>SUM(R10:R27)</f>
        <v>2080.6</v>
      </c>
      <c r="S28" s="6">
        <f>SUM(S10:S27)</f>
        <v>132372.51</v>
      </c>
      <c r="T28" s="6">
        <f>SUM(T10:T27)</f>
        <v>39198.54</v>
      </c>
      <c r="U28" s="6">
        <f>SUM(U10:U27)</f>
        <v>4440</v>
      </c>
      <c r="V28" s="7">
        <f>SUM(V10:V27)</f>
        <v>127457.98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A228-E8E8-4F67-A6EB-DE89E10C142A}">
  <dimension ref="A3:V38"/>
  <sheetViews>
    <sheetView topLeftCell="A4" workbookViewId="0">
      <selection activeCell="K41" sqref="K41"/>
    </sheetView>
  </sheetViews>
  <sheetFormatPr defaultRowHeight="15" x14ac:dyDescent="0.25"/>
  <cols>
    <col min="1" max="1" width="10.5703125" customWidth="1"/>
    <col min="2" max="2" width="12" customWidth="1"/>
    <col min="3" max="3" width="8.7109375" customWidth="1"/>
    <col min="4" max="4" width="10.28515625" customWidth="1"/>
    <col min="5" max="5" width="8" hidden="1" customWidth="1"/>
    <col min="6" max="6" width="10.42578125" customWidth="1"/>
    <col min="7" max="7" width="8.7109375" customWidth="1"/>
    <col min="8" max="8" width="10.28515625" customWidth="1"/>
    <col min="9" max="9" width="12.710937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41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ht="22.5" x14ac:dyDescent="0.25">
      <c r="A10" s="8" t="s">
        <v>43</v>
      </c>
      <c r="B10" s="4">
        <v>12597373.59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42</v>
      </c>
      <c r="B11" s="14"/>
      <c r="C11" s="15"/>
      <c r="D11" s="16">
        <v>1176560.94</v>
      </c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42</v>
      </c>
      <c r="B12" s="14"/>
      <c r="C12" s="10"/>
      <c r="D12" s="16"/>
      <c r="E12" s="16"/>
      <c r="F12" s="17">
        <v>2678354.69</v>
      </c>
      <c r="G12" s="12">
        <v>205704.54</v>
      </c>
      <c r="H12" s="12">
        <v>1086429.27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42</v>
      </c>
      <c r="B13" s="14"/>
      <c r="C13" s="10"/>
      <c r="D13" s="16"/>
      <c r="E13" s="16"/>
      <c r="F13" s="17"/>
      <c r="G13" s="12"/>
      <c r="H13" s="12"/>
      <c r="I13" s="12"/>
      <c r="J13" s="12">
        <v>1452708.67</v>
      </c>
      <c r="K13" s="12">
        <v>201662.8</v>
      </c>
      <c r="L13" s="12">
        <v>4532.68</v>
      </c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42</v>
      </c>
      <c r="B14" s="14"/>
      <c r="C14" s="10"/>
      <c r="D14" s="16"/>
      <c r="E14" s="16"/>
      <c r="F14" s="17"/>
      <c r="G14" s="12"/>
      <c r="H14" s="12"/>
      <c r="I14" s="12"/>
      <c r="J14" s="12"/>
      <c r="K14" s="12"/>
      <c r="L14" s="12"/>
      <c r="M14" s="12">
        <v>68437.539999999994</v>
      </c>
      <c r="N14" s="12">
        <f>172346.25+156520.58</f>
        <v>328866.82999999996</v>
      </c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42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/>
      <c r="O15" s="12">
        <v>2023.9</v>
      </c>
      <c r="P15" s="12">
        <v>109862.24</v>
      </c>
      <c r="Q15" s="12">
        <v>10136.65</v>
      </c>
      <c r="R15" s="12"/>
      <c r="S15" s="12"/>
      <c r="T15" s="12"/>
      <c r="U15" s="12"/>
      <c r="V15" s="13"/>
    </row>
    <row r="16" spans="1:22" x14ac:dyDescent="0.25">
      <c r="A16" s="8" t="s">
        <v>42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2080.6</v>
      </c>
      <c r="S16" s="12"/>
      <c r="T16" s="12">
        <v>47485.8</v>
      </c>
      <c r="U16" s="12"/>
      <c r="V16" s="13"/>
    </row>
    <row r="17" spans="1:22" x14ac:dyDescent="0.25">
      <c r="A17" s="8" t="s">
        <v>42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4320</v>
      </c>
      <c r="V17" s="13"/>
    </row>
    <row r="18" spans="1:22" x14ac:dyDescent="0.25">
      <c r="A18" s="8" t="s">
        <v>42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>
        <v>152250.01999999999</v>
      </c>
    </row>
    <row r="19" spans="1:22" x14ac:dyDescent="0.25">
      <c r="A19" s="8" t="s">
        <v>42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</row>
    <row r="20" spans="1:22" ht="15.75" thickBot="1" x14ac:dyDescent="0.3">
      <c r="A20" s="8" t="s">
        <v>42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12597373.59</v>
      </c>
      <c r="C28" s="26">
        <f>SUM(C11:C27)</f>
        <v>0</v>
      </c>
      <c r="D28" s="26">
        <f>SUM(D10:D27)</f>
        <v>1176560.94</v>
      </c>
      <c r="E28" s="26"/>
      <c r="F28" s="26">
        <f>SUM(F10:F27)</f>
        <v>2678354.69</v>
      </c>
      <c r="G28" s="26">
        <f>SUM(G10:G27)</f>
        <v>205704.54</v>
      </c>
      <c r="H28" s="26">
        <f>SUM(H10:H27)</f>
        <v>1086429.27</v>
      </c>
      <c r="I28" s="6">
        <f>F28+G28+H28</f>
        <v>3970488.5</v>
      </c>
      <c r="J28" s="6">
        <f t="shared" ref="J28:Q28" si="0">SUM(J10:J27)</f>
        <v>1452708.67</v>
      </c>
      <c r="K28" s="6">
        <f t="shared" si="0"/>
        <v>201662.8</v>
      </c>
      <c r="L28" s="6">
        <f>SUM(L10:L27)</f>
        <v>4532.68</v>
      </c>
      <c r="M28" s="6">
        <f t="shared" si="0"/>
        <v>68437.539999999994</v>
      </c>
      <c r="N28" s="6">
        <f t="shared" si="0"/>
        <v>328866.82999999996</v>
      </c>
      <c r="O28" s="6">
        <f t="shared" si="0"/>
        <v>2023.9</v>
      </c>
      <c r="P28" s="6">
        <f t="shared" si="0"/>
        <v>109862.24</v>
      </c>
      <c r="Q28" s="6">
        <f t="shared" si="0"/>
        <v>10136.65</v>
      </c>
      <c r="R28" s="6">
        <f>SUM(R10:R27)</f>
        <v>2080.6</v>
      </c>
      <c r="S28" s="6">
        <f>SUM(S10:S27)</f>
        <v>0</v>
      </c>
      <c r="T28" s="6">
        <f>SUM(T10:T27)</f>
        <v>47485.8</v>
      </c>
      <c r="U28" s="6">
        <f>SUM(U10:U27)</f>
        <v>4320</v>
      </c>
      <c r="V28" s="7">
        <f>SUM(V10:V27)</f>
        <v>152250.01999999999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388C-558A-4140-A87E-C947E281853B}">
  <dimension ref="A3:V38"/>
  <sheetViews>
    <sheetView topLeftCell="A4" workbookViewId="0">
      <selection activeCell="K40" sqref="K40"/>
    </sheetView>
  </sheetViews>
  <sheetFormatPr defaultRowHeight="15" x14ac:dyDescent="0.25"/>
  <cols>
    <col min="1" max="1" width="10.5703125" customWidth="1"/>
    <col min="2" max="2" width="12" customWidth="1"/>
    <col min="3" max="3" width="8.7109375" customWidth="1"/>
    <col min="4" max="4" width="10.28515625" customWidth="1"/>
    <col min="5" max="5" width="8" hidden="1" customWidth="1"/>
    <col min="6" max="6" width="12.28515625" customWidth="1"/>
    <col min="7" max="7" width="8.7109375" customWidth="1"/>
    <col min="8" max="8" width="10.28515625" customWidth="1"/>
    <col min="9" max="9" width="12.710937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44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x14ac:dyDescent="0.25">
      <c r="A10" s="8" t="s">
        <v>42</v>
      </c>
      <c r="B10" s="4">
        <v>8258798.879999998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45</v>
      </c>
      <c r="B11" s="14"/>
      <c r="C11" s="15">
        <v>206890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42</v>
      </c>
      <c r="B12" s="14"/>
      <c r="C12" s="10"/>
      <c r="D12" s="16">
        <f>1252514.9+79888.42+84396.72</f>
        <v>1416800.0399999998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42</v>
      </c>
      <c r="B13" s="14"/>
      <c r="C13" s="10"/>
      <c r="D13" s="16"/>
      <c r="E13" s="16"/>
      <c r="F13" s="17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42</v>
      </c>
      <c r="B14" s="14"/>
      <c r="C14" s="10"/>
      <c r="D14" s="16"/>
      <c r="E14" s="16"/>
      <c r="F14" s="1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42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1:22" x14ac:dyDescent="0.25">
      <c r="A16" s="8" t="s">
        <v>42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</row>
    <row r="17" spans="1:22" x14ac:dyDescent="0.25">
      <c r="A17" s="8" t="s">
        <v>42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</row>
    <row r="18" spans="1:22" x14ac:dyDescent="0.25">
      <c r="A18" s="8" t="s">
        <v>42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x14ac:dyDescent="0.25">
      <c r="A19" s="8" t="s">
        <v>42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</row>
    <row r="20" spans="1:22" ht="15.75" thickBot="1" x14ac:dyDescent="0.3">
      <c r="A20" s="8" t="s">
        <v>42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8258798.879999998</v>
      </c>
      <c r="C28" s="26">
        <f>SUM(C11:C27)</f>
        <v>206890</v>
      </c>
      <c r="D28" s="26">
        <f>SUM(D10:D27)</f>
        <v>1416800.0399999998</v>
      </c>
      <c r="E28" s="26"/>
      <c r="F28" s="26">
        <f>SUM(F10:F27)</f>
        <v>0</v>
      </c>
      <c r="G28" s="26">
        <f>SUM(G10:G27)</f>
        <v>0</v>
      </c>
      <c r="H28" s="26">
        <f>SUM(H10:H27)</f>
        <v>0</v>
      </c>
      <c r="I28" s="6">
        <f>F28+G28+H28</f>
        <v>0</v>
      </c>
      <c r="J28" s="6">
        <f t="shared" ref="J28:Q28" si="0">SUM(J10:J27)</f>
        <v>0</v>
      </c>
      <c r="K28" s="6">
        <f t="shared" si="0"/>
        <v>0</v>
      </c>
      <c r="L28" s="6">
        <f>SUM(L10:L27)</f>
        <v>0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0</v>
      </c>
      <c r="Q28" s="6">
        <f t="shared" si="0"/>
        <v>0</v>
      </c>
      <c r="R28" s="6">
        <f>SUM(R10:R27)</f>
        <v>0</v>
      </c>
      <c r="S28" s="6">
        <f>SUM(S10:S27)</f>
        <v>0</v>
      </c>
      <c r="T28" s="6">
        <f>SUM(T10:T27)</f>
        <v>0</v>
      </c>
      <c r="U28" s="6">
        <f>SUM(U10:U27)</f>
        <v>0</v>
      </c>
      <c r="V28" s="7">
        <f>SUM(V10:V27)</f>
        <v>0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F72D-CC2D-4321-9EE5-EC388BDE741E}">
  <dimension ref="A3:V38"/>
  <sheetViews>
    <sheetView topLeftCell="A4" workbookViewId="0">
      <selection activeCell="I38" sqref="I38"/>
    </sheetView>
  </sheetViews>
  <sheetFormatPr defaultRowHeight="15" x14ac:dyDescent="0.25"/>
  <cols>
    <col min="1" max="1" width="10.5703125" customWidth="1"/>
    <col min="2" max="2" width="12" customWidth="1"/>
    <col min="3" max="3" width="8.7109375" customWidth="1"/>
    <col min="4" max="4" width="10.28515625" customWidth="1"/>
    <col min="5" max="5" width="8" hidden="1" customWidth="1"/>
    <col min="6" max="6" width="10.5703125" customWidth="1"/>
    <col min="7" max="7" width="8.7109375" customWidth="1"/>
    <col min="8" max="8" width="10.28515625" customWidth="1"/>
    <col min="9" max="9" width="12.7109375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7.5703125" customWidth="1"/>
    <col min="21" max="21" width="6.85546875" customWidth="1"/>
    <col min="22" max="22" width="8.570312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46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4.5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37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7" t="s">
        <v>21</v>
      </c>
    </row>
    <row r="10" spans="1:22" x14ac:dyDescent="0.25">
      <c r="A10" s="8" t="s">
        <v>45</v>
      </c>
      <c r="B10" s="4">
        <v>9116396.3100000005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x14ac:dyDescent="0.25">
      <c r="A11" s="8" t="s">
        <v>47</v>
      </c>
      <c r="B11" s="14"/>
      <c r="C11" s="15">
        <f>82390+194368.56</f>
        <v>276758.56</v>
      </c>
      <c r="D11" s="16"/>
      <c r="E11" s="16"/>
      <c r="F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x14ac:dyDescent="0.25">
      <c r="A12" s="8" t="s">
        <v>42</v>
      </c>
      <c r="B12" s="14"/>
      <c r="C12" s="10"/>
      <c r="D12" s="16">
        <f>65309.21+63911.94</f>
        <v>129221.15</v>
      </c>
      <c r="E12" s="16"/>
      <c r="F12" s="1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x14ac:dyDescent="0.25">
      <c r="A13" s="8" t="s">
        <v>42</v>
      </c>
      <c r="B13" s="14"/>
      <c r="C13" s="10"/>
      <c r="D13" s="16"/>
      <c r="E13" s="16"/>
      <c r="F13" s="17">
        <v>2459857.09</v>
      </c>
      <c r="G13" s="12">
        <v>260776.11</v>
      </c>
      <c r="H13" s="12">
        <v>1271953.95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8" t="s">
        <v>42</v>
      </c>
      <c r="B14" s="14"/>
      <c r="C14" s="10"/>
      <c r="D14" s="16"/>
      <c r="E14" s="16"/>
      <c r="F14" s="17"/>
      <c r="G14" s="12"/>
      <c r="H14" s="12"/>
      <c r="I14" s="12"/>
      <c r="J14" s="12">
        <v>1483982.48</v>
      </c>
      <c r="K14" s="12">
        <f>150480.23+190001.1</f>
        <v>340481.33</v>
      </c>
      <c r="L14" s="12">
        <v>4558.12</v>
      </c>
      <c r="M14" s="12">
        <v>47853.919999999998</v>
      </c>
      <c r="N14" s="12"/>
      <c r="O14" s="12"/>
      <c r="P14" s="12"/>
      <c r="Q14" s="12"/>
      <c r="R14" s="12"/>
      <c r="S14" s="12"/>
      <c r="T14" s="12"/>
      <c r="U14" s="12"/>
      <c r="V14" s="13"/>
    </row>
    <row r="15" spans="1:22" x14ac:dyDescent="0.25">
      <c r="A15" s="8" t="s">
        <v>42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12"/>
      <c r="M15" s="12"/>
      <c r="N15" s="12">
        <f>166608.86+150461.55</f>
        <v>317070.40999999997</v>
      </c>
      <c r="O15" s="12">
        <v>4047.8</v>
      </c>
      <c r="P15" s="12"/>
      <c r="Q15" s="12"/>
      <c r="R15" s="12"/>
      <c r="S15" s="12"/>
      <c r="T15" s="12"/>
      <c r="U15" s="12"/>
      <c r="V15" s="13"/>
    </row>
    <row r="16" spans="1:22" x14ac:dyDescent="0.25">
      <c r="A16" s="8" t="s">
        <v>42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>
        <v>142593.72</v>
      </c>
      <c r="Q16" s="12">
        <v>10136.65</v>
      </c>
      <c r="R16" s="12">
        <v>2080.6</v>
      </c>
      <c r="S16" s="12">
        <v>264745.02</v>
      </c>
      <c r="T16" s="12"/>
      <c r="U16" s="12"/>
      <c r="V16" s="13"/>
    </row>
    <row r="17" spans="1:22" x14ac:dyDescent="0.25">
      <c r="A17" s="8" t="s">
        <v>42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53430.12</v>
      </c>
      <c r="U17" s="12">
        <v>3240</v>
      </c>
      <c r="V17" s="13">
        <v>161113.20000000001</v>
      </c>
    </row>
    <row r="18" spans="1:22" x14ac:dyDescent="0.25">
      <c r="A18" s="8" t="s">
        <v>42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x14ac:dyDescent="0.25">
      <c r="A19" s="8" t="s">
        <v>42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</row>
    <row r="20" spans="1:22" ht="15.75" thickBot="1" x14ac:dyDescent="0.3">
      <c r="A20" s="8" t="s">
        <v>42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2" ht="15.75" hidden="1" thickBot="1" x14ac:dyDescent="0.3">
      <c r="A21" s="8"/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2" ht="15.75" hidden="1" thickBot="1" x14ac:dyDescent="0.3">
      <c r="A22" s="8"/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2" ht="15.75" hidden="1" thickBot="1" x14ac:dyDescent="0.3">
      <c r="A23" s="8"/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2" ht="15.75" hidden="1" thickBot="1" x14ac:dyDescent="0.3">
      <c r="A24" s="8"/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2" ht="15.75" hidden="1" thickBot="1" x14ac:dyDescent="0.3">
      <c r="A25" s="8"/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2" ht="15.75" hidden="1" thickBot="1" x14ac:dyDescent="0.3">
      <c r="A26" s="8"/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2" ht="15.75" hidden="1" thickBot="1" x14ac:dyDescent="0.3">
      <c r="A27" s="8"/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2" ht="15.75" thickBot="1" x14ac:dyDescent="0.3">
      <c r="A28" s="24" t="s">
        <v>22</v>
      </c>
      <c r="B28" s="25">
        <f>SUM(B10:B27)</f>
        <v>9116396.3100000005</v>
      </c>
      <c r="C28" s="26">
        <f>SUM(C11:C27)</f>
        <v>276758.56</v>
      </c>
      <c r="D28" s="26">
        <f>SUM(D10:D27)</f>
        <v>129221.15</v>
      </c>
      <c r="E28" s="26"/>
      <c r="F28" s="26">
        <f>SUM(F10:F27)</f>
        <v>2459857.09</v>
      </c>
      <c r="G28" s="26">
        <f>SUM(G10:G27)</f>
        <v>260776.11</v>
      </c>
      <c r="H28" s="26">
        <f>SUM(H10:H27)</f>
        <v>1271953.95</v>
      </c>
      <c r="I28" s="6">
        <f>F28+G28+H28</f>
        <v>3992587.1499999994</v>
      </c>
      <c r="J28" s="6">
        <f t="shared" ref="J28:Q28" si="0">SUM(J10:J27)</f>
        <v>1483982.48</v>
      </c>
      <c r="K28" s="6">
        <f t="shared" si="0"/>
        <v>340481.33</v>
      </c>
      <c r="L28" s="6">
        <f>SUM(L10:L27)</f>
        <v>4558.12</v>
      </c>
      <c r="M28" s="6">
        <f t="shared" si="0"/>
        <v>47853.919999999998</v>
      </c>
      <c r="N28" s="6">
        <f t="shared" si="0"/>
        <v>317070.40999999997</v>
      </c>
      <c r="O28" s="6">
        <f t="shared" si="0"/>
        <v>4047.8</v>
      </c>
      <c r="P28" s="6">
        <f t="shared" si="0"/>
        <v>142593.72</v>
      </c>
      <c r="Q28" s="6">
        <f t="shared" si="0"/>
        <v>10136.65</v>
      </c>
      <c r="R28" s="6">
        <f>SUM(R10:R27)</f>
        <v>2080.6</v>
      </c>
      <c r="S28" s="6">
        <f>SUM(S10:S27)</f>
        <v>264745.02</v>
      </c>
      <c r="T28" s="6">
        <f>SUM(T10:T27)</f>
        <v>53430.12</v>
      </c>
      <c r="U28" s="6">
        <f>SUM(U10:U27)</f>
        <v>3240</v>
      </c>
      <c r="V28" s="7">
        <f>SUM(V10:V27)</f>
        <v>161113.20000000001</v>
      </c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I30" s="27"/>
    </row>
    <row r="31" spans="1:22" x14ac:dyDescent="0.25">
      <c r="I31" s="27"/>
    </row>
    <row r="32" spans="1:22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>
        <f>B28+C28+D28+I28+J28+K28+L28+M28+N28+O28+P28+Q28+R28+S28+T28+U28+V28</f>
        <v>16350296.540000001</v>
      </c>
      <c r="P34" t="s">
        <v>23</v>
      </c>
    </row>
    <row r="35" spans="6:16" x14ac:dyDescent="0.25">
      <c r="I35" s="28"/>
      <c r="P35" t="s">
        <v>24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12</vt:i4>
      </vt:variant>
    </vt:vector>
  </HeadingPairs>
  <TitlesOfParts>
    <vt:vector size="12" baseType="lpstr">
      <vt:lpstr>IANUARIE 2023</vt:lpstr>
      <vt:lpstr>FEBRUARIE 2023 </vt:lpstr>
      <vt:lpstr>MARTIE 2023  </vt:lpstr>
      <vt:lpstr>APRILIE 2023 </vt:lpstr>
      <vt:lpstr>MAI 2023 </vt:lpstr>
      <vt:lpstr>IUNIE 2023</vt:lpstr>
      <vt:lpstr>IULIE 2023</vt:lpstr>
      <vt:lpstr>AUGUST2023</vt:lpstr>
      <vt:lpstr>SEPTEMBRIE2023</vt:lpstr>
      <vt:lpstr>OCTOMBRIE 2023</vt:lpstr>
      <vt:lpstr>NOIEMBRIE 2023</vt:lpstr>
      <vt:lpstr>DECEMBRIE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Casa de Asigurari de Sanatate Slatina OLT</cp:lastModifiedBy>
  <cp:lastPrinted>2023-12-04T08:01:33Z</cp:lastPrinted>
  <dcterms:created xsi:type="dcterms:W3CDTF">2015-06-05T18:19:34Z</dcterms:created>
  <dcterms:modified xsi:type="dcterms:W3CDTF">2024-01-16T13:56:14Z</dcterms:modified>
</cp:coreProperties>
</file>