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<sst xmlns="http://schemas.openxmlformats.org/spreadsheetml/2006/main" count="41" uniqueCount="41">
  <si>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CASA DE ASIGURĂRI DE SĂNĂTATE OLT</t>
  </si>
  <si>
    <t>SITUATIA</t>
  </si>
  <si>
    <t>Nr. crt.</t>
  </si>
  <si>
    <t>Indicatori/perioadă</t>
  </si>
  <si>
    <t>Credite angajament aprobate an 2016, din care:</t>
  </si>
  <si>
    <t>ianuarie 2016 - CONSUM REALIZAT IN LIMITA CR. ANGAJ.</t>
  </si>
  <si>
    <t>februarie 2016 - CONSUM REALIZAT IN LIMITA CR. ANGAJ.</t>
  </si>
  <si>
    <t>martie 2016  - CONSUM REALIZAT IN LIMITA CR. ANGAJ.</t>
  </si>
  <si>
    <t>5=2+3+4</t>
  </si>
  <si>
    <t>Trim. I 2016  - CONSUM REALIZAT IN LIMITA CR. ANGAJ.</t>
  </si>
  <si>
    <t>9=6+7+8</t>
  </si>
  <si>
    <t>10=5+9</t>
  </si>
  <si>
    <t>14=11+12+13</t>
  </si>
  <si>
    <t>15=10+14</t>
  </si>
  <si>
    <t>19=16+17+18</t>
  </si>
  <si>
    <t>20=5+9+14+ 19</t>
  </si>
  <si>
    <t>Consum mediu lunar 2015</t>
  </si>
  <si>
    <t>Consum mediu lunar AN 2016</t>
  </si>
  <si>
    <t>aprilie 2016  - CONSUM REALIZAT IN LIMITA CR. ANGAJ.</t>
  </si>
  <si>
    <t>mai 2016  - CONSUM REALIZAT IN LIMITA CR. ANGAJ.</t>
  </si>
  <si>
    <t>iunie 2016   - CONSUM REALIZAT IN LIMITA CR. ANGAJ.</t>
  </si>
  <si>
    <t>Trim. II 2016  - CONSUM REALIZAT IN LIMITA CR. ANGAJ.</t>
  </si>
  <si>
    <t>Total sem. I 2016  - CONSUM REALIZAT IN LIMITA CREDITE ANGAJAMENT</t>
  </si>
  <si>
    <t>iulie 2016  - CONSUM REALIZAT IN LIMITA CR. ANGAJ.</t>
  </si>
  <si>
    <t>august 2016  - CONSUM REALIZAT IN LIMITA CR. ANGAJ.</t>
  </si>
  <si>
    <t>septembrie 2016  - CONSUM REALIZAT IN LIMITA CR. ANGAJ.</t>
  </si>
  <si>
    <t>Total trim. III 2016 - CONSUM REALIZAT IN LIMITA CR. ANGAJ.</t>
  </si>
  <si>
    <t>Total 9 luni 2016 - CONSUM REALIZAT IN LIMITA CR. ANGAJ.</t>
  </si>
  <si>
    <t>octombrie 2016  - CONSUM REALIZAT IN LIMITA CR. ANGAJ.</t>
  </si>
  <si>
    <t>noiembrie 2016 - CONSUM REALIZAT IN LIMITA CR. ANGAJ.</t>
  </si>
  <si>
    <t>CREDITELOR DE ANGAJAMENT PENTRU ELIBERARE MEDICAMENTE CU ŞI FĂRĂ CONTRIBUŢIE PERSONALĂ REALIZATE IN ANUL 2016, CA URMARE A VALIDARII CONSUMULUI RAPORTAT PENTRU LUNA DECEMBRIE 2016 IN LIMITA CREDITELOR DE ANGAJAMENT APROBATE PENTRU ANUL 2016 CONFORM ADRESEI CNAS NR. P10956/30.12.2016</t>
  </si>
  <si>
    <t>Limite trimestriale credite angajament aprobate CNAS - activitate curentă</t>
  </si>
  <si>
    <t>CREDITE DE ANGAJAMENT MEDICAMENTE COMPENSAT+ GRATUIT (activitate curenta) REALIZATE AN 2016/ CONSUM REALIZAT 2016</t>
  </si>
  <si>
    <t>Limite trimestriale credite angajament aprobate CNAS - 40% MS</t>
  </si>
  <si>
    <t>CREDITE DE ANGAJAMENT MEDICAMENTE 40% MS REALIZATE AN 2016/ CONSUM REALIZAT 2016</t>
  </si>
  <si>
    <t>decembrie 2016- CONSUM REALIZAT IN LIMITA CR. ANGAJ.</t>
  </si>
  <si>
    <t>Total trim. IV 2016- CONSUM REALIZAT IN LIMITA CR. ANGAJ.</t>
  </si>
  <si>
    <t>TOTAL AN 2016- CONSUM REALIZAT IN LIMITA CR. ANGAJ.</t>
  </si>
  <si>
    <t>21=1-20</t>
  </si>
  <si>
    <t>Credite angajament neconsumate la 31.12.2016 - ECONOMII</t>
  </si>
  <si>
    <t>22=20/ 12 luni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</si>
</sst>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right" vertical="top"/>
    </xf>
    <xf numFmtId="4" fontId="2" fillId="0" borderId="6" xfId="0" applyNumberFormat="1" applyFont="1" applyBorder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right" vertical="top"/>
    </xf>
    <xf numFmtId="4" fontId="1" fillId="2" borderId="6" xfId="0" applyNumberFormat="1" applyFont="1" applyFill="1" applyBorder="1" applyAlignment="1">
      <alignment horizontal="right" vertical="top"/>
    </xf>
    <xf numFmtId="0" fontId="1" fillId="2" borderId="7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vertical="top"/>
    </xf>
    <xf numFmtId="4" fontId="2" fillId="0" borderId="5" xfId="0" applyNumberFormat="1" applyFont="1" applyFill="1" applyBorder="1" applyAlignment="1">
      <alignment vertical="top"/>
    </xf>
    <xf numFmtId="49" fontId="1" fillId="2" borderId="9" xfId="0" applyNumberFormat="1" applyFont="1" applyFill="1" applyBorder="1" applyAlignment="1">
      <alignment vertical="top"/>
    </xf>
    <xf numFmtId="4" fontId="1" fillId="2" borderId="9" xfId="0" applyNumberFormat="1" applyFont="1" applyFill="1" applyBorder="1" applyAlignment="1">
      <alignment vertical="top"/>
    </xf>
    <xf numFmtId="4" fontId="1" fillId="2" borderId="10" xfId="0" applyNumberFormat="1" applyFont="1" applyFill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2" fillId="0" borderId="5" xfId="0" applyNumberFormat="1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top"/>
    </xf>
    <xf numFmtId="4" fontId="2" fillId="0" borderId="6" xfId="0" applyNumberFormat="1" applyFont="1" applyBorder="1" applyAlignment="1" quotePrefix="1">
      <alignment vertical="top"/>
    </xf>
    <xf numFmtId="0" fontId="1" fillId="2" borderId="12" xfId="0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vertical="top"/>
    </xf>
    <xf numFmtId="4" fontId="1" fillId="2" borderId="13" xfId="0" applyNumberFormat="1" applyFont="1" applyFill="1" applyBorder="1" applyAlignment="1">
      <alignment vertical="top"/>
    </xf>
    <xf numFmtId="4" fontId="1" fillId="2" borderId="14" xfId="0" applyNumberFormat="1" applyFont="1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1">
      <selection activeCell="B34" sqref="B34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7.140625" style="2" customWidth="1"/>
    <col min="4" max="4" width="30.00390625" style="2" customWidth="1"/>
    <col min="5" max="5" width="17.7109375" style="2" customWidth="1"/>
    <col min="6" max="6" width="25.140625" style="2" customWidth="1"/>
    <col min="7" max="7" width="9.140625" style="2" customWidth="1"/>
    <col min="8" max="8" width="11.7109375" style="2" customWidth="1"/>
    <col min="9" max="9" width="12.00390625" style="2" customWidth="1"/>
    <col min="10" max="16384" width="9.140625" style="2" customWidth="1"/>
  </cols>
  <sheetData>
    <row r="1" spans="1:6" ht="12.75">
      <c r="A1" s="1" t="s">
        <v>0</v>
      </c>
      <c r="F1" s="1"/>
    </row>
    <row r="2" spans="1:5" ht="6.75" customHeight="1">
      <c r="A2" s="1"/>
      <c r="D2" s="3"/>
      <c r="E2" s="3"/>
    </row>
    <row r="3" spans="2:6" ht="12.75">
      <c r="B3" s="40" t="s">
        <v>1</v>
      </c>
      <c r="C3" s="40"/>
      <c r="D3" s="40"/>
      <c r="E3" s="40"/>
      <c r="F3" s="40"/>
    </row>
    <row r="4" spans="1:8" s="5" customFormat="1" ht="41.25" customHeight="1">
      <c r="A4" s="41" t="s">
        <v>30</v>
      </c>
      <c r="B4" s="41"/>
      <c r="C4" s="41"/>
      <c r="D4" s="41"/>
      <c r="E4" s="41"/>
      <c r="F4" s="41"/>
      <c r="G4" s="4"/>
      <c r="H4" s="4"/>
    </row>
    <row r="5" ht="8.25" customHeight="1" thickBot="1"/>
    <row r="6" spans="1:6" ht="77.25" customHeight="1">
      <c r="A6" s="6" t="s">
        <v>2</v>
      </c>
      <c r="B6" s="7" t="s">
        <v>3</v>
      </c>
      <c r="C6" s="7" t="s">
        <v>31</v>
      </c>
      <c r="D6" s="7" t="s">
        <v>32</v>
      </c>
      <c r="E6" s="7" t="s">
        <v>33</v>
      </c>
      <c r="F6" s="8" t="s">
        <v>34</v>
      </c>
    </row>
    <row r="7" spans="1:6" ht="12.75">
      <c r="A7" s="9">
        <v>0</v>
      </c>
      <c r="B7" s="10">
        <v>1</v>
      </c>
      <c r="C7" s="10">
        <v>2</v>
      </c>
      <c r="D7" s="10">
        <v>3</v>
      </c>
      <c r="E7" s="10">
        <v>4</v>
      </c>
      <c r="F7" s="11">
        <v>5</v>
      </c>
    </row>
    <row r="8" spans="1:9" ht="12.75">
      <c r="A8" s="12">
        <v>1</v>
      </c>
      <c r="B8" s="13" t="s">
        <v>4</v>
      </c>
      <c r="C8" s="22">
        <f>ROUND(C12+C16+C21+C26,2)</f>
        <v>73839000</v>
      </c>
      <c r="D8" s="14">
        <f>35312000+31804000+5650000+1073000</f>
        <v>73839000</v>
      </c>
      <c r="E8" s="22">
        <f>ROUND(E12+E16+E21+E26,2)</f>
        <v>1546000</v>
      </c>
      <c r="F8" s="15">
        <f>533000+408000+602000+3000</f>
        <v>1546000</v>
      </c>
      <c r="H8" s="16"/>
      <c r="I8" s="16"/>
    </row>
    <row r="9" spans="1:9" ht="12.75">
      <c r="A9" s="17">
        <v>2</v>
      </c>
      <c r="B9" s="18" t="s">
        <v>5</v>
      </c>
      <c r="C9" s="37"/>
      <c r="D9" s="19">
        <f>6418000-664470.76</f>
        <v>5753529.24</v>
      </c>
      <c r="E9" s="19"/>
      <c r="F9" s="20">
        <f>177700-44532.76</f>
        <v>133167.24</v>
      </c>
      <c r="H9" s="16"/>
      <c r="I9" s="16"/>
    </row>
    <row r="10" spans="1:9" ht="12.75">
      <c r="A10" s="17">
        <v>3</v>
      </c>
      <c r="B10" s="18" t="s">
        <v>6</v>
      </c>
      <c r="C10" s="37"/>
      <c r="D10" s="19">
        <f>6418000+664470.76-1065511</f>
        <v>6016959.76</v>
      </c>
      <c r="E10" s="19"/>
      <c r="F10" s="20">
        <f>177700+44532.76-97310.15</f>
        <v>124922.61000000002</v>
      </c>
      <c r="H10" s="16"/>
      <c r="I10" s="16"/>
    </row>
    <row r="11" spans="1:9" ht="12.75">
      <c r="A11" s="9">
        <v>4</v>
      </c>
      <c r="B11" s="18" t="s">
        <v>7</v>
      </c>
      <c r="C11" s="37"/>
      <c r="D11" s="19">
        <f>6418000+1065511-960203.01</f>
        <v>6523307.99</v>
      </c>
      <c r="E11" s="19"/>
      <c r="F11" s="20">
        <f>177600+97310.15-142653.79</f>
        <v>132256.36000000002</v>
      </c>
      <c r="H11" s="16"/>
      <c r="I11" s="16"/>
    </row>
    <row r="12" spans="1:9" s="1" customFormat="1" ht="12.75">
      <c r="A12" s="21" t="s">
        <v>8</v>
      </c>
      <c r="B12" s="13" t="s">
        <v>9</v>
      </c>
      <c r="C12" s="14">
        <v>19254000</v>
      </c>
      <c r="D12" s="22">
        <f>SUM(D9:D11)</f>
        <v>18293796.990000002</v>
      </c>
      <c r="E12" s="22">
        <v>533000</v>
      </c>
      <c r="F12" s="23">
        <f>SUM(F9:F11)</f>
        <v>390346.21</v>
      </c>
      <c r="H12" s="16"/>
      <c r="I12" s="16"/>
    </row>
    <row r="13" spans="1:9" ht="12.75">
      <c r="A13" s="17">
        <v>6</v>
      </c>
      <c r="B13" s="18" t="s">
        <v>18</v>
      </c>
      <c r="C13" s="37"/>
      <c r="D13" s="19">
        <f>5400000+960203.01-248186.38</f>
        <v>6112016.63</v>
      </c>
      <c r="E13" s="19"/>
      <c r="F13" s="20">
        <f>136000+142653.79-154654.67</f>
        <v>123999.12000000002</v>
      </c>
      <c r="H13" s="16"/>
      <c r="I13" s="16"/>
    </row>
    <row r="14" spans="1:9" ht="12.75">
      <c r="A14" s="17">
        <v>7</v>
      </c>
      <c r="B14" s="18" t="s">
        <v>19</v>
      </c>
      <c r="C14" s="37"/>
      <c r="D14" s="19">
        <f>5400000+248186.38+435325.89</f>
        <v>6083512.27</v>
      </c>
      <c r="E14" s="19"/>
      <c r="F14" s="20">
        <f>136000+154654.67-162917.36</f>
        <v>127737.31000000006</v>
      </c>
      <c r="H14" s="16"/>
      <c r="I14" s="16"/>
    </row>
    <row r="15" spans="1:9" s="5" customFormat="1" ht="12.75">
      <c r="A15" s="17">
        <v>8</v>
      </c>
      <c r="B15" s="42" t="s">
        <v>20</v>
      </c>
      <c r="C15" s="43"/>
      <c r="D15" s="19">
        <f>5258000-435325.89+1377325.89-153620.98</f>
        <v>6046379.02</v>
      </c>
      <c r="E15" s="19"/>
      <c r="F15" s="20">
        <f>136000+162917.36-163917.36-11286.03</f>
        <v>123713.97</v>
      </c>
      <c r="H15" s="16"/>
      <c r="I15" s="16"/>
    </row>
    <row r="16" spans="1:9" ht="12.75">
      <c r="A16" s="44" t="s">
        <v>10</v>
      </c>
      <c r="B16" s="13" t="s">
        <v>21</v>
      </c>
      <c r="C16" s="14">
        <v>17435330</v>
      </c>
      <c r="D16" s="22">
        <f>SUM(D13:D15)</f>
        <v>18241907.919999998</v>
      </c>
      <c r="E16" s="22">
        <v>244080</v>
      </c>
      <c r="F16" s="23">
        <f>SUM(F13:F15)</f>
        <v>375450.4000000001</v>
      </c>
      <c r="H16" s="16"/>
      <c r="I16" s="16"/>
    </row>
    <row r="17" spans="1:9" s="1" customFormat="1" ht="25.5">
      <c r="A17" s="21" t="s">
        <v>11</v>
      </c>
      <c r="B17" s="45" t="s">
        <v>22</v>
      </c>
      <c r="C17" s="14">
        <f>C12+C16</f>
        <v>36689330</v>
      </c>
      <c r="D17" s="22">
        <f>D12+D16</f>
        <v>36535704.91</v>
      </c>
      <c r="E17" s="14">
        <f>E12+E16</f>
        <v>777080</v>
      </c>
      <c r="F17" s="23">
        <f>F12+F16</f>
        <v>765796.6100000001</v>
      </c>
      <c r="H17" s="16"/>
      <c r="I17" s="16"/>
    </row>
    <row r="18" spans="1:9" ht="12.75">
      <c r="A18" s="17">
        <v>11</v>
      </c>
      <c r="B18" s="18" t="s">
        <v>23</v>
      </c>
      <c r="C18" s="37"/>
      <c r="D18" s="46">
        <f>6100000+153620.98+4.11-342664.59</f>
        <v>5910960.500000001</v>
      </c>
      <c r="E18" s="46"/>
      <c r="F18" s="47">
        <f>135000+11286.03-2.64-22107.11</f>
        <v>124176.27999999998</v>
      </c>
      <c r="H18" s="16"/>
      <c r="I18" s="16"/>
    </row>
    <row r="19" spans="1:9" ht="12.75">
      <c r="A19" s="17">
        <v>12</v>
      </c>
      <c r="B19" s="18" t="s">
        <v>24</v>
      </c>
      <c r="C19" s="37"/>
      <c r="D19" s="26">
        <f>6100000+342664.59-542521.88</f>
        <v>5900142.71</v>
      </c>
      <c r="E19" s="26"/>
      <c r="F19" s="20">
        <f>135000+22107.11-31749.49</f>
        <v>125357.61999999998</v>
      </c>
      <c r="H19" s="16"/>
      <c r="I19" s="16"/>
    </row>
    <row r="20" spans="1:9" ht="12.75">
      <c r="A20" s="17">
        <v>13</v>
      </c>
      <c r="B20" s="27" t="s">
        <v>25</v>
      </c>
      <c r="C20" s="26"/>
      <c r="D20" s="28">
        <f>6100000+542521.88-562133.05</f>
        <v>6080388.83</v>
      </c>
      <c r="E20" s="28"/>
      <c r="F20" s="20">
        <f>135000+31749.49-46066.1</f>
        <v>120683.38999999998</v>
      </c>
      <c r="H20" s="16"/>
      <c r="I20" s="16"/>
    </row>
    <row r="21" spans="1:9" s="1" customFormat="1" ht="25.5">
      <c r="A21" s="21" t="s">
        <v>12</v>
      </c>
      <c r="B21" s="45" t="s">
        <v>26</v>
      </c>
      <c r="C21" s="14">
        <v>18300000</v>
      </c>
      <c r="D21" s="22">
        <f>ROUND(D18+D19+D20,2)</f>
        <v>17891492.04</v>
      </c>
      <c r="E21" s="14">
        <v>405000</v>
      </c>
      <c r="F21" s="23">
        <f>ROUND(F18+F19+F20,2)</f>
        <v>370217.29</v>
      </c>
      <c r="H21" s="16"/>
      <c r="I21" s="16"/>
    </row>
    <row r="22" spans="1:9" s="1" customFormat="1" ht="25.5">
      <c r="A22" s="21" t="s">
        <v>13</v>
      </c>
      <c r="B22" s="45" t="s">
        <v>27</v>
      </c>
      <c r="C22" s="14">
        <f>C17+C21</f>
        <v>54989330</v>
      </c>
      <c r="D22" s="22">
        <f>ROUND(D17+D21,2)</f>
        <v>54427196.95</v>
      </c>
      <c r="E22" s="14">
        <f>E17+E21</f>
        <v>1182080</v>
      </c>
      <c r="F22" s="23">
        <f>ROUND(F17+F21,2)</f>
        <v>1136013.9</v>
      </c>
      <c r="H22" s="16"/>
      <c r="I22" s="16"/>
    </row>
    <row r="23" spans="1:9" ht="12.75">
      <c r="A23" s="17">
        <v>16</v>
      </c>
      <c r="B23" s="27" t="s">
        <v>28</v>
      </c>
      <c r="C23" s="26"/>
      <c r="D23" s="26">
        <f>6100000+299965.47</f>
        <v>6399965.47</v>
      </c>
      <c r="E23" s="26"/>
      <c r="F23" s="20">
        <f>135000-9253.39</f>
        <v>125746.61</v>
      </c>
      <c r="H23" s="16"/>
      <c r="I23" s="16"/>
    </row>
    <row r="24" spans="1:12" ht="12.75">
      <c r="A24" s="17">
        <v>17</v>
      </c>
      <c r="B24" s="27" t="s">
        <v>29</v>
      </c>
      <c r="C24" s="26"/>
      <c r="D24" s="28">
        <f>6100000-73325.89-4.11+479127.03</f>
        <v>6505797.03</v>
      </c>
      <c r="E24" s="28"/>
      <c r="F24" s="20">
        <f>135000+9253.39-12208</f>
        <v>132045.39</v>
      </c>
      <c r="H24" s="16"/>
      <c r="I24" s="16"/>
      <c r="L24" s="16"/>
    </row>
    <row r="25" spans="1:9" ht="12.75">
      <c r="A25" s="17">
        <v>18</v>
      </c>
      <c r="B25" s="27" t="s">
        <v>35</v>
      </c>
      <c r="C25" s="26"/>
      <c r="D25" s="26">
        <f>5650000+562133.05-299965.47-479127.03+1073000-202125.74</f>
        <v>6303914.81</v>
      </c>
      <c r="E25" s="26"/>
      <c r="F25" s="20">
        <f>90917.36+2.64+3000+46066.1+12208-27756.92</f>
        <v>124437.18000000001</v>
      </c>
      <c r="H25" s="16"/>
      <c r="I25" s="16"/>
    </row>
    <row r="26" spans="1:9" ht="13.5" thickBot="1">
      <c r="A26" s="48" t="s">
        <v>14</v>
      </c>
      <c r="B26" s="49" t="s">
        <v>36</v>
      </c>
      <c r="C26" s="50">
        <f>12126670+5650000+1073000</f>
        <v>18849670</v>
      </c>
      <c r="D26" s="50">
        <f>D23+D24+D25</f>
        <v>19209677.31</v>
      </c>
      <c r="E26" s="50">
        <f>360920+3000</f>
        <v>363920</v>
      </c>
      <c r="F26" s="51">
        <f>F23+F24+F25</f>
        <v>382229.18</v>
      </c>
      <c r="H26" s="16"/>
      <c r="I26" s="16"/>
    </row>
    <row r="27" spans="1:9" ht="26.25" thickBot="1">
      <c r="A27" s="24" t="s">
        <v>15</v>
      </c>
      <c r="B27" s="29" t="s">
        <v>37</v>
      </c>
      <c r="C27" s="30">
        <f>ROUND(C12+C16+C21+C26,2)</f>
        <v>73839000</v>
      </c>
      <c r="D27" s="30">
        <f>ROUND(D12+D16+D21+D26,2)</f>
        <v>73636874.26</v>
      </c>
      <c r="E27" s="30">
        <f>ROUND(E12+E16+E21+E26,2)</f>
        <v>1546000</v>
      </c>
      <c r="F27" s="31">
        <f>ROUND(F12+F16+F21+F26,2)</f>
        <v>1518243.08</v>
      </c>
      <c r="H27" s="16"/>
      <c r="I27" s="16"/>
    </row>
    <row r="28" spans="1:9" ht="12.75">
      <c r="A28" s="25" t="s">
        <v>38</v>
      </c>
      <c r="B28" s="52" t="s">
        <v>39</v>
      </c>
      <c r="C28" s="52"/>
      <c r="D28" s="32">
        <f>ROUND(D8-D27,2)</f>
        <v>202125.74</v>
      </c>
      <c r="E28" s="32"/>
      <c r="F28" s="53">
        <f>ROUND(F8-F27,2)</f>
        <v>27756.92</v>
      </c>
      <c r="H28" s="16"/>
      <c r="I28" s="16"/>
    </row>
    <row r="29" spans="1:9" ht="12.75">
      <c r="A29" s="17">
        <v>21</v>
      </c>
      <c r="B29" s="33" t="s">
        <v>16</v>
      </c>
      <c r="C29" s="33"/>
      <c r="D29" s="26">
        <v>6367708.858333334</v>
      </c>
      <c r="E29" s="26"/>
      <c r="F29" s="20">
        <v>173936.8225</v>
      </c>
      <c r="H29" s="16"/>
      <c r="I29" s="16"/>
    </row>
    <row r="30" spans="1:9" ht="13.5" thickBot="1">
      <c r="A30" s="54" t="s">
        <v>40</v>
      </c>
      <c r="B30" s="55" t="s">
        <v>17</v>
      </c>
      <c r="C30" s="55"/>
      <c r="D30" s="56">
        <f>ROUND(D27/12,2)</f>
        <v>6136406.19</v>
      </c>
      <c r="E30" s="56"/>
      <c r="F30" s="57">
        <f>ROUND(F27/12,2)</f>
        <v>126520.26</v>
      </c>
      <c r="H30" s="16"/>
      <c r="I30" s="16"/>
    </row>
    <row r="31" spans="1:8" ht="8.25" customHeight="1">
      <c r="A31" s="5"/>
      <c r="B31" s="5"/>
      <c r="C31" s="5"/>
      <c r="D31" s="5"/>
      <c r="E31" s="5"/>
      <c r="F31" s="5"/>
      <c r="G31" s="5"/>
      <c r="H31" s="16"/>
    </row>
    <row r="32" spans="2:6" ht="7.5" customHeight="1">
      <c r="B32" s="38"/>
      <c r="C32" s="38"/>
      <c r="F32" s="35"/>
    </row>
    <row r="33" spans="2:8" ht="18.75" customHeight="1">
      <c r="B33" s="39"/>
      <c r="C33" s="39"/>
      <c r="E33" s="34"/>
      <c r="G33" s="36"/>
      <c r="H33" s="35"/>
    </row>
    <row r="34" spans="2:5" ht="17.25" customHeight="1">
      <c r="B34" s="39"/>
      <c r="C34" s="39"/>
      <c r="E34" s="34"/>
    </row>
    <row r="35" spans="2:3" ht="19.5" customHeight="1">
      <c r="B35" s="39"/>
      <c r="C35" s="39"/>
    </row>
    <row r="36" spans="2:3" ht="15.75" customHeight="1">
      <c r="B36" s="39"/>
      <c r="C36" s="39"/>
    </row>
  </sheetData>
  <mergeCells count="2">
    <mergeCell ref="B3:F3"/>
    <mergeCell ref="A4:F4"/>
  </mergeCells>
  <printOptions/>
  <pageMargins left="0.14" right="0.75" top="0.48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2017-01-19T09:44:54Z</cp:lastPrinted>
  <dcterms:created xsi:type="dcterms:W3CDTF">2016-04-27T06:22:10Z</dcterms:created>
  <dcterms:modified xsi:type="dcterms:W3CDTF">2017-01-19T09:45:03Z</dcterms:modified>
  <cp:category/>
  <cp:version/>
  <cp:contentType/>
  <cp:contentStatus/>
</cp:coreProperties>
</file>