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<sst xmlns="http://schemas.openxmlformats.org/spreadsheetml/2006/main" count="52" uniqueCount="52">
  <si>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CASA DE ASIGURARI DE SANATATE OLT</t>
  </si>
  <si>
    <t>SITUATIA</t>
  </si>
  <si>
    <t>Nr. crt.</t>
  </si>
  <si>
    <t>Luna/an</t>
  </si>
  <si>
    <t>P3 - ONCOLOGIE ACTIVITATE CURENTA / CREDITE DE ANGAJAMENT REPARTIZATE</t>
  </si>
  <si>
    <t>P3 - ONCOLOGIE COST VOLUM / CREDITE DE ANGAJAMENT REPARTIZATE</t>
  </si>
  <si>
    <t>P5 - DIABET (medicamente)/ C.A. REPARTIZATE</t>
  </si>
  <si>
    <t>P5 - DIABET TESTE ADULŢI/ CA REPARTIZATE</t>
  </si>
  <si>
    <t>P5 - DIABET TESTE COPII/ CA REPARTIZATE</t>
  </si>
  <si>
    <t>P5 - TOTAL TESTE/ CA REPARTIZATE</t>
  </si>
  <si>
    <t>P6.4 - MUCOV. COPII/ CA REPARTIZATE</t>
  </si>
  <si>
    <t>P6.5 - SCLEROZĂ LATERALĂ/ CA REPARTIZATE</t>
  </si>
  <si>
    <t>P9 - STARE POSTTRANSPLANT/ CA REPARTIZATE</t>
  </si>
  <si>
    <t>TOTAL MEDICAMENTE 2016</t>
  </si>
  <si>
    <t xml:space="preserve">TOTAL PNS 2016/ CA REPARTIZATE </t>
  </si>
  <si>
    <t>7=5+6</t>
  </si>
  <si>
    <t>11=2+3+4+8+9+ 10</t>
  </si>
  <si>
    <t>12=7+11</t>
  </si>
  <si>
    <t>Credite angajament aprobate 2016, din care:</t>
  </si>
  <si>
    <t>ianuarie 2016 - consum realizat</t>
  </si>
  <si>
    <t>februarie 2016 - consum realizat</t>
  </si>
  <si>
    <t>martie 2016 - consum realizat</t>
  </si>
  <si>
    <t>5=2+3+4</t>
  </si>
  <si>
    <t>Trim. I 2016 - consum realizat</t>
  </si>
  <si>
    <t>9=6+7+8</t>
  </si>
  <si>
    <t>10=5+9</t>
  </si>
  <si>
    <t>14=11+ 12+13</t>
  </si>
  <si>
    <t>15= 10+14</t>
  </si>
  <si>
    <t>19=16+17+18</t>
  </si>
  <si>
    <t>Consum mediu lunar AN 2015</t>
  </si>
  <si>
    <t>Consum mediu lunar AN 2016</t>
  </si>
  <si>
    <t>aprilie 2016 - consum realizat</t>
  </si>
  <si>
    <t>mai 2016 - consum realizat</t>
  </si>
  <si>
    <t>iunie 2016 - consum realizat</t>
  </si>
  <si>
    <t>Trim. II 2016 - consum realizat</t>
  </si>
  <si>
    <t>Total sem. I 2016- consum realizat</t>
  </si>
  <si>
    <t>iulie 2016 - consum realizat</t>
  </si>
  <si>
    <t>august 2016 - consum realizat</t>
  </si>
  <si>
    <t>septembrie 2016 - consum realizat</t>
  </si>
  <si>
    <t>Total trim. III 2016 - consum realizat</t>
  </si>
  <si>
    <t>TOTAL 9 luni 2016 - consum realizat</t>
  </si>
  <si>
    <t>octombrie 2016 - consum realizat</t>
  </si>
  <si>
    <t>noiembrie 2016  - consum realizat</t>
  </si>
  <si>
    <t>CREDITELOR DE ANGAJAMENT PENTRU ELIBERAREA MEDICAMENTELOR SI MATERIALELOR SANITARE IN CADRUL PNS DERULATE PRIN FARMACII CU CIRCUIT DESCHIS REALIZATE IN ANUL 2016, CA URMARE A VALIDARII CONSUMULUI RAPORTAT PENTRU LUNA DECEMBRIE 2016 IN LIMITA CREDITELOR DE ANGAJAMENT APROBATE PENTRU ANUL 2016, CONFORM ADRESEI CNAS NR. P10956/30.12.2016</t>
  </si>
  <si>
    <t>decembrie 2016 - consum realizat</t>
  </si>
  <si>
    <t>Total trim. IV 2016 - consum realizat</t>
  </si>
  <si>
    <t>TOTAL AN 2016 - consum realizat</t>
  </si>
  <si>
    <t>21=1-20</t>
  </si>
  <si>
    <t>Credite angajament repartizate si neconsumate la 31.12.2016 - ECONOMII</t>
  </si>
  <si>
    <t>22=1-20-21</t>
  </si>
  <si>
    <t>Credite angajament ramase neangajate anul 2016</t>
  </si>
  <si>
    <t>24=20/ 12 luni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</si>
</sst>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right" vertical="top"/>
    </xf>
    <xf numFmtId="4" fontId="3" fillId="2" borderId="6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left" vertical="top"/>
    </xf>
    <xf numFmtId="4" fontId="8" fillId="0" borderId="5" xfId="0" applyNumberFormat="1" applyFont="1" applyFill="1" applyBorder="1" applyAlignment="1">
      <alignment vertical="top"/>
    </xf>
    <xf numFmtId="4" fontId="8" fillId="0" borderId="5" xfId="0" applyNumberFormat="1" applyFont="1" applyBorder="1" applyAlignment="1">
      <alignment vertical="top"/>
    </xf>
    <xf numFmtId="4" fontId="3" fillId="2" borderId="5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49" fontId="3" fillId="2" borderId="5" xfId="0" applyNumberFormat="1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4" fontId="8" fillId="0" borderId="0" xfId="0" applyNumberFormat="1" applyFont="1" applyAlignment="1">
      <alignment vertical="top"/>
    </xf>
    <xf numFmtId="0" fontId="8" fillId="0" borderId="5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" fontId="3" fillId="2" borderId="5" xfId="0" applyNumberFormat="1" applyFont="1" applyFill="1" applyBorder="1" applyAlignment="1">
      <alignment vertical="top"/>
    </xf>
    <xf numFmtId="0" fontId="8" fillId="0" borderId="5" xfId="0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8" fillId="0" borderId="5" xfId="0" applyNumberFormat="1" applyFont="1" applyBorder="1" applyAlignment="1">
      <alignment horizontal="left" vertical="top"/>
    </xf>
    <xf numFmtId="4" fontId="8" fillId="0" borderId="5" xfId="0" applyNumberFormat="1" applyFont="1" applyFill="1" applyBorder="1" applyAlignment="1">
      <alignment vertical="top"/>
    </xf>
    <xf numFmtId="4" fontId="8" fillId="0" borderId="5" xfId="0" applyNumberFormat="1" applyFont="1" applyBorder="1" applyAlignment="1">
      <alignment vertical="top"/>
    </xf>
    <xf numFmtId="4" fontId="8" fillId="0" borderId="5" xfId="0" applyNumberFormat="1" applyFont="1" applyBorder="1" applyAlignment="1">
      <alignment/>
    </xf>
    <xf numFmtId="4" fontId="8" fillId="0" borderId="5" xfId="0" applyNumberFormat="1" applyFont="1" applyFill="1" applyBorder="1" applyAlignment="1">
      <alignment/>
    </xf>
    <xf numFmtId="49" fontId="8" fillId="0" borderId="5" xfId="0" applyNumberFormat="1" applyFont="1" applyBorder="1" applyAlignment="1">
      <alignment/>
    </xf>
    <xf numFmtId="0" fontId="3" fillId="0" borderId="0" xfId="0" applyFont="1" applyAlignment="1">
      <alignment vertical="top"/>
    </xf>
    <xf numFmtId="4" fontId="8" fillId="0" borderId="5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left" vertical="top" wrapText="1"/>
    </xf>
    <xf numFmtId="0" fontId="3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vertical="top" wrapText="1"/>
    </xf>
    <xf numFmtId="4" fontId="8" fillId="0" borderId="5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vertical="top" wrapText="1"/>
    </xf>
    <xf numFmtId="4" fontId="3" fillId="3" borderId="5" xfId="0" applyNumberFormat="1" applyFont="1" applyFill="1" applyBorder="1" applyAlignment="1">
      <alignment vertical="top" wrapText="1"/>
    </xf>
    <xf numFmtId="4" fontId="3" fillId="3" borderId="6" xfId="0" applyNumberFormat="1" applyFont="1" applyFill="1" applyBorder="1" applyAlignment="1">
      <alignment horizontal="right" vertical="top"/>
    </xf>
    <xf numFmtId="0" fontId="8" fillId="0" borderId="4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4" fontId="8" fillId="0" borderId="8" xfId="0" applyNumberFormat="1" applyFont="1" applyBorder="1" applyAlignment="1">
      <alignment vertical="top"/>
    </xf>
    <xf numFmtId="4" fontId="3" fillId="2" borderId="8" xfId="0" applyNumberFormat="1" applyFont="1" applyFill="1" applyBorder="1" applyAlignment="1">
      <alignment vertical="top"/>
    </xf>
    <xf numFmtId="4" fontId="3" fillId="2" borderId="8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C1">
      <selection activeCell="M1" sqref="M1"/>
    </sheetView>
  </sheetViews>
  <sheetFormatPr defaultColWidth="9.140625" defaultRowHeight="12.75"/>
  <cols>
    <col min="1" max="1" width="7.140625" style="2" customWidth="1"/>
    <col min="2" max="2" width="37.7109375" style="2" customWidth="1"/>
    <col min="3" max="4" width="16.8515625" style="2" customWidth="1"/>
    <col min="5" max="5" width="14.28125" style="2" customWidth="1"/>
    <col min="6" max="6" width="14.00390625" style="2" customWidth="1"/>
    <col min="7" max="7" width="14.28125" style="2" customWidth="1"/>
    <col min="8" max="8" width="13.140625" style="2" customWidth="1"/>
    <col min="9" max="9" width="13.7109375" style="2" customWidth="1"/>
    <col min="10" max="10" width="15.28125" style="2" customWidth="1"/>
    <col min="11" max="12" width="14.57421875" style="2" customWidth="1"/>
    <col min="13" max="13" width="15.57421875" style="2" customWidth="1"/>
    <col min="14" max="14" width="15.28125" style="2" customWidth="1"/>
    <col min="15" max="15" width="10.8515625" style="2" bestFit="1" customWidth="1"/>
    <col min="16" max="16384" width="9.140625" style="2" customWidth="1"/>
  </cols>
  <sheetData>
    <row r="1" spans="1:13" ht="15.75">
      <c r="A1" s="1" t="s">
        <v>0</v>
      </c>
      <c r="C1" s="3"/>
      <c r="D1" s="3"/>
      <c r="K1" s="4"/>
      <c r="L1" s="4"/>
      <c r="M1" s="4"/>
    </row>
    <row r="2" spans="1:14" ht="14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"/>
    </row>
    <row r="3" spans="1:14" s="7" customFormat="1" ht="41.25" customHeight="1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"/>
    </row>
    <row r="4" ht="6.75" customHeight="1" thickBot="1"/>
    <row r="5" spans="1:13" s="11" customFormat="1" ht="86.2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10" t="s">
        <v>14</v>
      </c>
    </row>
    <row r="6" spans="1:13" s="12" customFormat="1" ht="25.5">
      <c r="A6" s="55">
        <v>0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 t="s">
        <v>15</v>
      </c>
      <c r="I6" s="56">
        <v>8</v>
      </c>
      <c r="J6" s="56">
        <v>9</v>
      </c>
      <c r="K6" s="56">
        <v>10</v>
      </c>
      <c r="L6" s="56" t="s">
        <v>16</v>
      </c>
      <c r="M6" s="57" t="s">
        <v>17</v>
      </c>
    </row>
    <row r="7" spans="1:13" s="16" customFormat="1" ht="12.75">
      <c r="A7" s="13">
        <v>1</v>
      </c>
      <c r="B7" s="58" t="s">
        <v>18</v>
      </c>
      <c r="C7" s="14">
        <f>7881402-700000-580270+250000-10000</f>
        <v>6841132</v>
      </c>
      <c r="D7" s="14">
        <f>184200+90090+90090+184200+342450+90090+90090-185000+274290</f>
        <v>1160500</v>
      </c>
      <c r="E7" s="14">
        <f>11093989+222170+877520+160000</f>
        <v>12353679</v>
      </c>
      <c r="F7" s="14">
        <f>1293580+48420+9000-8000</f>
        <v>1343000</v>
      </c>
      <c r="G7" s="14">
        <f>61450+5550+1000+8000</f>
        <v>76000</v>
      </c>
      <c r="H7" s="14">
        <f>ROUND(F7+G7,2)</f>
        <v>1419000</v>
      </c>
      <c r="I7" s="14">
        <f>216910-60910+16000+6000</f>
        <v>178000</v>
      </c>
      <c r="J7" s="14">
        <f>20420+7430+8150+4200</f>
        <v>40200</v>
      </c>
      <c r="K7" s="14">
        <f>930470-40230-63240-73000</f>
        <v>754000</v>
      </c>
      <c r="L7" s="14">
        <f>ROUND(C7+D7+E7+I7+J7+K7,2)</f>
        <v>21327511</v>
      </c>
      <c r="M7" s="15">
        <f>ROUND(H7+L7,2)</f>
        <v>22746511</v>
      </c>
    </row>
    <row r="8" spans="1:13" s="22" customFormat="1" ht="12.75">
      <c r="A8" s="17">
        <v>2</v>
      </c>
      <c r="B8" s="18" t="s">
        <v>19</v>
      </c>
      <c r="C8" s="19">
        <f>690000-145750.45</f>
        <v>544249.55</v>
      </c>
      <c r="D8" s="19">
        <f>46000-814.76</f>
        <v>45185.24</v>
      </c>
      <c r="E8" s="20">
        <f>1000000-51436.76</f>
        <v>948563.24</v>
      </c>
      <c r="F8" s="20">
        <f>110000-6008</f>
        <v>103992</v>
      </c>
      <c r="G8" s="20">
        <f>6000-360</f>
        <v>5640</v>
      </c>
      <c r="H8" s="21">
        <f aca="true" t="shared" si="0" ref="H8:H30">ROUND(F8+G8,2)</f>
        <v>109632</v>
      </c>
      <c r="I8" s="20">
        <f>20000-12089.9</f>
        <v>7910.1</v>
      </c>
      <c r="J8" s="20">
        <f>2110-427.84</f>
        <v>1682.16</v>
      </c>
      <c r="K8" s="20">
        <f>77000-11400.43</f>
        <v>65599.57</v>
      </c>
      <c r="L8" s="14">
        <f aca="true" t="shared" si="1" ref="L8:L25">ROUND(C8+D8+E8+I8+J8+K8,2)</f>
        <v>1613189.86</v>
      </c>
      <c r="M8" s="15">
        <f aca="true" t="shared" si="2" ref="M8:M26">ROUND(H8+L8,2)</f>
        <v>1722821.86</v>
      </c>
    </row>
    <row r="9" spans="1:13" s="22" customFormat="1" ht="12.75">
      <c r="A9" s="17">
        <v>3</v>
      </c>
      <c r="B9" s="18" t="s">
        <v>20</v>
      </c>
      <c r="C9" s="19">
        <f>690000+145750.45-310984.56</f>
        <v>524765.8899999999</v>
      </c>
      <c r="D9" s="19">
        <f>46000+814.76-1629.52</f>
        <v>45185.240000000005</v>
      </c>
      <c r="E9" s="19">
        <f>1000000+51436.76-21534.2</f>
        <v>1029902.56</v>
      </c>
      <c r="F9" s="19">
        <f>110000+6008-2560</f>
        <v>113448</v>
      </c>
      <c r="G9" s="19">
        <f>6000+360-720</f>
        <v>5640</v>
      </c>
      <c r="H9" s="21">
        <f t="shared" si="0"/>
        <v>119088</v>
      </c>
      <c r="I9" s="19">
        <f>20000+12089.9-18007.93</f>
        <v>14081.970000000001</v>
      </c>
      <c r="J9" s="19">
        <f>2110+427.84-14.62</f>
        <v>2523.2200000000003</v>
      </c>
      <c r="K9" s="19">
        <f>77000+11400.43-38726.7</f>
        <v>49673.729999999996</v>
      </c>
      <c r="L9" s="14">
        <f t="shared" si="1"/>
        <v>1666132.61</v>
      </c>
      <c r="M9" s="15">
        <f t="shared" si="2"/>
        <v>1785220.61</v>
      </c>
    </row>
    <row r="10" spans="1:13" s="22" customFormat="1" ht="18.75" customHeight="1">
      <c r="A10" s="59">
        <v>4</v>
      </c>
      <c r="B10" s="60" t="s">
        <v>21</v>
      </c>
      <c r="C10" s="19">
        <f>697000+310984.56-450569.4</f>
        <v>557415.16</v>
      </c>
      <c r="D10" s="19">
        <f>46000+1629.52-2444.28</f>
        <v>45185.24</v>
      </c>
      <c r="E10" s="20">
        <f>1000000+21534.2-25096.63</f>
        <v>996437.57</v>
      </c>
      <c r="F10" s="20">
        <f>120000+2560-12628</f>
        <v>109932</v>
      </c>
      <c r="G10" s="20">
        <f>8000+720-3440</f>
        <v>5280</v>
      </c>
      <c r="H10" s="21">
        <f t="shared" si="0"/>
        <v>115212</v>
      </c>
      <c r="I10" s="20">
        <f>30000+18007.93-31238.62</f>
        <v>16769.31</v>
      </c>
      <c r="J10" s="20">
        <f>4780+14.62-168.71</f>
        <v>4625.91</v>
      </c>
      <c r="K10" s="20">
        <f>86000+38726.7-49689.46</f>
        <v>75037.23999999999</v>
      </c>
      <c r="L10" s="14">
        <f t="shared" si="1"/>
        <v>1695470.43</v>
      </c>
      <c r="M10" s="15">
        <f t="shared" si="2"/>
        <v>1810682.43</v>
      </c>
    </row>
    <row r="11" spans="1:13" s="23" customFormat="1" ht="25.5">
      <c r="A11" s="13" t="s">
        <v>22</v>
      </c>
      <c r="B11" s="61" t="s">
        <v>23</v>
      </c>
      <c r="C11" s="21">
        <f>SUM(C8:C10)</f>
        <v>1626430.6</v>
      </c>
      <c r="D11" s="21">
        <f aca="true" t="shared" si="3" ref="D11:K11">SUM(D8:D10)</f>
        <v>135555.72</v>
      </c>
      <c r="E11" s="21">
        <f t="shared" si="3"/>
        <v>2974903.37</v>
      </c>
      <c r="F11" s="21">
        <f t="shared" si="3"/>
        <v>327372</v>
      </c>
      <c r="G11" s="21">
        <f t="shared" si="3"/>
        <v>16560</v>
      </c>
      <c r="H11" s="21">
        <f t="shared" si="3"/>
        <v>343932</v>
      </c>
      <c r="I11" s="21">
        <f t="shared" si="3"/>
        <v>38761.380000000005</v>
      </c>
      <c r="J11" s="21">
        <f t="shared" si="3"/>
        <v>8831.29</v>
      </c>
      <c r="K11" s="21">
        <f t="shared" si="3"/>
        <v>190310.53999999998</v>
      </c>
      <c r="L11" s="14">
        <f t="shared" si="1"/>
        <v>4974792.9</v>
      </c>
      <c r="M11" s="15">
        <f t="shared" si="2"/>
        <v>5318724.9</v>
      </c>
    </row>
    <row r="12" spans="1:13" s="22" customFormat="1" ht="12.75">
      <c r="A12" s="17">
        <v>6</v>
      </c>
      <c r="B12" s="18" t="s">
        <v>31</v>
      </c>
      <c r="C12" s="19">
        <f>690000+450569.4-556730.41</f>
        <v>583838.9899999999</v>
      </c>
      <c r="D12" s="19">
        <f>46200+15000+2444.28-3605.78</f>
        <v>60038.5</v>
      </c>
      <c r="E12" s="20">
        <f>1000000+25096.63-46595.67</f>
        <v>978500.96</v>
      </c>
      <c r="F12" s="20">
        <f>110000+12628-15108</f>
        <v>107520</v>
      </c>
      <c r="G12" s="20">
        <f>6000+3440-3200</f>
        <v>6240</v>
      </c>
      <c r="H12" s="21">
        <f t="shared" si="0"/>
        <v>113760</v>
      </c>
      <c r="I12" s="20">
        <f>20000+31238.62-40080.39</f>
        <v>11158.229999999996</v>
      </c>
      <c r="J12" s="20">
        <f>3000+168.71-1066.02</f>
        <v>2102.69</v>
      </c>
      <c r="K12" s="20">
        <f>77000+49689.46-54824.42</f>
        <v>71865.04</v>
      </c>
      <c r="L12" s="14">
        <f t="shared" si="1"/>
        <v>1707504.41</v>
      </c>
      <c r="M12" s="15">
        <f t="shared" si="2"/>
        <v>1821264.41</v>
      </c>
    </row>
    <row r="13" spans="1:13" s="22" customFormat="1" ht="12.75">
      <c r="A13" s="17">
        <v>7</v>
      </c>
      <c r="B13" s="18" t="s">
        <v>32</v>
      </c>
      <c r="C13" s="19">
        <f>690000+556730.41-703554.7</f>
        <v>543175.7100000002</v>
      </c>
      <c r="D13" s="19">
        <f>30050+30000+3605.78-3617.28</f>
        <v>60038.5</v>
      </c>
      <c r="E13" s="20">
        <f>1000000+46595.67-46095.23</f>
        <v>1000500.4400000001</v>
      </c>
      <c r="F13" s="20">
        <f>110000+15108-14180</f>
        <v>110928</v>
      </c>
      <c r="G13" s="20">
        <f>6000+3200-4280</f>
        <v>4920</v>
      </c>
      <c r="H13" s="21">
        <f t="shared" si="0"/>
        <v>115848</v>
      </c>
      <c r="I13" s="20">
        <f>20000+40080.39-38052.14</f>
        <v>22028.25</v>
      </c>
      <c r="J13" s="20">
        <f>3000+1066.02-701.72</f>
        <v>3364.3</v>
      </c>
      <c r="K13" s="20">
        <f>77000+54824.42-87668.11</f>
        <v>44156.30999999998</v>
      </c>
      <c r="L13" s="14">
        <f t="shared" si="1"/>
        <v>1673263.51</v>
      </c>
      <c r="M13" s="15">
        <f t="shared" si="2"/>
        <v>1789111.51</v>
      </c>
    </row>
    <row r="14" spans="1:13" s="16" customFormat="1" ht="12.75">
      <c r="A14" s="17">
        <v>8</v>
      </c>
      <c r="B14" s="18" t="s">
        <v>33</v>
      </c>
      <c r="C14" s="19">
        <f>697000+703554.7-924554.37</f>
        <v>476000.32999999996</v>
      </c>
      <c r="D14" s="19">
        <f>15050+3617.28+72000-296.8</f>
        <v>90370.48</v>
      </c>
      <c r="E14" s="20">
        <f>1000000+46095.23-29801.58</f>
        <v>1016293.65</v>
      </c>
      <c r="F14" s="20">
        <f>120000+14180-23660</f>
        <v>110520</v>
      </c>
      <c r="G14" s="20">
        <f>8000+4280-6760</f>
        <v>5520</v>
      </c>
      <c r="H14" s="21">
        <f t="shared" si="0"/>
        <v>116040</v>
      </c>
      <c r="I14" s="20">
        <f>30000+38052.14-51608.45</f>
        <v>16443.690000000002</v>
      </c>
      <c r="J14" s="20">
        <f>3000+701.72-337.46</f>
        <v>3364.26</v>
      </c>
      <c r="K14" s="20">
        <f>86000+87668.11-94204.57</f>
        <v>79463.53999999998</v>
      </c>
      <c r="L14" s="14">
        <f t="shared" si="1"/>
        <v>1681935.95</v>
      </c>
      <c r="M14" s="15">
        <f t="shared" si="2"/>
        <v>1797975.95</v>
      </c>
    </row>
    <row r="15" spans="1:13" s="22" customFormat="1" ht="25.5">
      <c r="A15" s="62" t="s">
        <v>24</v>
      </c>
      <c r="B15" s="61" t="s">
        <v>34</v>
      </c>
      <c r="C15" s="21">
        <f aca="true" t="shared" si="4" ref="C15:K15">SUM(C12:C14)</f>
        <v>1603015.0300000003</v>
      </c>
      <c r="D15" s="21">
        <f t="shared" si="4"/>
        <v>210447.47999999998</v>
      </c>
      <c r="E15" s="21">
        <f t="shared" si="4"/>
        <v>2995295.05</v>
      </c>
      <c r="F15" s="21">
        <f t="shared" si="4"/>
        <v>328968</v>
      </c>
      <c r="G15" s="21">
        <f t="shared" si="4"/>
        <v>16680</v>
      </c>
      <c r="H15" s="21">
        <f t="shared" si="4"/>
        <v>345648</v>
      </c>
      <c r="I15" s="21">
        <f t="shared" si="4"/>
        <v>49630.17</v>
      </c>
      <c r="J15" s="21">
        <f t="shared" si="4"/>
        <v>8831.25</v>
      </c>
      <c r="K15" s="21">
        <f t="shared" si="4"/>
        <v>195484.88999999996</v>
      </c>
      <c r="L15" s="14">
        <f t="shared" si="1"/>
        <v>5062703.87</v>
      </c>
      <c r="M15" s="15">
        <f t="shared" si="2"/>
        <v>5408351.87</v>
      </c>
    </row>
    <row r="16" spans="1:13" s="23" customFormat="1" ht="12.75">
      <c r="A16" s="13" t="s">
        <v>25</v>
      </c>
      <c r="B16" s="61" t="s">
        <v>35</v>
      </c>
      <c r="C16" s="21">
        <f aca="true" t="shared" si="5" ref="C16:K16">C11+C15</f>
        <v>3229445.6300000004</v>
      </c>
      <c r="D16" s="21">
        <f t="shared" si="5"/>
        <v>346003.19999999995</v>
      </c>
      <c r="E16" s="21">
        <f t="shared" si="5"/>
        <v>5970198.42</v>
      </c>
      <c r="F16" s="21">
        <f t="shared" si="5"/>
        <v>656340</v>
      </c>
      <c r="G16" s="21">
        <f t="shared" si="5"/>
        <v>33240</v>
      </c>
      <c r="H16" s="21">
        <f t="shared" si="5"/>
        <v>689580</v>
      </c>
      <c r="I16" s="21">
        <f t="shared" si="5"/>
        <v>88391.55</v>
      </c>
      <c r="J16" s="21">
        <f t="shared" si="5"/>
        <v>17662.54</v>
      </c>
      <c r="K16" s="21">
        <f t="shared" si="5"/>
        <v>385795.42999999993</v>
      </c>
      <c r="L16" s="14">
        <f t="shared" si="1"/>
        <v>10037496.77</v>
      </c>
      <c r="M16" s="15">
        <f t="shared" si="2"/>
        <v>10727076.77</v>
      </c>
    </row>
    <row r="17" spans="1:13" s="16" customFormat="1" ht="12.75">
      <c r="A17" s="17">
        <v>11</v>
      </c>
      <c r="B17" s="18" t="s">
        <v>36</v>
      </c>
      <c r="C17" s="19">
        <f>690000+924554.37-1014210.56</f>
        <v>600343.81</v>
      </c>
      <c r="D17" s="19">
        <f>102000+296.8-11926.33</f>
        <v>90370.47</v>
      </c>
      <c r="E17" s="63">
        <f>1000000+29801.58-2467.16</f>
        <v>1027334.4199999999</v>
      </c>
      <c r="F17" s="20">
        <f>110000+23660-23612.8</f>
        <v>110047.2</v>
      </c>
      <c r="G17" s="20">
        <f>6000+6760-7240</f>
        <v>5520</v>
      </c>
      <c r="H17" s="21">
        <f t="shared" si="0"/>
        <v>115567.2</v>
      </c>
      <c r="I17" s="64">
        <f>20000+51608.45-63083.29</f>
        <v>8525.159999999996</v>
      </c>
      <c r="J17" s="20">
        <f>2420+337.46-234.27</f>
        <v>2523.19</v>
      </c>
      <c r="K17" s="20">
        <f>77000+94204.57-103472.31</f>
        <v>67732.26000000001</v>
      </c>
      <c r="L17" s="14">
        <f t="shared" si="1"/>
        <v>1796829.31</v>
      </c>
      <c r="M17" s="15">
        <f t="shared" si="2"/>
        <v>1912396.51</v>
      </c>
    </row>
    <row r="18" spans="1:13" s="22" customFormat="1" ht="12.75">
      <c r="A18" s="17">
        <v>12</v>
      </c>
      <c r="B18" s="45" t="s">
        <v>37</v>
      </c>
      <c r="C18" s="46">
        <f>690000+1014210.56-700000-414360.99</f>
        <v>589849.5700000001</v>
      </c>
      <c r="D18" s="46">
        <f>65160+36840+11926.33+30030-38732.6</f>
        <v>105223.73000000001</v>
      </c>
      <c r="E18" s="47">
        <f>1000000+2467.16+42776.15</f>
        <v>1045243.31</v>
      </c>
      <c r="F18" s="47">
        <f>110000+23612.8-18892.8</f>
        <v>114719.99999999999</v>
      </c>
      <c r="G18" s="47">
        <f>6000+7240-6880</f>
        <v>6360</v>
      </c>
      <c r="H18" s="21">
        <f t="shared" si="0"/>
        <v>121080</v>
      </c>
      <c r="I18" s="20">
        <f>20000+63083.29-60910+5320.08</f>
        <v>27493.37000000001</v>
      </c>
      <c r="J18" s="20">
        <f>234.27+3000-290.52</f>
        <v>2943.75</v>
      </c>
      <c r="K18" s="47">
        <f>77000+103472.31-138961.16</f>
        <v>41511.149999999994</v>
      </c>
      <c r="L18" s="14">
        <f t="shared" si="1"/>
        <v>1812264.88</v>
      </c>
      <c r="M18" s="15">
        <f t="shared" si="2"/>
        <v>1933344.88</v>
      </c>
    </row>
    <row r="19" spans="1:13" s="24" customFormat="1" ht="12.75">
      <c r="A19" s="17">
        <v>13</v>
      </c>
      <c r="B19" s="45" t="s">
        <v>38</v>
      </c>
      <c r="C19" s="46">
        <f>697000+414360.99-597407.48</f>
        <v>513953.51</v>
      </c>
      <c r="D19" s="46">
        <f>134390+38732.6-87154.61</f>
        <v>85967.99</v>
      </c>
      <c r="E19" s="52">
        <f>1002679+222170-42776.15-166076.2</f>
        <v>1015996.6500000001</v>
      </c>
      <c r="F19" s="47">
        <f>120000+18892.8-26212.8</f>
        <v>112679.99999999999</v>
      </c>
      <c r="G19" s="46">
        <f>8000+6880-10320</f>
        <v>4560</v>
      </c>
      <c r="H19" s="21">
        <f t="shared" si="0"/>
        <v>117240</v>
      </c>
      <c r="I19" s="48">
        <f>36910-5320.08+8000-31100.94</f>
        <v>8488.98</v>
      </c>
      <c r="J19" s="20">
        <f>4430+290.52-1356.21</f>
        <v>3364.3100000000004</v>
      </c>
      <c r="K19" s="47">
        <f>86000+138961.16-175155.24</f>
        <v>49805.92000000001</v>
      </c>
      <c r="L19" s="14">
        <f t="shared" si="1"/>
        <v>1677577.36</v>
      </c>
      <c r="M19" s="15">
        <f t="shared" si="2"/>
        <v>1794817.36</v>
      </c>
    </row>
    <row r="20" spans="1:13" s="27" customFormat="1" ht="25.5">
      <c r="A20" s="13" t="s">
        <v>26</v>
      </c>
      <c r="B20" s="25" t="s">
        <v>39</v>
      </c>
      <c r="C20" s="26">
        <f>ROUND(C17+C18+C19,2)</f>
        <v>1704146.89</v>
      </c>
      <c r="D20" s="26">
        <f aca="true" t="shared" si="6" ref="D20:K20">ROUND(D17+D18+D19,2)</f>
        <v>281562.19</v>
      </c>
      <c r="E20" s="26">
        <f t="shared" si="6"/>
        <v>3088574.38</v>
      </c>
      <c r="F20" s="26">
        <f t="shared" si="6"/>
        <v>337447.2</v>
      </c>
      <c r="G20" s="26">
        <f t="shared" si="6"/>
        <v>16440</v>
      </c>
      <c r="H20" s="26">
        <f t="shared" si="6"/>
        <v>353887.2</v>
      </c>
      <c r="I20" s="26">
        <f t="shared" si="6"/>
        <v>44507.51</v>
      </c>
      <c r="J20" s="26">
        <f t="shared" si="6"/>
        <v>8831.25</v>
      </c>
      <c r="K20" s="26">
        <f t="shared" si="6"/>
        <v>159049.33</v>
      </c>
      <c r="L20" s="14">
        <f t="shared" si="1"/>
        <v>5286671.55</v>
      </c>
      <c r="M20" s="15">
        <f t="shared" si="2"/>
        <v>5640558.75</v>
      </c>
    </row>
    <row r="21" spans="1:13" s="27" customFormat="1" ht="25.5">
      <c r="A21" s="13" t="s">
        <v>27</v>
      </c>
      <c r="B21" s="28" t="s">
        <v>40</v>
      </c>
      <c r="C21" s="26">
        <f>ROUND(C16+C20,2)</f>
        <v>4933592.52</v>
      </c>
      <c r="D21" s="26">
        <f aca="true" t="shared" si="7" ref="D21:K21">ROUND(D16+D20,2)</f>
        <v>627565.39</v>
      </c>
      <c r="E21" s="26">
        <f t="shared" si="7"/>
        <v>9058772.8</v>
      </c>
      <c r="F21" s="26">
        <f t="shared" si="7"/>
        <v>993787.2</v>
      </c>
      <c r="G21" s="26">
        <f t="shared" si="7"/>
        <v>49680</v>
      </c>
      <c r="H21" s="26">
        <f t="shared" si="7"/>
        <v>1043467.2</v>
      </c>
      <c r="I21" s="26">
        <f t="shared" si="7"/>
        <v>132899.06</v>
      </c>
      <c r="J21" s="26">
        <f t="shared" si="7"/>
        <v>26493.79</v>
      </c>
      <c r="K21" s="26">
        <f t="shared" si="7"/>
        <v>544844.76</v>
      </c>
      <c r="L21" s="14">
        <f t="shared" si="1"/>
        <v>15324168.32</v>
      </c>
      <c r="M21" s="15">
        <f t="shared" si="2"/>
        <v>16367635.52</v>
      </c>
    </row>
    <row r="22" spans="1:13" s="24" customFormat="1" ht="12.75">
      <c r="A22" s="17">
        <v>16</v>
      </c>
      <c r="B22" s="45" t="s">
        <v>41</v>
      </c>
      <c r="C22" s="46">
        <f>690000-580270+490270+11936.98</f>
        <v>611936.98</v>
      </c>
      <c r="D22" s="46">
        <f>35120+66880+15000-27000-18885.27</f>
        <v>71114.73</v>
      </c>
      <c r="E22" s="49">
        <f>1000000+166076.2-62234.14</f>
        <v>1103842.06</v>
      </c>
      <c r="F22" s="47">
        <f>110000+16212.8-8252.8</f>
        <v>117960</v>
      </c>
      <c r="G22" s="46">
        <f>1450+4320+3950</f>
        <v>9720</v>
      </c>
      <c r="H22" s="21">
        <f t="shared" si="0"/>
        <v>127680</v>
      </c>
      <c r="I22" s="48">
        <f>8000+7000+3869.34</f>
        <v>18869.34</v>
      </c>
      <c r="J22" s="47">
        <f>3000+356.21+428.63</f>
        <v>3784.84</v>
      </c>
      <c r="K22" s="47">
        <f>77000-63240+66240-14514.62</f>
        <v>65485.38</v>
      </c>
      <c r="L22" s="14">
        <f t="shared" si="1"/>
        <v>1875033.33</v>
      </c>
      <c r="M22" s="15">
        <f t="shared" si="2"/>
        <v>2002713.33</v>
      </c>
    </row>
    <row r="23" spans="1:13" s="24" customFormat="1" ht="12.75">
      <c r="A23" s="17">
        <v>17</v>
      </c>
      <c r="B23" s="50" t="s">
        <v>42</v>
      </c>
      <c r="C23" s="48">
        <f>690000-90000-5970.42</f>
        <v>594029.58</v>
      </c>
      <c r="D23" s="48">
        <f>104340+12660-27000+18885.27-37770.54</f>
        <v>71114.73000000001</v>
      </c>
      <c r="E23" s="48">
        <f>1000000+62234.14-49117.95</f>
        <v>1013116.19</v>
      </c>
      <c r="F23" s="49">
        <f>110000+8252.8-12292.8</f>
        <v>105960</v>
      </c>
      <c r="G23" s="46">
        <f>5550+2850</f>
        <v>8400</v>
      </c>
      <c r="H23" s="21">
        <f t="shared" si="0"/>
        <v>114360</v>
      </c>
      <c r="I23" s="48">
        <f>15000-6438.66</f>
        <v>8561.34</v>
      </c>
      <c r="J23" s="47">
        <f>3000+2046.45</f>
        <v>5046.45</v>
      </c>
      <c r="K23" s="47">
        <f>77000+14514.62-38912.71</f>
        <v>52601.909999999996</v>
      </c>
      <c r="L23" s="14">
        <f t="shared" si="1"/>
        <v>1744470.2</v>
      </c>
      <c r="M23" s="15">
        <f t="shared" si="2"/>
        <v>1858830.2</v>
      </c>
    </row>
    <row r="24" spans="1:13" s="24" customFormat="1" ht="12.75">
      <c r="A24" s="17">
        <v>18</v>
      </c>
      <c r="B24" s="50" t="s">
        <v>44</v>
      </c>
      <c r="C24" s="48">
        <f>270402+107137.48+90000-11936.98+250000+5970.42-10000-145426.52</f>
        <v>556146.4</v>
      </c>
      <c r="D24" s="48">
        <f>60060+59494.61+54000+90090-185000+37770.54-56376.65</f>
        <v>60038.49999999999</v>
      </c>
      <c r="E24" s="48">
        <f>91310+877520+160000+49117.95-154282.37</f>
        <v>1023665.58</v>
      </c>
      <c r="F24" s="49">
        <f>53580+48420+10000+9000+12292.8-8000-6132.8</f>
        <v>119159.99999999999</v>
      </c>
      <c r="G24" s="46">
        <f>6000-3950+1000-2850+8000-4360</f>
        <v>3840</v>
      </c>
      <c r="H24" s="21">
        <f t="shared" si="0"/>
        <v>123000</v>
      </c>
      <c r="I24" s="48">
        <f>9100.94-3869.34+6000+6438.66-1335.11</f>
        <v>16335.150000000001</v>
      </c>
      <c r="J24" s="48">
        <f>2150+1000-428.63-2046.45+4200-1510.63</f>
        <v>3364.29</v>
      </c>
      <c r="K24" s="52">
        <f>56470-40230+108915.24-73000+38912.71-35418.59</f>
        <v>55649.360000000015</v>
      </c>
      <c r="L24" s="14">
        <f t="shared" si="1"/>
        <v>1715199.28</v>
      </c>
      <c r="M24" s="15">
        <f t="shared" si="2"/>
        <v>1838199.28</v>
      </c>
    </row>
    <row r="25" spans="1:13" s="27" customFormat="1" ht="25.5">
      <c r="A25" s="13" t="s">
        <v>28</v>
      </c>
      <c r="B25" s="25" t="s">
        <v>45</v>
      </c>
      <c r="C25" s="26">
        <f>ROUND(C22+C23+C24,2)</f>
        <v>1762112.96</v>
      </c>
      <c r="D25" s="26">
        <f aca="true" t="shared" si="8" ref="D25:K25">ROUND(D22+D23+D24,2)</f>
        <v>202267.96</v>
      </c>
      <c r="E25" s="26">
        <f t="shared" si="8"/>
        <v>3140623.83</v>
      </c>
      <c r="F25" s="26">
        <f t="shared" si="8"/>
        <v>343080</v>
      </c>
      <c r="G25" s="26">
        <f t="shared" si="8"/>
        <v>21960</v>
      </c>
      <c r="H25" s="26">
        <f t="shared" si="8"/>
        <v>365040</v>
      </c>
      <c r="I25" s="26">
        <f t="shared" si="8"/>
        <v>43765.83</v>
      </c>
      <c r="J25" s="26">
        <f t="shared" si="8"/>
        <v>12195.58</v>
      </c>
      <c r="K25" s="26">
        <f t="shared" si="8"/>
        <v>173736.65</v>
      </c>
      <c r="L25" s="14">
        <f t="shared" si="1"/>
        <v>5334702.81</v>
      </c>
      <c r="M25" s="15">
        <f t="shared" si="2"/>
        <v>5699742.81</v>
      </c>
    </row>
    <row r="26" spans="1:13" s="27" customFormat="1" ht="12.75">
      <c r="A26" s="65">
        <v>20</v>
      </c>
      <c r="B26" s="66" t="s">
        <v>46</v>
      </c>
      <c r="C26" s="67">
        <f>ROUND(C11+C15+C20+C25,2)</f>
        <v>6695705.48</v>
      </c>
      <c r="D26" s="67">
        <f aca="true" t="shared" si="9" ref="D26:L26">ROUND(D11+D15+D20+D25,2)</f>
        <v>829833.35</v>
      </c>
      <c r="E26" s="67">
        <f t="shared" si="9"/>
        <v>12199396.63</v>
      </c>
      <c r="F26" s="67">
        <f t="shared" si="9"/>
        <v>1336867.2</v>
      </c>
      <c r="G26" s="67">
        <f t="shared" si="9"/>
        <v>71640</v>
      </c>
      <c r="H26" s="67">
        <f t="shared" si="9"/>
        <v>1408507.2</v>
      </c>
      <c r="I26" s="67">
        <f t="shared" si="9"/>
        <v>176664.89</v>
      </c>
      <c r="J26" s="67">
        <f t="shared" si="9"/>
        <v>38689.37</v>
      </c>
      <c r="K26" s="67">
        <f t="shared" si="9"/>
        <v>718581.41</v>
      </c>
      <c r="L26" s="67">
        <f t="shared" si="9"/>
        <v>20658871.13</v>
      </c>
      <c r="M26" s="68">
        <f t="shared" si="2"/>
        <v>22067378.33</v>
      </c>
    </row>
    <row r="27" spans="1:14" s="31" customFormat="1" ht="32.25" customHeight="1">
      <c r="A27" s="69" t="s">
        <v>47</v>
      </c>
      <c r="B27" s="30" t="s">
        <v>48</v>
      </c>
      <c r="C27" s="20">
        <f>ROUND(C7-C26,2)</f>
        <v>145426.52</v>
      </c>
      <c r="D27" s="20">
        <f>ROUND(D7-D26-274290,2)</f>
        <v>56376.65</v>
      </c>
      <c r="E27" s="20">
        <f>ROUND(E7-E26,2)</f>
        <v>154282.37</v>
      </c>
      <c r="F27" s="20">
        <f>ROUND(F7-F26,2)</f>
        <v>6132.8</v>
      </c>
      <c r="G27" s="20">
        <f>ROUND(G7-G26,2)</f>
        <v>4360</v>
      </c>
      <c r="H27" s="21">
        <f t="shared" si="0"/>
        <v>10492.8</v>
      </c>
      <c r="I27" s="20">
        <f>ROUND(I7-I26,2)</f>
        <v>1335.11</v>
      </c>
      <c r="J27" s="20">
        <f>ROUND(J7-J26,2)</f>
        <v>1510.63</v>
      </c>
      <c r="K27" s="20">
        <f>ROUND(K7-K26,2)</f>
        <v>35418.59</v>
      </c>
      <c r="L27" s="14">
        <f>ROUND(C27+D27+E27+I27+J27+K27,2)</f>
        <v>394349.87</v>
      </c>
      <c r="M27" s="15">
        <f>ROUND(H27+L27,2)</f>
        <v>404842.67</v>
      </c>
      <c r="N27" s="29"/>
    </row>
    <row r="28" spans="1:14" s="31" customFormat="1" ht="25.5" customHeight="1">
      <c r="A28" s="17" t="s">
        <v>49</v>
      </c>
      <c r="B28" s="30" t="s">
        <v>50</v>
      </c>
      <c r="C28" s="20">
        <f>ROUND(C7-C26-C27,2)</f>
        <v>0</v>
      </c>
      <c r="D28" s="20">
        <v>274290</v>
      </c>
      <c r="E28" s="20">
        <f>ROUND(E7-E26-E27,2)</f>
        <v>0</v>
      </c>
      <c r="F28" s="20">
        <f>ROUND(F7-F26-F27,2)</f>
        <v>0</v>
      </c>
      <c r="G28" s="20">
        <f>ROUND(G7-G26-G27,2)</f>
        <v>0</v>
      </c>
      <c r="H28" s="32">
        <f t="shared" si="0"/>
        <v>0</v>
      </c>
      <c r="I28" s="20">
        <f>ROUND(I7-I26-I27,2)</f>
        <v>0</v>
      </c>
      <c r="J28" s="20">
        <f>ROUND(J7-J26-J27,2)</f>
        <v>0</v>
      </c>
      <c r="K28" s="20">
        <f>ROUND(K7-K26-K27,2)</f>
        <v>0</v>
      </c>
      <c r="L28" s="14">
        <f>ROUND(C28+D28+E28+I28+J28+K28,2)</f>
        <v>274290</v>
      </c>
      <c r="M28" s="15">
        <f>ROUND(H28+L28,2)</f>
        <v>274290</v>
      </c>
      <c r="N28" s="29"/>
    </row>
    <row r="29" spans="1:14" s="16" customFormat="1" ht="12.75">
      <c r="A29" s="17">
        <v>23</v>
      </c>
      <c r="B29" s="33" t="s">
        <v>29</v>
      </c>
      <c r="C29" s="20">
        <v>673317.89</v>
      </c>
      <c r="D29" s="20">
        <v>0</v>
      </c>
      <c r="E29" s="20">
        <v>981960.28</v>
      </c>
      <c r="F29" s="20">
        <v>106353.58</v>
      </c>
      <c r="G29" s="20">
        <v>5210</v>
      </c>
      <c r="H29" s="32">
        <f t="shared" si="0"/>
        <v>111563.58</v>
      </c>
      <c r="I29" s="20">
        <v>17872.61</v>
      </c>
      <c r="J29" s="20">
        <v>1729.83</v>
      </c>
      <c r="K29" s="20">
        <v>76558.79</v>
      </c>
      <c r="L29" s="14">
        <f>ROUND(C29+D29+E29+I29+J29+K29,2)</f>
        <v>1751439.4</v>
      </c>
      <c r="M29" s="15">
        <f>ROUND(H29+L29,2)</f>
        <v>1863002.98</v>
      </c>
      <c r="N29" s="29"/>
    </row>
    <row r="30" spans="1:14" s="16" customFormat="1" ht="26.25" thickBot="1">
      <c r="A30" s="70" t="s">
        <v>51</v>
      </c>
      <c r="B30" s="71" t="s">
        <v>30</v>
      </c>
      <c r="C30" s="72">
        <f>ROUND(C26/12,2)</f>
        <v>557975.46</v>
      </c>
      <c r="D30" s="72">
        <f aca="true" t="shared" si="10" ref="D30:K30">ROUND(D26/12,2)</f>
        <v>69152.78</v>
      </c>
      <c r="E30" s="72">
        <f t="shared" si="10"/>
        <v>1016616.39</v>
      </c>
      <c r="F30" s="72">
        <f t="shared" si="10"/>
        <v>111405.6</v>
      </c>
      <c r="G30" s="72">
        <f t="shared" si="10"/>
        <v>5970</v>
      </c>
      <c r="H30" s="73">
        <f t="shared" si="0"/>
        <v>117375.6</v>
      </c>
      <c r="I30" s="72">
        <f t="shared" si="10"/>
        <v>14722.07</v>
      </c>
      <c r="J30" s="72">
        <f t="shared" si="10"/>
        <v>3224.11</v>
      </c>
      <c r="K30" s="72">
        <f t="shared" si="10"/>
        <v>59881.78</v>
      </c>
      <c r="L30" s="74">
        <f>ROUND(C30+D30+E30+I30+J30+K30,2)</f>
        <v>1721572.59</v>
      </c>
      <c r="M30" s="75">
        <f>ROUND(H30+L30,2)</f>
        <v>1838948.19</v>
      </c>
      <c r="N30" s="29"/>
    </row>
    <row r="31" spans="1:14" s="35" customFormat="1" ht="12.75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34"/>
    </row>
    <row r="32" spans="4:10" ht="15.75">
      <c r="D32" s="40"/>
      <c r="E32" s="43"/>
      <c r="F32" s="41"/>
      <c r="G32" s="41"/>
      <c r="H32" s="41"/>
      <c r="I32" s="41"/>
      <c r="J32" s="40"/>
    </row>
    <row r="33" spans="3:10" ht="15.75">
      <c r="C33" s="44"/>
      <c r="D33" s="44"/>
      <c r="E33" s="22"/>
      <c r="G33" s="41"/>
      <c r="H33" s="41"/>
      <c r="I33" s="40"/>
      <c r="J33" s="51"/>
    </row>
    <row r="34" spans="3:10" ht="15.75">
      <c r="C34" s="44"/>
      <c r="D34" s="44"/>
      <c r="E34" s="22"/>
      <c r="J34" s="51"/>
    </row>
    <row r="35" spans="3:14" ht="15.75">
      <c r="C35" s="42"/>
      <c r="D35" s="42"/>
      <c r="E35" s="44"/>
      <c r="F35" s="42"/>
      <c r="G35" s="42"/>
      <c r="H35" s="42"/>
      <c r="I35" s="42"/>
      <c r="J35" s="42"/>
      <c r="K35" s="42"/>
      <c r="L35" s="42"/>
      <c r="M35" s="42"/>
      <c r="N35" s="42"/>
    </row>
    <row r="36" spans="3:14" ht="15.75">
      <c r="C36" s="42"/>
      <c r="D36" s="42"/>
      <c r="E36" s="44"/>
      <c r="F36" s="42"/>
      <c r="G36" s="42"/>
      <c r="H36" s="42"/>
      <c r="I36" s="42"/>
      <c r="J36" s="42"/>
      <c r="K36" s="42"/>
      <c r="L36" s="42"/>
      <c r="M36" s="42"/>
      <c r="N36" s="42"/>
    </row>
    <row r="37" spans="3:14" ht="15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</sheetData>
  <mergeCells count="2">
    <mergeCell ref="A2:M2"/>
    <mergeCell ref="A3:M3"/>
  </mergeCells>
  <printOptions/>
  <pageMargins left="0.14" right="0.14" top="0.2" bottom="0.34" header="0.22" footer="0.14"/>
  <pageSetup horizontalDpi="600" verticalDpi="600" orientation="landscape" scale="67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2016-11-25T10:24:51Z</cp:lastPrinted>
  <dcterms:created xsi:type="dcterms:W3CDTF">2016-04-27T06:23:25Z</dcterms:created>
  <dcterms:modified xsi:type="dcterms:W3CDTF">2017-01-19T09:45:45Z</dcterms:modified>
  <cp:category/>
  <cp:version/>
  <cp:contentType/>
  <cp:contentStatus/>
</cp:coreProperties>
</file>