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<sst xmlns="http://schemas.openxmlformats.org/spreadsheetml/2006/main" count="49" uniqueCount="49">
  <si>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</si>
  <si>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</si>
  <si>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</si>
  <si>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</si>
  <si>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</si>
  <si>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</si>
  <si>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</si>
  <si>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</si>
  <si>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</si>
  <si>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</si>
  <si>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</si>
  <si>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>22=1-21</t>
  </si>
  <si>
    <t>Credite angajament aprobate an 2017, din care:</t>
  </si>
  <si>
    <t>Consum 2017 inregistrat in limita credite angajament AN 2017</t>
  </si>
  <si>
    <t>Consum mediu lunar AN 2017</t>
  </si>
  <si>
    <t>ianuarie 2017 - consum realizat</t>
  </si>
  <si>
    <t>Consum mediu lunar an 2016</t>
  </si>
  <si>
    <t>februarie 2017 - consum realizat</t>
  </si>
  <si>
    <t>martie 2017 - consum validat in limita credite trim. I 2017</t>
  </si>
  <si>
    <t>Trim. I 2017 - consum validat in limita credite trim. I 2017</t>
  </si>
  <si>
    <t>25=(21+23)/ nr. luni</t>
  </si>
  <si>
    <t>aprilie 2017- consum realizat+ diferente martie (6306220,23 + 520590,05)</t>
  </si>
  <si>
    <t>mai 2017 - consum realizat</t>
  </si>
  <si>
    <t>iunie 2017 - consum validat in limita credite sem. I 2017</t>
  </si>
  <si>
    <t>Trim. II 2017 - consum validat in limita credite sem. I 2017</t>
  </si>
  <si>
    <t>Total sem. I 2017- consum validat in limita credite sem. I 2017</t>
  </si>
  <si>
    <t>iulie 2017 - consum realizat+ diferente iunie (6322784,52+0,07)</t>
  </si>
  <si>
    <t>august 2017 - consum realizat</t>
  </si>
  <si>
    <t>ANEXA</t>
  </si>
  <si>
    <t xml:space="preserve">Limite trimestriale credite angajament aprobate CNAS - activitate curentă </t>
  </si>
  <si>
    <t>Limite trimestriale credite angajament aprobate CNAS - 40%MS</t>
  </si>
  <si>
    <t>Limite trimestriale credite angajament aprobate CNAS - CV</t>
  </si>
  <si>
    <t>septembrie 2017 - consum validat in limita credite 9 LUNI 2017</t>
  </si>
  <si>
    <t>Total trim. III 2017- consum validat in limita credite 9 LUNI 2017</t>
  </si>
  <si>
    <t>Total 9 luni 2017- consum validat in limita credite 9 LUNI 2017</t>
  </si>
  <si>
    <t>octombrie 2017 - consum realizat + diferente sept (7185449,81+16,90; 181462,57+2,53)</t>
  </si>
  <si>
    <t>CREDITELOR DE ANGAJAMENT PENTRU ELIBERARE MEDICAMENTE CU ŞI FĂRĂ CONTRIBUŢIE PERSONALĂ REALIZATE ÎN ANUL 2017, CA URMARE A VALIDARII CONSUMULUI RAPORTAT PENTRU LUNA DECEMBRIE 2017 IN LIMITA CREDITELOR DE ANGAJAMENT APROBATE PENTRU ANUL 2017, CONFORM ADRESEI CNAS NR. LM11261/28.12.2017</t>
  </si>
  <si>
    <t xml:space="preserve">CREDITE DE ANGAJAMENT MEDICAMENTE COMPENSAT+ GRATUIT REALIZATE AN 2017 (activitate curenta) </t>
  </si>
  <si>
    <t>CREDITE DE ANGAJAMENT MEDICAMENTE 40% MS REALIZATE AN 2017</t>
  </si>
  <si>
    <t>CREDITE DE ANGAJAMENT DCI COST VOLUM REALIZATE NOV-DEC. 2017</t>
  </si>
  <si>
    <t>TOTAL AN 2017 REALIZAT</t>
  </si>
  <si>
    <t>8=3+5+7</t>
  </si>
  <si>
    <t>noiembrie 2017- consum realizat</t>
  </si>
  <si>
    <t>decembrie 2017- consum realizat</t>
  </si>
  <si>
    <t>Total trim. IV 2017- consum validat in limita credite AN 2017</t>
  </si>
  <si>
    <t>TOTAL AN 2017- consum realizat si validat integral</t>
  </si>
  <si>
    <t>21=20</t>
  </si>
  <si>
    <t>Credite neconsumate la 31/12/2017- ECONOMII AN 2017</t>
  </si>
  <si>
    <t>Depășire la data de 31/12/2017 (consum nevalidat 2017)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</si>
</sst>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4" fontId="2" fillId="0" borderId="6" xfId="0" applyNumberFormat="1" applyFont="1" applyBorder="1" applyAlignment="1">
      <alignment vertical="top"/>
    </xf>
    <xf numFmtId="4" fontId="1" fillId="2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4" fontId="2" fillId="0" borderId="5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4" fontId="8" fillId="0" borderId="5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vertical="top"/>
    </xf>
    <xf numFmtId="49" fontId="7" fillId="0" borderId="5" xfId="0" applyNumberFormat="1" applyFont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vertical="top"/>
    </xf>
    <xf numFmtId="4" fontId="1" fillId="2" borderId="11" xfId="0" applyNumberFormat="1" applyFont="1" applyFill="1" applyBorder="1" applyAlignment="1">
      <alignment vertical="top"/>
    </xf>
    <xf numFmtId="4" fontId="1" fillId="2" borderId="12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B34" sqref="B34:G35"/>
    </sheetView>
  </sheetViews>
  <sheetFormatPr defaultColWidth="9.140625" defaultRowHeight="12.75"/>
  <cols>
    <col min="1" max="1" width="13.00390625" style="2" customWidth="1"/>
    <col min="2" max="2" width="52.140625" style="2" customWidth="1"/>
    <col min="3" max="3" width="15.00390625" style="2" customWidth="1"/>
    <col min="4" max="4" width="21.28125" style="2" customWidth="1"/>
    <col min="5" max="5" width="14.7109375" style="2" customWidth="1"/>
    <col min="6" max="6" width="15.28125" style="2" customWidth="1"/>
    <col min="7" max="7" width="13.7109375" style="2" customWidth="1"/>
    <col min="8" max="8" width="15.421875" style="2" customWidth="1"/>
    <col min="9" max="9" width="12.00390625" style="2" customWidth="1"/>
    <col min="10" max="16384" width="9.140625" style="2" customWidth="1"/>
  </cols>
  <sheetData>
    <row r="1" spans="1:9" ht="12.75">
      <c r="A1" s="1" t="s">
        <v>0</v>
      </c>
      <c r="F1" s="27"/>
      <c r="I1" s="27" t="s">
        <v>28</v>
      </c>
    </row>
    <row r="2" spans="1:9" ht="12.7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3" customFormat="1" ht="41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</row>
    <row r="4" ht="8.25" customHeight="1" thickBot="1"/>
    <row r="5" spans="1:9" ht="77.25" customHeight="1">
      <c r="A5" s="4" t="s">
        <v>2</v>
      </c>
      <c r="B5" s="5" t="s">
        <v>3</v>
      </c>
      <c r="C5" s="5" t="s">
        <v>29</v>
      </c>
      <c r="D5" s="5" t="s">
        <v>37</v>
      </c>
      <c r="E5" s="5" t="s">
        <v>30</v>
      </c>
      <c r="F5" s="5" t="s">
        <v>38</v>
      </c>
      <c r="G5" s="5" t="s">
        <v>31</v>
      </c>
      <c r="H5" s="5" t="s">
        <v>39</v>
      </c>
      <c r="I5" s="6" t="s">
        <v>40</v>
      </c>
    </row>
    <row r="6" spans="1:9" ht="12.75">
      <c r="A6" s="7">
        <v>0</v>
      </c>
      <c r="B6" s="8">
        <v>1</v>
      </c>
      <c r="C6" s="8">
        <v>2</v>
      </c>
      <c r="D6" s="8">
        <v>3</v>
      </c>
      <c r="E6" s="8">
        <v>4</v>
      </c>
      <c r="F6" s="46">
        <v>5</v>
      </c>
      <c r="G6" s="8">
        <v>6</v>
      </c>
      <c r="H6" s="46">
        <v>7</v>
      </c>
      <c r="I6" s="47" t="s">
        <v>41</v>
      </c>
    </row>
    <row r="7" spans="1:9" ht="12.75">
      <c r="A7" s="9">
        <v>1</v>
      </c>
      <c r="B7" s="10" t="s">
        <v>12</v>
      </c>
      <c r="C7" s="18">
        <f>ROUND(C11+C15+C20+C25,2)</f>
        <v>80251000</v>
      </c>
      <c r="D7" s="11">
        <f>18987000+46856000-11396000+3276000+7104000+15424000</f>
        <v>80251000</v>
      </c>
      <c r="E7" s="18">
        <f>ROUND(E11+E15+E20+E25,2)</f>
        <v>1718000</v>
      </c>
      <c r="F7" s="11">
        <f>378000+952000+337000+51000</f>
        <v>1718000</v>
      </c>
      <c r="G7" s="18">
        <f>ROUND(G11+G15+G20+G25,2)</f>
        <v>6000</v>
      </c>
      <c r="H7" s="11">
        <f>1000+5000</f>
        <v>6000</v>
      </c>
      <c r="I7" s="12">
        <f>ROUND(D7+F7+H7,2)</f>
        <v>81975000</v>
      </c>
    </row>
    <row r="8" spans="1:9" ht="12.75">
      <c r="A8" s="14">
        <v>2</v>
      </c>
      <c r="B8" s="15" t="s">
        <v>15</v>
      </c>
      <c r="C8" s="25"/>
      <c r="D8" s="16">
        <f>6329000+225568.13</f>
        <v>6554568.13</v>
      </c>
      <c r="E8" s="16"/>
      <c r="F8" s="19">
        <f>130000-2905.01</f>
        <v>127094.99</v>
      </c>
      <c r="G8" s="16"/>
      <c r="H8" s="19">
        <v>0</v>
      </c>
      <c r="I8" s="17">
        <f aca="true" t="shared" si="0" ref="I8:I26">ROUND(D8+F8+H8,2)</f>
        <v>6681663.12</v>
      </c>
    </row>
    <row r="9" spans="1:9" ht="12.75">
      <c r="A9" s="14">
        <v>3</v>
      </c>
      <c r="B9" s="15" t="s">
        <v>17</v>
      </c>
      <c r="C9" s="25"/>
      <c r="D9" s="16">
        <f>6329000+171000-8955.64</f>
        <v>6491044.36</v>
      </c>
      <c r="E9" s="16"/>
      <c r="F9" s="19">
        <f>130000+2905.01-15264.82</f>
        <v>117640.19</v>
      </c>
      <c r="G9" s="16"/>
      <c r="H9" s="19">
        <v>0</v>
      </c>
      <c r="I9" s="17">
        <f t="shared" si="0"/>
        <v>6608684.55</v>
      </c>
    </row>
    <row r="10" spans="1:9" ht="12.75">
      <c r="A10" s="7">
        <v>4</v>
      </c>
      <c r="B10" s="15" t="s">
        <v>18</v>
      </c>
      <c r="C10" s="25"/>
      <c r="D10" s="16">
        <v>6403207.51</v>
      </c>
      <c r="E10" s="16"/>
      <c r="F10" s="19">
        <f>118000+15264.82-9704.74</f>
        <v>123560.08</v>
      </c>
      <c r="G10" s="16"/>
      <c r="H10" s="19">
        <v>0</v>
      </c>
      <c r="I10" s="17">
        <f t="shared" si="0"/>
        <v>6526767.59</v>
      </c>
    </row>
    <row r="11" spans="1:9" s="1" customFormat="1" ht="12.75">
      <c r="A11" s="35" t="s">
        <v>4</v>
      </c>
      <c r="B11" s="36" t="s">
        <v>19</v>
      </c>
      <c r="C11" s="11">
        <v>19448820</v>
      </c>
      <c r="D11" s="18">
        <f>SUM(D8:D10)</f>
        <v>19448820</v>
      </c>
      <c r="E11" s="18">
        <v>378000</v>
      </c>
      <c r="F11" s="18">
        <f>SUM(F8:F10)</f>
        <v>368295.26</v>
      </c>
      <c r="G11" s="18">
        <v>0</v>
      </c>
      <c r="H11" s="18">
        <f>SUM(H8:H10)</f>
        <v>0</v>
      </c>
      <c r="I11" s="12">
        <f t="shared" si="0"/>
        <v>19817115.26</v>
      </c>
    </row>
    <row r="12" spans="1:9" ht="12.75">
      <c r="A12" s="14">
        <v>6</v>
      </c>
      <c r="B12" s="37" t="s">
        <v>21</v>
      </c>
      <c r="C12" s="25"/>
      <c r="D12" s="16">
        <f>6500000+326810.28</f>
        <v>6826810.28</v>
      </c>
      <c r="E12" s="16"/>
      <c r="F12" s="19">
        <f>130000+9704.74-22333.06</f>
        <v>117371.68</v>
      </c>
      <c r="G12" s="16"/>
      <c r="H12" s="19">
        <v>0</v>
      </c>
      <c r="I12" s="17">
        <f t="shared" si="0"/>
        <v>6944181.96</v>
      </c>
    </row>
    <row r="13" spans="1:9" ht="12.75">
      <c r="A13" s="14">
        <v>7</v>
      </c>
      <c r="B13" s="15" t="s">
        <v>22</v>
      </c>
      <c r="C13" s="25"/>
      <c r="D13" s="16">
        <f>6500000-326810.28+787408.84</f>
        <v>6960598.56</v>
      </c>
      <c r="E13" s="16"/>
      <c r="F13" s="19">
        <f>130000+22333.06-28010.84</f>
        <v>124322.22</v>
      </c>
      <c r="G13" s="16"/>
      <c r="H13" s="19">
        <v>0</v>
      </c>
      <c r="I13" s="17">
        <f t="shared" si="0"/>
        <v>7084920.78</v>
      </c>
    </row>
    <row r="14" spans="1:9" s="3" customFormat="1" ht="12.75">
      <c r="A14" s="14">
        <v>8</v>
      </c>
      <c r="B14" s="38" t="s">
        <v>23</v>
      </c>
      <c r="C14" s="39"/>
      <c r="D14" s="16">
        <f>6500000-290340-787408.84+843520.07-0.07</f>
        <v>6265771.16</v>
      </c>
      <c r="E14" s="16"/>
      <c r="F14" s="19">
        <f>130000+28010.84-55562.09</f>
        <v>102448.75</v>
      </c>
      <c r="G14" s="16"/>
      <c r="H14" s="19">
        <v>0</v>
      </c>
      <c r="I14" s="17">
        <f t="shared" si="0"/>
        <v>6368219.91</v>
      </c>
    </row>
    <row r="15" spans="1:9" ht="12.75">
      <c r="A15" s="40" t="s">
        <v>5</v>
      </c>
      <c r="B15" s="36" t="s">
        <v>24</v>
      </c>
      <c r="C15" s="11">
        <f>19209660+843520</f>
        <v>20053180</v>
      </c>
      <c r="D15" s="18">
        <f>SUM(D12:D14)</f>
        <v>20053180</v>
      </c>
      <c r="E15" s="18">
        <v>390000</v>
      </c>
      <c r="F15" s="18">
        <f>SUM(F12:F14)</f>
        <v>344142.65</v>
      </c>
      <c r="G15" s="18">
        <v>0</v>
      </c>
      <c r="H15" s="18">
        <f>SUM(H12:H14)</f>
        <v>0</v>
      </c>
      <c r="I15" s="12">
        <f t="shared" si="0"/>
        <v>20397322.65</v>
      </c>
    </row>
    <row r="16" spans="1:9" s="1" customFormat="1" ht="12.75">
      <c r="A16" s="35" t="s">
        <v>6</v>
      </c>
      <c r="B16" s="41" t="s">
        <v>25</v>
      </c>
      <c r="C16" s="11">
        <f aca="true" t="shared" si="1" ref="C16:H16">C11+C15</f>
        <v>39502000</v>
      </c>
      <c r="D16" s="18">
        <f t="shared" si="1"/>
        <v>39502000</v>
      </c>
      <c r="E16" s="11">
        <f t="shared" si="1"/>
        <v>768000</v>
      </c>
      <c r="F16" s="18">
        <f t="shared" si="1"/>
        <v>712437.91</v>
      </c>
      <c r="G16" s="11">
        <f t="shared" si="1"/>
        <v>0</v>
      </c>
      <c r="H16" s="18">
        <f t="shared" si="1"/>
        <v>0</v>
      </c>
      <c r="I16" s="12">
        <f t="shared" si="0"/>
        <v>40214437.91</v>
      </c>
    </row>
    <row r="17" spans="1:9" ht="12.75">
      <c r="A17" s="14">
        <v>11</v>
      </c>
      <c r="B17" s="15" t="s">
        <v>26</v>
      </c>
      <c r="C17" s="25"/>
      <c r="D17" s="16">
        <f>6500000-177215.48+0.07</f>
        <v>6322784.59</v>
      </c>
      <c r="E17" s="42"/>
      <c r="F17" s="19">
        <f>130000+55562.09-47915.03</f>
        <v>137647.06</v>
      </c>
      <c r="G17" s="42"/>
      <c r="H17" s="19">
        <v>0</v>
      </c>
      <c r="I17" s="17">
        <f t="shared" si="0"/>
        <v>6460431.65</v>
      </c>
    </row>
    <row r="18" spans="1:9" ht="12.75">
      <c r="A18" s="14">
        <v>12</v>
      </c>
      <c r="B18" s="15" t="s">
        <v>27</v>
      </c>
      <c r="C18" s="25"/>
      <c r="D18" s="16">
        <f>6500000+177215.48-0.07-236426.09</f>
        <v>6440789.32</v>
      </c>
      <c r="E18" s="19"/>
      <c r="F18" s="19">
        <f>130000+47915.03-14455.01</f>
        <v>163460.02</v>
      </c>
      <c r="G18" s="19"/>
      <c r="H18" s="19">
        <v>0</v>
      </c>
      <c r="I18" s="17">
        <f t="shared" si="0"/>
        <v>6604249.34</v>
      </c>
    </row>
    <row r="19" spans="1:9" ht="12.75">
      <c r="A19" s="14">
        <v>13</v>
      </c>
      <c r="B19" s="20" t="s">
        <v>32</v>
      </c>
      <c r="C19" s="19"/>
      <c r="D19" s="16">
        <f>1945000+3276000+236426.09+971440</f>
        <v>6428866.09</v>
      </c>
      <c r="E19" s="21"/>
      <c r="F19" s="19">
        <f>130000+4840+14455.01+11200</f>
        <v>160495.01</v>
      </c>
      <c r="G19" s="21"/>
      <c r="H19" s="19">
        <v>0</v>
      </c>
      <c r="I19" s="17">
        <f t="shared" si="0"/>
        <v>6589361.1</v>
      </c>
    </row>
    <row r="20" spans="1:9" s="1" customFormat="1" ht="25.5">
      <c r="A20" s="35" t="s">
        <v>7</v>
      </c>
      <c r="B20" s="41" t="s">
        <v>33</v>
      </c>
      <c r="C20" s="11">
        <f>15788520-843520+3276000+971440</f>
        <v>19192440</v>
      </c>
      <c r="D20" s="18">
        <f>ROUND(D17+D18+D19,2)</f>
        <v>19192440</v>
      </c>
      <c r="E20" s="11">
        <f>394840+11200</f>
        <v>406040</v>
      </c>
      <c r="F20" s="18">
        <f>ROUND(F17+F18+F19,2)</f>
        <v>461602.09</v>
      </c>
      <c r="G20" s="11">
        <v>0</v>
      </c>
      <c r="H20" s="18">
        <f>ROUND(H17+H18+H19,2)</f>
        <v>0</v>
      </c>
      <c r="I20" s="12">
        <f t="shared" si="0"/>
        <v>19654042.09</v>
      </c>
    </row>
    <row r="21" spans="1:9" s="1" customFormat="1" ht="12.75">
      <c r="A21" s="35" t="s">
        <v>8</v>
      </c>
      <c r="B21" s="41" t="s">
        <v>34</v>
      </c>
      <c r="C21" s="11">
        <f>C16+C20</f>
        <v>58694440</v>
      </c>
      <c r="D21" s="18">
        <f>ROUND(D16+D20,2)</f>
        <v>58694440</v>
      </c>
      <c r="E21" s="11">
        <f>E16+E20</f>
        <v>1174040</v>
      </c>
      <c r="F21" s="18">
        <f>ROUND(F16+F20,2)</f>
        <v>1174040</v>
      </c>
      <c r="G21" s="11">
        <f>G16+G20</f>
        <v>0</v>
      </c>
      <c r="H21" s="18">
        <f>ROUND(H16+H20,2)</f>
        <v>0</v>
      </c>
      <c r="I21" s="12">
        <f t="shared" si="0"/>
        <v>59868480</v>
      </c>
    </row>
    <row r="22" spans="1:9" ht="25.5">
      <c r="A22" s="14">
        <v>16</v>
      </c>
      <c r="B22" s="43" t="s">
        <v>35</v>
      </c>
      <c r="C22" s="19"/>
      <c r="D22" s="19">
        <f>7104000-971440+1052906.71</f>
        <v>7185466.71</v>
      </c>
      <c r="E22" s="19"/>
      <c r="F22" s="19">
        <f>130000+40000+11465.1</f>
        <v>181465.1</v>
      </c>
      <c r="G22" s="19"/>
      <c r="H22" s="19">
        <v>0</v>
      </c>
      <c r="I22" s="17">
        <f t="shared" si="0"/>
        <v>7366931.81</v>
      </c>
    </row>
    <row r="23" spans="1:12" ht="12.75">
      <c r="A23" s="14">
        <v>17</v>
      </c>
      <c r="B23" s="20" t="s">
        <v>42</v>
      </c>
      <c r="C23" s="19"/>
      <c r="D23" s="21">
        <f>7200000-351542.17</f>
        <v>6848457.83</v>
      </c>
      <c r="E23" s="21"/>
      <c r="F23" s="19">
        <f>170000+15000-1867.79</f>
        <v>183132.21</v>
      </c>
      <c r="G23" s="21"/>
      <c r="H23" s="19">
        <f>701-0.76</f>
        <v>700.24</v>
      </c>
      <c r="I23" s="17">
        <f t="shared" si="0"/>
        <v>7032290.28</v>
      </c>
      <c r="L23" s="13"/>
    </row>
    <row r="24" spans="1:9" ht="12.75">
      <c r="A24" s="14">
        <v>18</v>
      </c>
      <c r="B24" s="20" t="s">
        <v>43</v>
      </c>
      <c r="C24" s="19"/>
      <c r="D24" s="19">
        <f>7171093.29+351542.17-1067848.48</f>
        <v>6454786.98</v>
      </c>
      <c r="E24" s="19"/>
      <c r="F24" s="19">
        <f>152960+24534.9+1867.79-790.58</f>
        <v>178572.11000000002</v>
      </c>
      <c r="G24" s="19"/>
      <c r="H24" s="19">
        <f>299+0.76+5000-3619.18</f>
        <v>1680.5800000000004</v>
      </c>
      <c r="I24" s="17">
        <f t="shared" si="0"/>
        <v>6635039.67</v>
      </c>
    </row>
    <row r="25" spans="1:9" ht="13.5" thickBot="1">
      <c r="A25" s="48" t="s">
        <v>9</v>
      </c>
      <c r="B25" s="49" t="s">
        <v>44</v>
      </c>
      <c r="C25" s="50">
        <f>7104000-971440+15424000</f>
        <v>21556560</v>
      </c>
      <c r="D25" s="50">
        <f>D22+D23+D24</f>
        <v>20488711.52</v>
      </c>
      <c r="E25" s="50">
        <f>167160+337000-11200+51000</f>
        <v>543960</v>
      </c>
      <c r="F25" s="50">
        <f>F22+F23+F24</f>
        <v>543169.42</v>
      </c>
      <c r="G25" s="50">
        <f>1000+5000</f>
        <v>6000</v>
      </c>
      <c r="H25" s="50">
        <f>H22+H23+H24</f>
        <v>2380.8200000000006</v>
      </c>
      <c r="I25" s="51">
        <f t="shared" si="0"/>
        <v>21034261.76</v>
      </c>
    </row>
    <row r="26" spans="1:9" ht="26.25" thickBot="1">
      <c r="A26" s="52" t="s">
        <v>10</v>
      </c>
      <c r="B26" s="53" t="s">
        <v>45</v>
      </c>
      <c r="C26" s="54">
        <f aca="true" t="shared" si="2" ref="C26:H26">ROUND(C11+C15+C20+C25,2)</f>
        <v>80251000</v>
      </c>
      <c r="D26" s="54">
        <f t="shared" si="2"/>
        <v>79183151.52</v>
      </c>
      <c r="E26" s="54">
        <f t="shared" si="2"/>
        <v>1718000</v>
      </c>
      <c r="F26" s="54">
        <f t="shared" si="2"/>
        <v>1717209.42</v>
      </c>
      <c r="G26" s="54">
        <f t="shared" si="2"/>
        <v>6000</v>
      </c>
      <c r="H26" s="54">
        <f t="shared" si="2"/>
        <v>2380.82</v>
      </c>
      <c r="I26" s="55">
        <f t="shared" si="0"/>
        <v>80902741.76</v>
      </c>
    </row>
    <row r="27" spans="1:9" ht="12.75">
      <c r="A27" s="56" t="s">
        <v>46</v>
      </c>
      <c r="B27" s="57" t="s">
        <v>13</v>
      </c>
      <c r="C27" s="57"/>
      <c r="D27" s="58">
        <f>ROUND(D8+D9+D10+D12+D13+D14+D17+D18+D19+D22+D23+D24,2)</f>
        <v>79183151.52</v>
      </c>
      <c r="E27" s="58"/>
      <c r="F27" s="58">
        <f>ROUND(F8+F9+F10+F12+F13+F14+F17+F18+F19+F22+F23+F24,2)</f>
        <v>1717209.42</v>
      </c>
      <c r="G27" s="58"/>
      <c r="H27" s="58">
        <f>ROUND(H8+H9+H10+H12+H13+H14+H17+H18+H19+H22+H23+H24,2)</f>
        <v>2380.82</v>
      </c>
      <c r="I27" s="59">
        <f>ROUND(I8+I9+I10+I12+I13+I14+I17+I18+I19+I22+I23+I24,2)</f>
        <v>80902741.76</v>
      </c>
    </row>
    <row r="28" spans="1:9" s="1" customFormat="1" ht="12.75">
      <c r="A28" s="60" t="s">
        <v>11</v>
      </c>
      <c r="B28" s="61" t="s">
        <v>47</v>
      </c>
      <c r="C28" s="61"/>
      <c r="D28" s="62">
        <f>ROUND(D7-D27,2)</f>
        <v>1067848.48</v>
      </c>
      <c r="E28" s="62"/>
      <c r="F28" s="62">
        <f>ROUND(F7-F27,2)</f>
        <v>790.58</v>
      </c>
      <c r="G28" s="62"/>
      <c r="H28" s="62">
        <f>ROUND(H7-H27,2)</f>
        <v>3619.18</v>
      </c>
      <c r="I28" s="63">
        <f>ROUND(I7-I27,2)</f>
        <v>1072258.24</v>
      </c>
    </row>
    <row r="29" spans="1:9" s="34" customFormat="1" ht="12.75">
      <c r="A29" s="31">
        <v>23</v>
      </c>
      <c r="B29" s="32" t="s">
        <v>48</v>
      </c>
      <c r="C29" s="32"/>
      <c r="D29" s="33">
        <v>0</v>
      </c>
      <c r="E29" s="33"/>
      <c r="F29" s="33">
        <v>0</v>
      </c>
      <c r="G29" s="33"/>
      <c r="H29" s="33">
        <v>0</v>
      </c>
      <c r="I29" s="17">
        <f>ROUND(D29+F29+H29,2)</f>
        <v>0</v>
      </c>
    </row>
    <row r="30" spans="1:9" ht="12.75">
      <c r="A30" s="14">
        <v>24</v>
      </c>
      <c r="B30" s="22" t="s">
        <v>16</v>
      </c>
      <c r="C30" s="22"/>
      <c r="D30" s="19">
        <v>6136406.19</v>
      </c>
      <c r="E30" s="19"/>
      <c r="F30" s="19">
        <v>126520.26</v>
      </c>
      <c r="G30" s="19"/>
      <c r="H30" s="19">
        <v>0</v>
      </c>
      <c r="I30" s="17">
        <f>ROUND(D30+F30+H30,2)</f>
        <v>6262926.45</v>
      </c>
    </row>
    <row r="31" spans="1:9" ht="26.25" thickBot="1">
      <c r="A31" s="64" t="s">
        <v>20</v>
      </c>
      <c r="B31" s="65" t="s">
        <v>14</v>
      </c>
      <c r="C31" s="65"/>
      <c r="D31" s="66">
        <f>ROUND((D27+D29)/12,2)</f>
        <v>6598595.96</v>
      </c>
      <c r="E31" s="66"/>
      <c r="F31" s="66">
        <f>ROUND((F27+F29)/12,2)</f>
        <v>143100.79</v>
      </c>
      <c r="G31" s="66"/>
      <c r="H31" s="66">
        <f>ROUND((H27+H29)/2,2)</f>
        <v>1190.41</v>
      </c>
      <c r="I31" s="67">
        <f>ROUND(D31+F31+H31,2)</f>
        <v>6742887.16</v>
      </c>
    </row>
    <row r="32" spans="1:8" ht="8.25" customHeight="1">
      <c r="A32" s="3"/>
      <c r="B32" s="3"/>
      <c r="C32" s="3"/>
      <c r="D32" s="3"/>
      <c r="E32" s="3"/>
      <c r="F32" s="3"/>
      <c r="G32" s="3"/>
      <c r="H32" s="3"/>
    </row>
    <row r="33" spans="2:7" ht="14.25" customHeight="1">
      <c r="B33" s="26"/>
      <c r="C33" s="28"/>
      <c r="E33" s="23"/>
      <c r="G33" s="23"/>
    </row>
    <row r="34" spans="2:8" ht="14.25" customHeight="1">
      <c r="B34" s="26"/>
      <c r="C34" s="26"/>
      <c r="E34" s="23"/>
      <c r="F34" s="24"/>
      <c r="G34" s="23"/>
      <c r="H34" s="24"/>
    </row>
    <row r="35" spans="2:8" ht="18.75" customHeight="1">
      <c r="B35" s="26"/>
      <c r="C35" s="26"/>
      <c r="E35" s="23"/>
      <c r="F35" s="29"/>
      <c r="G35" s="23"/>
      <c r="H35" s="29"/>
    </row>
    <row r="36" ht="14.25">
      <c r="C36" s="30"/>
    </row>
    <row r="37" ht="14.25">
      <c r="C37" s="30"/>
    </row>
    <row r="38" ht="14.25">
      <c r="C38" s="30"/>
    </row>
    <row r="39" ht="14.25">
      <c r="C39" s="30"/>
    </row>
    <row r="40" ht="14.25">
      <c r="C40" s="30"/>
    </row>
  </sheetData>
  <mergeCells count="2">
    <mergeCell ref="A2:I2"/>
    <mergeCell ref="A3:I3"/>
  </mergeCells>
  <printOptions/>
  <pageMargins left="0.17" right="0.14" top="0.48" bottom="1" header="0.5" footer="0.5"/>
  <pageSetup horizontalDpi="600" verticalDpi="600" orientation="landscape" scale="80" r:id="rId1"/>
  <headerFooter alignWithMargins="0">
    <oddFooter>&amp;L&amp;BCJAS OLT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2018-01-22T12:31:30Z</cp:lastPrinted>
  <dcterms:created xsi:type="dcterms:W3CDTF">2016-04-27T06:22:10Z</dcterms:created>
  <dcterms:modified xsi:type="dcterms:W3CDTF">2018-01-22T12:31:32Z</dcterms:modified>
  <cp:category/>
  <cp:version/>
  <cp:contentType/>
  <cp:contentStatus/>
</cp:coreProperties>
</file>