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<sst xmlns="http://schemas.openxmlformats.org/spreadsheetml/2006/main" count="57" uniqueCount="57">
  <si>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CASA DE ASIGURARI DE SANATATE OLT</t>
  </si>
  <si>
    <t>SITUATIA</t>
  </si>
  <si>
    <t>Nr. crt.</t>
  </si>
  <si>
    <t>Luna/an</t>
  </si>
  <si>
    <t>7=5+6</t>
  </si>
  <si>
    <t>5=2+3+4</t>
  </si>
  <si>
    <t>9=6+7+8</t>
  </si>
  <si>
    <t>10=5+9</t>
  </si>
  <si>
    <t>19=16+17+18</t>
  </si>
  <si>
    <t>Consum mediu lunar AN 2016</t>
  </si>
  <si>
    <t>14=11+12+13</t>
  </si>
  <si>
    <t>15=10+14</t>
  </si>
  <si>
    <t>20=5+9+14+ 19</t>
  </si>
  <si>
    <t>Consum 2017 inregistrat in limita credite angajament AN 2017</t>
  </si>
  <si>
    <t>22=1-21</t>
  </si>
  <si>
    <t>Consum mediu lunar AN 2017</t>
  </si>
  <si>
    <t>ianuarie 2017 - consum realizat</t>
  </si>
  <si>
    <t>TOTAL MEDICAMENTE 2017</t>
  </si>
  <si>
    <t>Credite angajament aprobate AN 2017, din care:</t>
  </si>
  <si>
    <t>februarie 2017 - consum realizat</t>
  </si>
  <si>
    <t>martie 2017 - consum validat în limita credite trim. I 2017</t>
  </si>
  <si>
    <t>Trim. I 2017 - consum validat în limita credite trim. I 2017</t>
  </si>
  <si>
    <t>25=21/ nr. luni</t>
  </si>
  <si>
    <t xml:space="preserve">P3 - ONCOLOGIE ACTIVITATE CURENTA </t>
  </si>
  <si>
    <t>P3 - ONCOLOGIE COST VOLUM</t>
  </si>
  <si>
    <t>P5 - DIABET ZAHARAT (medicamente)</t>
  </si>
  <si>
    <t>P5 - DIABET TESTE ADULŢI</t>
  </si>
  <si>
    <t>P5 - DIABET TESTE COPII</t>
  </si>
  <si>
    <t>P5 - TOTAL TESTE</t>
  </si>
  <si>
    <t>P6.4 - MUCOV. COPII</t>
  </si>
  <si>
    <t>P6.20 - FIBROZA PULMONARA IDIOPATICA</t>
  </si>
  <si>
    <t>P9 - STARE POSTTRANSPLANT</t>
  </si>
  <si>
    <t>TOTAL PNS AN 2017</t>
  </si>
  <si>
    <t>mai 2017 - consum realizat</t>
  </si>
  <si>
    <t>iunie 2017- consum validat în limita credite sem. I 2017</t>
  </si>
  <si>
    <t>Trim. II 2017 - consum validat în limita credite sem. I 2017</t>
  </si>
  <si>
    <t>Total sem. I 2017- consum validat în limita credite sem. I 2017</t>
  </si>
  <si>
    <t>P6.5.2 - SCLEROZĂ LATERALĂ AMIOTROFICA</t>
  </si>
  <si>
    <t>P6.22 - ANGIOEDEM EREDITAR</t>
  </si>
  <si>
    <t>13=2+3+4+8+9+ 10+11+12</t>
  </si>
  <si>
    <t>14=7+13</t>
  </si>
  <si>
    <t>aprilie 2017 - consum realizat + diferente validate martie</t>
  </si>
  <si>
    <t>august 2017 - consum realizat</t>
  </si>
  <si>
    <t>ANEXA</t>
  </si>
  <si>
    <t>iulie 2017 - consum realizat + diferente validate iunie (rand 23)</t>
  </si>
  <si>
    <t>septembrie 2017 - consum realizat</t>
  </si>
  <si>
    <t>Total trim. III 2017 - CONSUM REALIZAT</t>
  </si>
  <si>
    <t>Total 9 luni 2017 - CONSUM REALIZAT</t>
  </si>
  <si>
    <t>octombrie 2017 - consum realizat</t>
  </si>
  <si>
    <t>CREDITELOR DE ANGAJAMENT REALIZATE ÎN ANUL 2017 PENTRU PNS DERULATE PRIN FARMACII CU CIRCUIT DESCHIS, CA URMARE A VALIDARII CONSUMULUI RAPORTAT PENTRU LUNA DECEMBRIE 2017 IN LIMITA CREDITELOR DE ANGAJAMENT APROBATE PENTRU ANUL 2017, CONFORM ADRESEI CNAS NR. LM11261/28.12.2017</t>
  </si>
  <si>
    <t>noiembrie 2017 - consum realizat</t>
  </si>
  <si>
    <t>decembrie 2017- consum realizat</t>
  </si>
  <si>
    <t>Total trim. IV 2017- consum validat in limita credite AN 2017</t>
  </si>
  <si>
    <t>TOTAL AN 2017- consum realizat si validat integral</t>
  </si>
  <si>
    <t>21=20</t>
  </si>
  <si>
    <t>Credite neconsumate la 31/12/2017- ECONOMII AN 2017</t>
  </si>
  <si>
    <t>Depășire la data de 31/12/2017 (consum nevalidat 2017)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</si>
</sst>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3" fillId="2" borderId="4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left" vertical="top"/>
    </xf>
    <xf numFmtId="4" fontId="6" fillId="0" borderId="6" xfId="0" applyNumberFormat="1" applyFont="1" applyFill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7" xfId="0" applyFont="1" applyBorder="1" applyAlignment="1">
      <alignment horizontal="center" vertical="top"/>
    </xf>
    <xf numFmtId="4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3" fillId="2" borderId="8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horizontal="right" vertical="top"/>
    </xf>
    <xf numFmtId="4" fontId="3" fillId="2" borderId="1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2" xfId="0" applyFont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4" fontId="3" fillId="2" borderId="13" xfId="0" applyNumberFormat="1" applyFont="1" applyFill="1" applyBorder="1" applyAlignment="1">
      <alignment vertical="top"/>
    </xf>
    <xf numFmtId="0" fontId="6" fillId="0" borderId="7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4" fontId="3" fillId="3" borderId="10" xfId="0" applyNumberFormat="1" applyFont="1" applyFill="1" applyBorder="1" applyAlignment="1">
      <alignment vertical="top" wrapText="1"/>
    </xf>
    <xf numFmtId="4" fontId="3" fillId="3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6" fillId="0" borderId="6" xfId="0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2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6" fillId="0" borderId="6" xfId="0" applyNumberFormat="1" applyFont="1" applyFill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4" fontId="6" fillId="0" borderId="6" xfId="0" applyNumberFormat="1" applyFont="1" applyBorder="1" applyAlignment="1">
      <alignment/>
    </xf>
    <xf numFmtId="4" fontId="6" fillId="0" borderId="6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vertical="top" wrapText="1"/>
    </xf>
    <xf numFmtId="49" fontId="6" fillId="0" borderId="8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/>
    </xf>
    <xf numFmtId="4" fontId="3" fillId="2" borderId="10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vertical="top"/>
    </xf>
    <xf numFmtId="4" fontId="6" fillId="0" borderId="13" xfId="0" applyNumberFormat="1" applyFont="1" applyFill="1" applyBorder="1" applyAlignment="1">
      <alignment vertical="top"/>
    </xf>
    <xf numFmtId="4" fontId="6" fillId="0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/>
    </xf>
    <xf numFmtId="49" fontId="6" fillId="0" borderId="6" xfId="0" applyNumberFormat="1" applyFont="1" applyBorder="1" applyAlignment="1">
      <alignment vertical="top"/>
    </xf>
    <xf numFmtId="4" fontId="6" fillId="0" borderId="8" xfId="0" applyNumberFormat="1" applyFont="1" applyFill="1" applyBorder="1" applyAlignment="1">
      <alignment/>
    </xf>
    <xf numFmtId="0" fontId="3" fillId="3" borderId="9" xfId="0" applyFont="1" applyFill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4" fontId="7" fillId="0" borderId="6" xfId="0" applyNumberFormat="1" applyFont="1" applyBorder="1" applyAlignment="1">
      <alignment vertical="top"/>
    </xf>
    <xf numFmtId="4" fontId="7" fillId="2" borderId="6" xfId="0" applyNumberFormat="1" applyFont="1" applyFill="1" applyBorder="1" applyAlignment="1">
      <alignment vertical="top"/>
    </xf>
    <xf numFmtId="4" fontId="7" fillId="0" borderId="0" xfId="0" applyNumberFormat="1" applyFont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3" fillId="2" borderId="3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3" fillId="2" borderId="17" xfId="0" applyNumberFormat="1" applyFont="1" applyFill="1" applyBorder="1" applyAlignment="1">
      <alignment horizontal="right" vertical="top"/>
    </xf>
    <xf numFmtId="4" fontId="3" fillId="2" borderId="18" xfId="0" applyNumberFormat="1" applyFont="1" applyFill="1" applyBorder="1" applyAlignment="1">
      <alignment horizontal="right" vertical="top"/>
    </xf>
    <xf numFmtId="4" fontId="6" fillId="0" borderId="15" xfId="0" applyNumberFormat="1" applyFont="1" applyBorder="1" applyAlignment="1">
      <alignment vertical="top"/>
    </xf>
    <xf numFmtId="4" fontId="3" fillId="2" borderId="19" xfId="0" applyNumberFormat="1" applyFont="1" applyFill="1" applyBorder="1" applyAlignment="1">
      <alignment horizontal="right" vertical="top"/>
    </xf>
    <xf numFmtId="4" fontId="3" fillId="2" borderId="20" xfId="0" applyNumberFormat="1" applyFont="1" applyFill="1" applyBorder="1" applyAlignment="1">
      <alignment horizontal="right" vertical="top"/>
    </xf>
    <xf numFmtId="4" fontId="3" fillId="2" borderId="21" xfId="0" applyNumberFormat="1" applyFont="1" applyFill="1" applyBorder="1" applyAlignment="1">
      <alignment horizontal="right" vertical="top"/>
    </xf>
    <xf numFmtId="4" fontId="3" fillId="2" borderId="22" xfId="0" applyNumberFormat="1" applyFont="1" applyFill="1" applyBorder="1" applyAlignment="1">
      <alignment horizontal="right" vertical="top"/>
    </xf>
    <xf numFmtId="4" fontId="6" fillId="0" borderId="15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/>
    </xf>
    <xf numFmtId="4" fontId="3" fillId="2" borderId="23" xfId="0" applyNumberFormat="1" applyFont="1" applyFill="1" applyBorder="1" applyAlignment="1">
      <alignment horizontal="right" vertical="top"/>
    </xf>
    <xf numFmtId="4" fontId="3" fillId="2" borderId="24" xfId="0" applyNumberFormat="1" applyFont="1" applyFill="1" applyBorder="1" applyAlignment="1">
      <alignment horizontal="right" vertical="top"/>
    </xf>
    <xf numFmtId="4" fontId="7" fillId="0" borderId="15" xfId="0" applyNumberFormat="1" applyFont="1" applyBorder="1" applyAlignment="1">
      <alignment vertical="top"/>
    </xf>
    <xf numFmtId="4" fontId="7" fillId="2" borderId="2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3" fillId="2" borderId="6" xfId="0" applyNumberFormat="1" applyFont="1" applyFill="1" applyBorder="1" applyAlignment="1">
      <alignment horizontal="right" vertical="top"/>
    </xf>
    <xf numFmtId="4" fontId="3" fillId="2" borderId="25" xfId="0" applyNumberFormat="1" applyFont="1" applyFill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6" fillId="0" borderId="16" xfId="0" applyNumberFormat="1" applyFont="1" applyBorder="1" applyAlignment="1">
      <alignment/>
    </xf>
    <xf numFmtId="0" fontId="1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2" borderId="8" xfId="0" applyNumberFormat="1" applyFont="1" applyFill="1" applyBorder="1" applyAlignment="1">
      <alignment horizontal="right" vertical="top"/>
    </xf>
    <xf numFmtId="4" fontId="3" fillId="2" borderId="26" xfId="0" applyNumberFormat="1" applyFont="1" applyFill="1" applyBorder="1" applyAlignment="1">
      <alignment horizontal="right" vertical="top"/>
    </xf>
    <xf numFmtId="49" fontId="3" fillId="3" borderId="10" xfId="0" applyNumberFormat="1" applyFont="1" applyFill="1" applyBorder="1" applyAlignment="1">
      <alignment vertical="top" wrapText="1"/>
    </xf>
    <xf numFmtId="4" fontId="3" fillId="3" borderId="10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4" fontId="3" fillId="0" borderId="6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25" xfId="0" applyFont="1" applyBorder="1" applyAlignment="1">
      <alignment vertical="top" wrapText="1"/>
    </xf>
    <xf numFmtId="4" fontId="6" fillId="0" borderId="25" xfId="0" applyNumberFormat="1" applyFont="1" applyBorder="1" applyAlignment="1">
      <alignment vertical="top"/>
    </xf>
    <xf numFmtId="4" fontId="3" fillId="2" borderId="25" xfId="0" applyNumberFormat="1" applyFont="1" applyFill="1" applyBorder="1" applyAlignment="1">
      <alignment vertical="top"/>
    </xf>
    <xf numFmtId="4" fontId="3" fillId="2" borderId="28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21">
      <selection activeCell="C33" sqref="C33:J34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1.140625" style="1" customWidth="1"/>
    <col min="9" max="9" width="11.7109375" style="1" customWidth="1"/>
    <col min="10" max="10" width="13.57421875" style="1" customWidth="1"/>
    <col min="11" max="11" width="11.57421875" style="1" customWidth="1"/>
    <col min="12" max="12" width="11.7109375" style="1" customWidth="1"/>
    <col min="13" max="13" width="11.8515625" style="1" customWidth="1"/>
    <col min="14" max="14" width="14.57421875" style="1" customWidth="1"/>
    <col min="15" max="15" width="13.8515625" style="1" customWidth="1"/>
    <col min="16" max="16" width="15.28125" style="1" customWidth="1"/>
    <col min="17" max="17" width="10.8515625" style="1" bestFit="1" customWidth="1"/>
    <col min="18" max="16384" width="9.140625" style="1" customWidth="1"/>
  </cols>
  <sheetData>
    <row r="1" spans="1:15" ht="15.75">
      <c r="A1" s="107" t="s">
        <v>0</v>
      </c>
      <c r="C1" s="2"/>
      <c r="D1" s="2"/>
      <c r="M1" s="3"/>
      <c r="N1" s="3"/>
      <c r="O1" s="3" t="s">
        <v>43</v>
      </c>
    </row>
    <row r="2" spans="1:16" ht="14.2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"/>
    </row>
    <row r="3" spans="1:16" s="6" customFormat="1" ht="38.25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5"/>
    </row>
    <row r="4" ht="14.25" customHeight="1" thickBot="1"/>
    <row r="5" spans="1:15" s="10" customFormat="1" ht="66" customHeight="1">
      <c r="A5" s="7" t="s">
        <v>2</v>
      </c>
      <c r="B5" s="8" t="s">
        <v>3</v>
      </c>
      <c r="C5" s="8" t="s">
        <v>23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  <c r="J5" s="8" t="s">
        <v>37</v>
      </c>
      <c r="K5" s="114" t="s">
        <v>30</v>
      </c>
      <c r="L5" s="8" t="s">
        <v>38</v>
      </c>
      <c r="M5" s="8" t="s">
        <v>31</v>
      </c>
      <c r="N5" s="8" t="s">
        <v>17</v>
      </c>
      <c r="O5" s="9" t="s">
        <v>32</v>
      </c>
    </row>
    <row r="6" spans="1:15" s="112" customFormat="1" ht="23.2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>
        <v>5</v>
      </c>
      <c r="G6" s="109">
        <v>6</v>
      </c>
      <c r="H6" s="109" t="s">
        <v>4</v>
      </c>
      <c r="I6" s="109">
        <v>8</v>
      </c>
      <c r="J6" s="109">
        <v>9</v>
      </c>
      <c r="K6" s="109">
        <v>10</v>
      </c>
      <c r="L6" s="109">
        <v>11</v>
      </c>
      <c r="M6" s="109">
        <v>12</v>
      </c>
      <c r="N6" s="110" t="s">
        <v>39</v>
      </c>
      <c r="O6" s="111" t="s">
        <v>40</v>
      </c>
    </row>
    <row r="7" spans="1:15" s="12" customFormat="1" ht="26.25" thickBot="1">
      <c r="A7" s="61">
        <v>1</v>
      </c>
      <c r="B7" s="55" t="s">
        <v>18</v>
      </c>
      <c r="C7" s="25">
        <f>1740330+50000+4855670-600000</f>
        <v>6046000</v>
      </c>
      <c r="D7" s="25">
        <f>197210+22720+4562790-168000-150000-3184790</f>
        <v>1279930</v>
      </c>
      <c r="E7" s="25">
        <f>3069370+300000+7285930+300+555000+2025000+2128500-100000</f>
        <v>15264100</v>
      </c>
      <c r="F7" s="25">
        <f>334640+1069070+43860+20800+32000</f>
        <v>1500370</v>
      </c>
      <c r="G7" s="25">
        <f>26690+48530+9920+6000</f>
        <v>91140</v>
      </c>
      <c r="H7" s="25">
        <f>ROUND(F7+G7,2)</f>
        <v>1591510</v>
      </c>
      <c r="I7" s="25">
        <f>38260+7000+105120+4620+16000+18000+27000</f>
        <v>216000</v>
      </c>
      <c r="J7" s="25">
        <f>8130+4500+20510+18000+9600+14400-7010</f>
        <v>68130</v>
      </c>
      <c r="K7" s="25">
        <f>26070+26070-52140</f>
        <v>0</v>
      </c>
      <c r="L7" s="25">
        <v>43890</v>
      </c>
      <c r="M7" s="25">
        <f>185800+479500+3180+27820+10000</f>
        <v>706300</v>
      </c>
      <c r="N7" s="91">
        <f>ROUND(C7+D7+E7+I7+J7+M7+K7+L7,2)</f>
        <v>23624350</v>
      </c>
      <c r="O7" s="26">
        <f>ROUND(H7+N7,2)</f>
        <v>25215860</v>
      </c>
    </row>
    <row r="8" spans="1:15" s="18" customFormat="1" ht="12.75">
      <c r="A8" s="28">
        <v>2</v>
      </c>
      <c r="B8" s="14" t="s">
        <v>16</v>
      </c>
      <c r="C8" s="29">
        <f>600000+1335.84</f>
        <v>601335.84</v>
      </c>
      <c r="D8" s="29">
        <f>65000-4961.5</f>
        <v>60038.5</v>
      </c>
      <c r="E8" s="30">
        <f>1100000+134538.24</f>
        <v>1234538.24</v>
      </c>
      <c r="F8" s="30">
        <f>115000+10040</f>
        <v>125040</v>
      </c>
      <c r="G8" s="30">
        <f>9000-2280</f>
        <v>6720</v>
      </c>
      <c r="H8" s="31">
        <f aca="true" t="shared" si="0" ref="H8:H31">ROUND(F8+G8,2)</f>
        <v>131760</v>
      </c>
      <c r="I8" s="30">
        <f>15000+1254.36</f>
        <v>16254.36</v>
      </c>
      <c r="J8" s="30">
        <f>4000+205.38</f>
        <v>4205.38</v>
      </c>
      <c r="K8" s="30">
        <v>0</v>
      </c>
      <c r="L8" s="84">
        <v>0</v>
      </c>
      <c r="M8" s="84">
        <f>62000-4734.12</f>
        <v>57265.88</v>
      </c>
      <c r="N8" s="93">
        <f aca="true" t="shared" si="1" ref="N8:N26">ROUND(C8+D8+E8+I8+J8+M8+K8+L8,2)</f>
        <v>1973638.2</v>
      </c>
      <c r="O8" s="85">
        <f aca="true" t="shared" si="2" ref="O8:O26">ROUND(H8+N8,2)</f>
        <v>2105398.2</v>
      </c>
    </row>
    <row r="9" spans="1:15" s="18" customFormat="1" ht="12.75">
      <c r="A9" s="13">
        <v>3</v>
      </c>
      <c r="B9" s="14" t="s">
        <v>19</v>
      </c>
      <c r="C9" s="15">
        <f>600000-64661.08</f>
        <v>535338.92</v>
      </c>
      <c r="D9" s="15">
        <f>65000+4961.5-29020.51</f>
        <v>40940.990000000005</v>
      </c>
      <c r="E9" s="15">
        <f>1100000+31252.72</f>
        <v>1131252.72</v>
      </c>
      <c r="F9" s="15">
        <f>115000+802.4</f>
        <v>115802.4</v>
      </c>
      <c r="G9" s="15">
        <f>9000+2280-1920</f>
        <v>9360</v>
      </c>
      <c r="H9" s="17">
        <f t="shared" si="0"/>
        <v>125162.4</v>
      </c>
      <c r="I9" s="15">
        <f>15000-6900.57</f>
        <v>8099.43</v>
      </c>
      <c r="J9" s="15">
        <f>4000-75.38+701.31</f>
        <v>4625.93</v>
      </c>
      <c r="K9" s="15">
        <v>0</v>
      </c>
      <c r="L9" s="86">
        <v>0</v>
      </c>
      <c r="M9" s="86">
        <f>62000+4734.12-10771.92</f>
        <v>55962.2</v>
      </c>
      <c r="N9" s="104">
        <f t="shared" si="1"/>
        <v>1776220.19</v>
      </c>
      <c r="O9" s="11">
        <f t="shared" si="2"/>
        <v>1901382.59</v>
      </c>
    </row>
    <row r="10" spans="1:15" s="18" customFormat="1" ht="33" customHeight="1" thickBot="1">
      <c r="A10" s="19">
        <v>4</v>
      </c>
      <c r="B10" s="78" t="s">
        <v>20</v>
      </c>
      <c r="C10" s="20">
        <f>540330-1335.84+50000+64661.08-88457.78</f>
        <v>565197.46</v>
      </c>
      <c r="D10" s="20">
        <f>67210+22720+29020.51-78009.52</f>
        <v>40940.98999999999</v>
      </c>
      <c r="E10" s="21">
        <f>869370-134538.24+300000-31252.72</f>
        <v>1003579.04</v>
      </c>
      <c r="F10" s="21">
        <f>104640-10040-802.4</f>
        <v>93797.6</v>
      </c>
      <c r="G10" s="21">
        <f>8690+1920-6470</f>
        <v>4140</v>
      </c>
      <c r="H10" s="22">
        <f t="shared" si="0"/>
        <v>97937.6</v>
      </c>
      <c r="I10" s="21">
        <f>8260-1254.36+7000+6900.57-4101.15</f>
        <v>16805.059999999998</v>
      </c>
      <c r="J10" s="21">
        <f>4500-701.31</f>
        <v>3798.69</v>
      </c>
      <c r="K10" s="21">
        <v>0</v>
      </c>
      <c r="L10" s="87">
        <v>0</v>
      </c>
      <c r="M10" s="87">
        <f>61800+10771.92-13808.49</f>
        <v>58763.43</v>
      </c>
      <c r="N10" s="91">
        <f t="shared" si="1"/>
        <v>1689084.67</v>
      </c>
      <c r="O10" s="88">
        <f t="shared" si="2"/>
        <v>1787022.27</v>
      </c>
    </row>
    <row r="11" spans="1:15" s="27" customFormat="1" ht="26.25" thickBot="1">
      <c r="A11" s="23" t="s">
        <v>5</v>
      </c>
      <c r="B11" s="63" t="s">
        <v>21</v>
      </c>
      <c r="C11" s="24">
        <f>SUM(C8:C10)</f>
        <v>1701872.22</v>
      </c>
      <c r="D11" s="24">
        <f aca="true" t="shared" si="3" ref="D11:M11">SUM(D8:D10)</f>
        <v>141920.47999999998</v>
      </c>
      <c r="E11" s="24">
        <f t="shared" si="3"/>
        <v>3369370</v>
      </c>
      <c r="F11" s="24">
        <f t="shared" si="3"/>
        <v>334640</v>
      </c>
      <c r="G11" s="24">
        <f t="shared" si="3"/>
        <v>20220</v>
      </c>
      <c r="H11" s="24">
        <f t="shared" si="3"/>
        <v>354860</v>
      </c>
      <c r="I11" s="24">
        <f t="shared" si="3"/>
        <v>41158.85</v>
      </c>
      <c r="J11" s="24">
        <f t="shared" si="3"/>
        <v>12630.000000000002</v>
      </c>
      <c r="K11" s="24">
        <f t="shared" si="3"/>
        <v>0</v>
      </c>
      <c r="L11" s="24">
        <f t="shared" si="3"/>
        <v>0</v>
      </c>
      <c r="M11" s="24">
        <f t="shared" si="3"/>
        <v>171991.50999999998</v>
      </c>
      <c r="N11" s="25">
        <f t="shared" si="1"/>
        <v>5438943.06</v>
      </c>
      <c r="O11" s="89">
        <f t="shared" si="2"/>
        <v>5793803.06</v>
      </c>
    </row>
    <row r="12" spans="1:15" s="18" customFormat="1" ht="25.5">
      <c r="A12" s="28">
        <v>6</v>
      </c>
      <c r="B12" s="78" t="s">
        <v>41</v>
      </c>
      <c r="C12" s="29">
        <f>600000+88457.78-160400.77</f>
        <v>528057.01</v>
      </c>
      <c r="D12" s="29">
        <f>72000+78009.52-120303</f>
        <v>29706.52000000002</v>
      </c>
      <c r="E12" s="30">
        <f>1300000+300+45667.66</f>
        <v>1345967.66</v>
      </c>
      <c r="F12" s="30">
        <f>156000-8117.6</f>
        <v>147882.4</v>
      </c>
      <c r="G12" s="30">
        <f>10000+6470-8310</f>
        <v>8160</v>
      </c>
      <c r="H12" s="31">
        <f t="shared" si="0"/>
        <v>156042.4</v>
      </c>
      <c r="I12" s="30">
        <f>15000+4101.15+2849.98</f>
        <v>21951.13</v>
      </c>
      <c r="J12" s="30">
        <f>5000-387.93</f>
        <v>4612.07</v>
      </c>
      <c r="K12" s="30">
        <v>0</v>
      </c>
      <c r="L12" s="84">
        <v>0</v>
      </c>
      <c r="M12" s="84">
        <f>62000+13808.49-23231.39</f>
        <v>52577.100000000006</v>
      </c>
      <c r="N12" s="93">
        <f t="shared" si="1"/>
        <v>1982871.49</v>
      </c>
      <c r="O12" s="85">
        <f t="shared" si="2"/>
        <v>2138913.89</v>
      </c>
    </row>
    <row r="13" spans="1:15" s="18" customFormat="1" ht="12.75">
      <c r="A13" s="13">
        <v>7</v>
      </c>
      <c r="B13" s="14" t="s">
        <v>33</v>
      </c>
      <c r="C13" s="15">
        <f>600000+160400.77-206173.6</f>
        <v>554227.17</v>
      </c>
      <c r="D13" s="15">
        <f>714000+120303-28000-765362.01</f>
        <v>40940.98999999999</v>
      </c>
      <c r="E13" s="16">
        <f>1200000-45667.66+127459.98</f>
        <v>1281792.32</v>
      </c>
      <c r="F13" s="16">
        <f>125000+8117.6-5317.6</f>
        <v>127800</v>
      </c>
      <c r="G13" s="16">
        <f>10000+8310-8350</f>
        <v>9960</v>
      </c>
      <c r="H13" s="17">
        <f t="shared" si="0"/>
        <v>137760</v>
      </c>
      <c r="I13" s="16">
        <f>15000-2849.98+1959.37</f>
        <v>14109.39</v>
      </c>
      <c r="J13" s="16">
        <f>5000+387.93+2602.27</f>
        <v>7990.200000000001</v>
      </c>
      <c r="K13" s="16">
        <v>0</v>
      </c>
      <c r="L13" s="90">
        <v>0</v>
      </c>
      <c r="M13" s="90">
        <f>62000+23231.39-20594.96</f>
        <v>64636.43</v>
      </c>
      <c r="N13" s="104">
        <f t="shared" si="1"/>
        <v>1963696.5</v>
      </c>
      <c r="O13" s="11">
        <f t="shared" si="2"/>
        <v>2101456.5</v>
      </c>
    </row>
    <row r="14" spans="1:15" s="12" customFormat="1" ht="26.25" thickBot="1">
      <c r="A14" s="32">
        <v>8</v>
      </c>
      <c r="B14" s="62" t="s">
        <v>34</v>
      </c>
      <c r="C14" s="20">
        <f>600000+206173.6-441424.93</f>
        <v>364748.67</v>
      </c>
      <c r="D14" s="20">
        <f>714000-28000-25000+765362.01-1385421.02</f>
        <v>40940.98999999999</v>
      </c>
      <c r="E14" s="21">
        <f>1185930-127459.98</f>
        <v>1058470.02</v>
      </c>
      <c r="F14" s="21">
        <f>125000+5317.6-7569.6</f>
        <v>122748</v>
      </c>
      <c r="G14" s="21">
        <f>10000+8350-15170</f>
        <v>3180</v>
      </c>
      <c r="H14" s="22">
        <f t="shared" si="0"/>
        <v>125928</v>
      </c>
      <c r="I14" s="21">
        <f>15000-1959.37+6487.61</f>
        <v>19528.24</v>
      </c>
      <c r="J14" s="21">
        <f>5000-2602.27+1387.12</f>
        <v>3784.85</v>
      </c>
      <c r="K14" s="21">
        <f>8690-8690</f>
        <v>0</v>
      </c>
      <c r="L14" s="87">
        <v>0</v>
      </c>
      <c r="M14" s="87">
        <f>62000+20594.96-40781.27</f>
        <v>41813.689999999995</v>
      </c>
      <c r="N14" s="91">
        <f t="shared" si="1"/>
        <v>1529286.46</v>
      </c>
      <c r="O14" s="88">
        <f t="shared" si="2"/>
        <v>1655214.46</v>
      </c>
    </row>
    <row r="15" spans="1:15" s="18" customFormat="1" ht="26.25" thickBot="1">
      <c r="A15" s="33" t="s">
        <v>6</v>
      </c>
      <c r="B15" s="63" t="s">
        <v>35</v>
      </c>
      <c r="C15" s="24">
        <f aca="true" t="shared" si="4" ref="C15:M15">SUM(C12:C14)</f>
        <v>1447032.85</v>
      </c>
      <c r="D15" s="24">
        <f t="shared" si="4"/>
        <v>111588.5</v>
      </c>
      <c r="E15" s="24">
        <f t="shared" si="4"/>
        <v>3686230</v>
      </c>
      <c r="F15" s="24">
        <f t="shared" si="4"/>
        <v>398430.4</v>
      </c>
      <c r="G15" s="24">
        <f t="shared" si="4"/>
        <v>21300</v>
      </c>
      <c r="H15" s="24">
        <f t="shared" si="4"/>
        <v>419730.4</v>
      </c>
      <c r="I15" s="24">
        <f t="shared" si="4"/>
        <v>55588.76000000001</v>
      </c>
      <c r="J15" s="24">
        <f t="shared" si="4"/>
        <v>16387.12</v>
      </c>
      <c r="K15" s="24">
        <f t="shared" si="4"/>
        <v>0</v>
      </c>
      <c r="L15" s="24">
        <f t="shared" si="4"/>
        <v>0</v>
      </c>
      <c r="M15" s="24">
        <f t="shared" si="4"/>
        <v>159027.22</v>
      </c>
      <c r="N15" s="25">
        <f t="shared" si="1"/>
        <v>5475854.45</v>
      </c>
      <c r="O15" s="92">
        <f t="shared" si="2"/>
        <v>5895584.85</v>
      </c>
    </row>
    <row r="16" spans="1:15" s="27" customFormat="1" ht="26.25" thickBot="1">
      <c r="A16" s="23" t="s">
        <v>7</v>
      </c>
      <c r="B16" s="63" t="s">
        <v>36</v>
      </c>
      <c r="C16" s="24">
        <f aca="true" t="shared" si="5" ref="C16:M16">C11+C15</f>
        <v>3148905.0700000003</v>
      </c>
      <c r="D16" s="24">
        <f t="shared" si="5"/>
        <v>253508.97999999998</v>
      </c>
      <c r="E16" s="24">
        <f t="shared" si="5"/>
        <v>7055600</v>
      </c>
      <c r="F16" s="24">
        <f t="shared" si="5"/>
        <v>733070.4</v>
      </c>
      <c r="G16" s="24">
        <f t="shared" si="5"/>
        <v>41520</v>
      </c>
      <c r="H16" s="24">
        <f t="shared" si="5"/>
        <v>774590.4</v>
      </c>
      <c r="I16" s="24">
        <f t="shared" si="5"/>
        <v>96747.61000000002</v>
      </c>
      <c r="J16" s="24">
        <f t="shared" si="5"/>
        <v>29017.120000000003</v>
      </c>
      <c r="K16" s="24">
        <f t="shared" si="5"/>
        <v>0</v>
      </c>
      <c r="L16" s="24">
        <f t="shared" si="5"/>
        <v>0</v>
      </c>
      <c r="M16" s="24">
        <f t="shared" si="5"/>
        <v>331018.73</v>
      </c>
      <c r="N16" s="25">
        <f t="shared" si="1"/>
        <v>10914797.51</v>
      </c>
      <c r="O16" s="94">
        <f t="shared" si="2"/>
        <v>11689387.91</v>
      </c>
    </row>
    <row r="17" spans="1:15" s="12" customFormat="1" ht="25.5">
      <c r="A17" s="28">
        <v>11</v>
      </c>
      <c r="B17" s="78" t="s">
        <v>44</v>
      </c>
      <c r="C17" s="29">
        <f>600000+441424.93-540075.47</f>
        <v>501349.45999999996</v>
      </c>
      <c r="D17" s="29">
        <f>500000-28000-25000+1385421.02-1776626.77</f>
        <v>55794.25</v>
      </c>
      <c r="E17" s="34">
        <f>1200000+555000-461552.23+140803.36</f>
        <v>1434251.13</v>
      </c>
      <c r="F17" s="30">
        <f>125000+7569.6-9089.6</f>
        <v>123480</v>
      </c>
      <c r="G17" s="30">
        <f>10000+15170-18390</f>
        <v>6780</v>
      </c>
      <c r="H17" s="31">
        <f t="shared" si="0"/>
        <v>130260</v>
      </c>
      <c r="I17" s="35">
        <f>15000-6487.61+4620+6232.94</f>
        <v>19365.329999999998</v>
      </c>
      <c r="J17" s="30">
        <f>5510-1387.12+2605.74</f>
        <v>6728.62</v>
      </c>
      <c r="K17" s="30">
        <f>8690+8690-17380</f>
        <v>0</v>
      </c>
      <c r="L17" s="84">
        <v>0</v>
      </c>
      <c r="M17" s="84">
        <f>62000+40781.27-25558.63</f>
        <v>77222.63999999998</v>
      </c>
      <c r="N17" s="93">
        <f t="shared" si="1"/>
        <v>2094711.43</v>
      </c>
      <c r="O17" s="85">
        <f t="shared" si="2"/>
        <v>2224971.43</v>
      </c>
    </row>
    <row r="18" spans="1:15" s="18" customFormat="1" ht="12.75">
      <c r="A18" s="13">
        <v>12</v>
      </c>
      <c r="B18" s="14" t="s">
        <v>42</v>
      </c>
      <c r="C18" s="15">
        <f>600000+540075.47-694917.69</f>
        <v>445157.78</v>
      </c>
      <c r="D18" s="57">
        <f>500000-28000-25000+1776626.77-2170927.31</f>
        <v>52699.45999999996</v>
      </c>
      <c r="E18" s="58">
        <f>1200000+320748.87-250473.27</f>
        <v>1270275.6</v>
      </c>
      <c r="F18" s="58">
        <f>125000+9089.6-10489.6</f>
        <v>123600</v>
      </c>
      <c r="G18" s="58">
        <f>8530+18390-16660</f>
        <v>10260</v>
      </c>
      <c r="H18" s="17">
        <f t="shared" si="0"/>
        <v>133860</v>
      </c>
      <c r="I18" s="16">
        <f>15000+4733.34</f>
        <v>19733.34</v>
      </c>
      <c r="J18" s="16">
        <f>7700-3494.61</f>
        <v>4205.389999999999</v>
      </c>
      <c r="K18" s="16">
        <f>8690+17380-26070</f>
        <v>0</v>
      </c>
      <c r="L18" s="90">
        <f>21945-21945</f>
        <v>0</v>
      </c>
      <c r="M18" s="95">
        <f>62000+25558.63-29140.88</f>
        <v>58417.75</v>
      </c>
      <c r="N18" s="104">
        <f t="shared" si="1"/>
        <v>1850489.32</v>
      </c>
      <c r="O18" s="11">
        <f t="shared" si="2"/>
        <v>1984349.32</v>
      </c>
    </row>
    <row r="19" spans="1:15" s="36" customFormat="1" ht="13.5" thickBot="1">
      <c r="A19" s="32">
        <v>13</v>
      </c>
      <c r="B19" s="64" t="s">
        <v>45</v>
      </c>
      <c r="C19" s="20">
        <f>600000+694917.69-865045.96</f>
        <v>429871.73</v>
      </c>
      <c r="D19" s="65">
        <f>500000-28000-25000+2170927.31-2535521.33</f>
        <v>82405.97999999998</v>
      </c>
      <c r="E19" s="66">
        <f>1200000+250473.27-135001.74</f>
        <v>1315471.53</v>
      </c>
      <c r="F19" s="67">
        <f>125000+10489.6-7929.6</f>
        <v>127560</v>
      </c>
      <c r="G19" s="65">
        <f>9920+16660-21240</f>
        <v>5340</v>
      </c>
      <c r="H19" s="22">
        <f t="shared" si="0"/>
        <v>132900</v>
      </c>
      <c r="I19" s="68">
        <f>15000-6232.94-4733.34+16000-8664.17</f>
        <v>11369.550000000001</v>
      </c>
      <c r="J19" s="21">
        <f>7694.26+3494.61-3198.67</f>
        <v>7990.200000000001</v>
      </c>
      <c r="K19" s="21">
        <f>26070-26070</f>
        <v>0</v>
      </c>
      <c r="L19" s="87">
        <f>21945+21945-43890</f>
        <v>0</v>
      </c>
      <c r="M19" s="96">
        <f>62000+29140.88-52710.92</f>
        <v>38429.96000000001</v>
      </c>
      <c r="N19" s="91">
        <f t="shared" si="1"/>
        <v>1885538.95</v>
      </c>
      <c r="O19" s="88">
        <f t="shared" si="2"/>
        <v>2018438.95</v>
      </c>
    </row>
    <row r="20" spans="1:15" s="37" customFormat="1" ht="26.25" thickBot="1">
      <c r="A20" s="23" t="s">
        <v>10</v>
      </c>
      <c r="B20" s="63" t="s">
        <v>46</v>
      </c>
      <c r="C20" s="69">
        <f>ROUND(C17+C18+C19,2)</f>
        <v>1376378.97</v>
      </c>
      <c r="D20" s="69">
        <f aca="true" t="shared" si="6" ref="D20:M20">ROUND(D17+D18+D19,2)</f>
        <v>190899.69</v>
      </c>
      <c r="E20" s="69">
        <f t="shared" si="6"/>
        <v>4019998.26</v>
      </c>
      <c r="F20" s="69">
        <f t="shared" si="6"/>
        <v>374640</v>
      </c>
      <c r="G20" s="69">
        <f t="shared" si="6"/>
        <v>22380</v>
      </c>
      <c r="H20" s="69">
        <f t="shared" si="6"/>
        <v>397020</v>
      </c>
      <c r="I20" s="69">
        <f t="shared" si="6"/>
        <v>50468.22</v>
      </c>
      <c r="J20" s="69">
        <f t="shared" si="6"/>
        <v>18924.21</v>
      </c>
      <c r="K20" s="69">
        <f t="shared" si="6"/>
        <v>0</v>
      </c>
      <c r="L20" s="69">
        <f t="shared" si="6"/>
        <v>0</v>
      </c>
      <c r="M20" s="69">
        <f t="shared" si="6"/>
        <v>174070.35</v>
      </c>
      <c r="N20" s="25">
        <f t="shared" si="1"/>
        <v>5830739.7</v>
      </c>
      <c r="O20" s="92">
        <f t="shared" si="2"/>
        <v>6227759.7</v>
      </c>
    </row>
    <row r="21" spans="1:15" s="37" customFormat="1" ht="26.25" thickBot="1">
      <c r="A21" s="23" t="s">
        <v>11</v>
      </c>
      <c r="B21" s="63" t="s">
        <v>47</v>
      </c>
      <c r="C21" s="69">
        <f>ROUND(C16+C20,2)</f>
        <v>4525284.04</v>
      </c>
      <c r="D21" s="69">
        <f aca="true" t="shared" si="7" ref="D21:M21">ROUND(D16+D20,2)</f>
        <v>444408.67</v>
      </c>
      <c r="E21" s="69">
        <f t="shared" si="7"/>
        <v>11075598.26</v>
      </c>
      <c r="F21" s="69">
        <f t="shared" si="7"/>
        <v>1107710.4</v>
      </c>
      <c r="G21" s="69">
        <f t="shared" si="7"/>
        <v>63900</v>
      </c>
      <c r="H21" s="69">
        <f t="shared" si="7"/>
        <v>1171610.4</v>
      </c>
      <c r="I21" s="69">
        <f t="shared" si="7"/>
        <v>147215.83</v>
      </c>
      <c r="J21" s="69">
        <f t="shared" si="7"/>
        <v>47941.33</v>
      </c>
      <c r="K21" s="69">
        <f t="shared" si="7"/>
        <v>0</v>
      </c>
      <c r="L21" s="69">
        <f t="shared" si="7"/>
        <v>0</v>
      </c>
      <c r="M21" s="69">
        <f t="shared" si="7"/>
        <v>505089.08</v>
      </c>
      <c r="N21" s="25">
        <f t="shared" si="1"/>
        <v>16745537.21</v>
      </c>
      <c r="O21" s="94">
        <f t="shared" si="2"/>
        <v>17917147.61</v>
      </c>
    </row>
    <row r="22" spans="1:15" s="36" customFormat="1" ht="12.75">
      <c r="A22" s="28">
        <v>16</v>
      </c>
      <c r="B22" s="70" t="s">
        <v>48</v>
      </c>
      <c r="C22" s="71">
        <f>600000+865045.96-1013027.26</f>
        <v>452018.69999999995</v>
      </c>
      <c r="D22" s="71">
        <f>500000-28000-25000+2535521.33-2914968.62</f>
        <v>67552.70999999996</v>
      </c>
      <c r="E22" s="72">
        <f>1025000+135001.74+208867.57</f>
        <v>1368869.31</v>
      </c>
      <c r="F22" s="73">
        <f>125000+7929.6-1169.6</f>
        <v>131760</v>
      </c>
      <c r="G22" s="71">
        <f>21240-14040</f>
        <v>7200</v>
      </c>
      <c r="H22" s="31">
        <f t="shared" si="0"/>
        <v>138960</v>
      </c>
      <c r="I22" s="74">
        <f>15120+8664.17+1671.23</f>
        <v>25455.399999999998</v>
      </c>
      <c r="J22" s="73">
        <f>9600+3198.67-8593.29</f>
        <v>4205.379999999999</v>
      </c>
      <c r="K22" s="73">
        <v>0</v>
      </c>
      <c r="L22" s="97">
        <v>0</v>
      </c>
      <c r="M22" s="97">
        <f>62000+52710.92-34044.71</f>
        <v>80666.20999999999</v>
      </c>
      <c r="N22" s="93">
        <f t="shared" si="1"/>
        <v>1998767.71</v>
      </c>
      <c r="O22" s="85">
        <f t="shared" si="2"/>
        <v>2137727.71</v>
      </c>
    </row>
    <row r="23" spans="1:15" s="36" customFormat="1" ht="12.75">
      <c r="A23" s="13">
        <v>17</v>
      </c>
      <c r="B23" s="75" t="s">
        <v>50</v>
      </c>
      <c r="C23" s="59">
        <f>600000+1013027.26-600000-559277.39</f>
        <v>453749.87</v>
      </c>
      <c r="D23" s="59">
        <f>500000-25000-269821.38-152479.16</f>
        <v>52699.45999999999</v>
      </c>
      <c r="E23" s="59">
        <f>1000000+419632.43-75440.64</f>
        <v>1344191.79</v>
      </c>
      <c r="F23" s="60">
        <f>125000+1169.6-3409.6</f>
        <v>122760</v>
      </c>
      <c r="G23" s="57">
        <f>14040-4980</f>
        <v>9060</v>
      </c>
      <c r="H23" s="17">
        <f t="shared" si="0"/>
        <v>131820</v>
      </c>
      <c r="I23" s="59">
        <f>18000+2000-8574.51</f>
        <v>11425.49</v>
      </c>
      <c r="J23" s="58">
        <f>8593.29-3126.32</f>
        <v>5466.970000000001</v>
      </c>
      <c r="K23" s="58">
        <f>52140-52140</f>
        <v>0</v>
      </c>
      <c r="L23" s="95">
        <f>43890-43890</f>
        <v>0</v>
      </c>
      <c r="M23" s="95">
        <f>45500+34044.71-23263.33</f>
        <v>56281.37999999999</v>
      </c>
      <c r="N23" s="104">
        <f t="shared" si="1"/>
        <v>1923814.96</v>
      </c>
      <c r="O23" s="11">
        <f t="shared" si="2"/>
        <v>2055634.96</v>
      </c>
    </row>
    <row r="24" spans="1:15" s="36" customFormat="1" ht="13.5" thickBot="1">
      <c r="A24" s="32">
        <v>18</v>
      </c>
      <c r="B24" s="64" t="s">
        <v>51</v>
      </c>
      <c r="C24" s="68">
        <f>55670+559277.39-194721.16</f>
        <v>420226.23</v>
      </c>
      <c r="D24" s="68">
        <f>562790+152479.16-632863.2</f>
        <v>82405.96000000008</v>
      </c>
      <c r="E24" s="68">
        <f>1500000-100000+75440.64-152959.79</f>
        <v>1322480.8499999999</v>
      </c>
      <c r="F24" s="76">
        <f>38070+43860+20800+32000+3409.6-14899.6</f>
        <v>123240</v>
      </c>
      <c r="G24" s="65">
        <f>6000+4980-5280</f>
        <v>5700</v>
      </c>
      <c r="H24" s="22">
        <f t="shared" si="0"/>
        <v>128940</v>
      </c>
      <c r="I24" s="68">
        <f>23328.77+8574.51-4006.35</f>
        <v>27896.93</v>
      </c>
      <c r="J24" s="68">
        <f>14400-7010+3126.32-6941.74</f>
        <v>3574.58</v>
      </c>
      <c r="K24" s="68">
        <v>0</v>
      </c>
      <c r="L24" s="113">
        <f>43890-43890</f>
        <v>0</v>
      </c>
      <c r="M24" s="98">
        <f>3180+27820+10000+23263.33-18192.41</f>
        <v>46070.92</v>
      </c>
      <c r="N24" s="116">
        <f t="shared" si="1"/>
        <v>1902655.47</v>
      </c>
      <c r="O24" s="117">
        <f t="shared" si="2"/>
        <v>2031595.47</v>
      </c>
    </row>
    <row r="25" spans="1:15" s="37" customFormat="1" ht="26.25" thickBot="1">
      <c r="A25" s="23" t="s">
        <v>8</v>
      </c>
      <c r="B25" s="63" t="s">
        <v>52</v>
      </c>
      <c r="C25" s="69">
        <f>ROUND(C22+C23+C24,2)</f>
        <v>1325994.8</v>
      </c>
      <c r="D25" s="69">
        <f aca="true" t="shared" si="8" ref="D25:M25">ROUND(D22+D23+D24,2)</f>
        <v>202658.13</v>
      </c>
      <c r="E25" s="69">
        <f t="shared" si="8"/>
        <v>4035541.95</v>
      </c>
      <c r="F25" s="69">
        <f t="shared" si="8"/>
        <v>377760</v>
      </c>
      <c r="G25" s="69">
        <f t="shared" si="8"/>
        <v>21960</v>
      </c>
      <c r="H25" s="69">
        <f t="shared" si="8"/>
        <v>399720</v>
      </c>
      <c r="I25" s="69">
        <f t="shared" si="8"/>
        <v>64777.82</v>
      </c>
      <c r="J25" s="69">
        <f t="shared" si="8"/>
        <v>13246.93</v>
      </c>
      <c r="K25" s="69">
        <f t="shared" si="8"/>
        <v>0</v>
      </c>
      <c r="L25" s="69">
        <f t="shared" si="8"/>
        <v>0</v>
      </c>
      <c r="M25" s="69">
        <f t="shared" si="8"/>
        <v>183018.51</v>
      </c>
      <c r="N25" s="25">
        <f t="shared" si="1"/>
        <v>5825238.14</v>
      </c>
      <c r="O25" s="26">
        <f t="shared" si="2"/>
        <v>6224958.14</v>
      </c>
    </row>
    <row r="26" spans="1:15" s="37" customFormat="1" ht="39" thickBot="1">
      <c r="A26" s="77" t="s">
        <v>12</v>
      </c>
      <c r="B26" s="118" t="s">
        <v>53</v>
      </c>
      <c r="C26" s="38">
        <f>ROUND(C11+C15+C20+C25,2)</f>
        <v>5851278.84</v>
      </c>
      <c r="D26" s="38">
        <f aca="true" t="shared" si="9" ref="D26:M26">ROUND(D11+D15+D20+D25,2)</f>
        <v>647066.8</v>
      </c>
      <c r="E26" s="38">
        <f t="shared" si="9"/>
        <v>15111140.21</v>
      </c>
      <c r="F26" s="38">
        <f t="shared" si="9"/>
        <v>1485470.4</v>
      </c>
      <c r="G26" s="38">
        <f t="shared" si="9"/>
        <v>85860</v>
      </c>
      <c r="H26" s="38">
        <f t="shared" si="9"/>
        <v>1571330.4</v>
      </c>
      <c r="I26" s="38">
        <f t="shared" si="9"/>
        <v>211993.65</v>
      </c>
      <c r="J26" s="38">
        <f t="shared" si="9"/>
        <v>61188.26</v>
      </c>
      <c r="K26" s="38">
        <f t="shared" si="9"/>
        <v>0</v>
      </c>
      <c r="L26" s="38">
        <f t="shared" si="9"/>
        <v>0</v>
      </c>
      <c r="M26" s="38">
        <f t="shared" si="9"/>
        <v>688107.59</v>
      </c>
      <c r="N26" s="119">
        <f t="shared" si="1"/>
        <v>22570775.35</v>
      </c>
      <c r="O26" s="39">
        <f t="shared" si="2"/>
        <v>24142105.75</v>
      </c>
    </row>
    <row r="27" spans="1:16" s="18" customFormat="1" ht="39.75" customHeight="1">
      <c r="A27" s="40" t="s">
        <v>54</v>
      </c>
      <c r="B27" s="41" t="s">
        <v>13</v>
      </c>
      <c r="C27" s="30">
        <f>ROUND(C8+C9+C10+C12+C13+C14+C17+C18+C19+C22+C23+C24,2)</f>
        <v>5851278.84</v>
      </c>
      <c r="D27" s="30">
        <f aca="true" t="shared" si="10" ref="D27:M27">ROUND(D8+D9+D10+D12+D13+D14+D17+D18+D19+D22+D23+D24,2)</f>
        <v>647066.8</v>
      </c>
      <c r="E27" s="30">
        <f t="shared" si="10"/>
        <v>15111140.21</v>
      </c>
      <c r="F27" s="30">
        <f t="shared" si="10"/>
        <v>1485470.4</v>
      </c>
      <c r="G27" s="30">
        <f t="shared" si="10"/>
        <v>85860</v>
      </c>
      <c r="H27" s="31">
        <f t="shared" si="0"/>
        <v>1571330.4</v>
      </c>
      <c r="I27" s="30">
        <f t="shared" si="10"/>
        <v>211993.65</v>
      </c>
      <c r="J27" s="30">
        <f t="shared" si="10"/>
        <v>61188.26</v>
      </c>
      <c r="K27" s="30">
        <f t="shared" si="10"/>
        <v>0</v>
      </c>
      <c r="L27" s="30">
        <f t="shared" si="10"/>
        <v>0</v>
      </c>
      <c r="M27" s="30">
        <f t="shared" si="10"/>
        <v>688107.59</v>
      </c>
      <c r="N27" s="106">
        <f>ROUND(C27+D27+E27+I27+J27+M27+K27+L27,2)</f>
        <v>22570775.35</v>
      </c>
      <c r="O27" s="99">
        <f>ROUND(H27+N27,2)</f>
        <v>24142105.75</v>
      </c>
      <c r="P27" s="42"/>
    </row>
    <row r="28" spans="1:16" s="124" customFormat="1" ht="33" customHeight="1">
      <c r="A28" s="120" t="s">
        <v>14</v>
      </c>
      <c r="B28" s="121" t="s">
        <v>55</v>
      </c>
      <c r="C28" s="122">
        <f>ROUND(C7-C27,2)</f>
        <v>194721.16</v>
      </c>
      <c r="D28" s="122">
        <f>ROUND(D7-D27,2)</f>
        <v>632863.2</v>
      </c>
      <c r="E28" s="122">
        <f>ROUND(E7-E27,2)</f>
        <v>152959.79</v>
      </c>
      <c r="F28" s="122">
        <f>ROUND(F7-F27,2)</f>
        <v>14899.6</v>
      </c>
      <c r="G28" s="122">
        <f>ROUND(G7-G27,2)</f>
        <v>5280</v>
      </c>
      <c r="H28" s="17">
        <f t="shared" si="0"/>
        <v>20179.6</v>
      </c>
      <c r="I28" s="122">
        <f>ROUND(I7-I27,2)</f>
        <v>4006.35</v>
      </c>
      <c r="J28" s="122">
        <f>ROUND(J7-J27,2)</f>
        <v>6941.74</v>
      </c>
      <c r="K28" s="122">
        <f>ROUND(K7-K27,2)</f>
        <v>0</v>
      </c>
      <c r="L28" s="122">
        <f>ROUND(L7-L27,2)</f>
        <v>43890</v>
      </c>
      <c r="M28" s="122">
        <f>ROUND(M7-M27,2)</f>
        <v>18192.41</v>
      </c>
      <c r="N28" s="104">
        <f>ROUND(C28+D28+E28+I28+J28+M28+K28+L28,2)</f>
        <v>1053574.65</v>
      </c>
      <c r="O28" s="100">
        <f>ROUND(H28+N28,2)</f>
        <v>1073754.25</v>
      </c>
      <c r="P28" s="123"/>
    </row>
    <row r="29" spans="1:16" s="43" customFormat="1" ht="26.25" customHeight="1">
      <c r="A29" s="79">
        <v>23</v>
      </c>
      <c r="B29" s="80" t="s">
        <v>56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2">
        <f t="shared" si="0"/>
        <v>0</v>
      </c>
      <c r="I29" s="81">
        <v>0</v>
      </c>
      <c r="J29" s="81">
        <v>0</v>
      </c>
      <c r="K29" s="81">
        <v>0</v>
      </c>
      <c r="L29" s="101">
        <v>0</v>
      </c>
      <c r="M29" s="101">
        <v>0</v>
      </c>
      <c r="N29" s="104">
        <f>ROUND(C29+D29+E29+I29+J29+M29+K29+L29,2)</f>
        <v>0</v>
      </c>
      <c r="O29" s="102">
        <f>ROUND(H29+N29,2)</f>
        <v>0</v>
      </c>
      <c r="P29" s="83"/>
    </row>
    <row r="30" spans="1:16" s="12" customFormat="1" ht="12.75">
      <c r="A30" s="13">
        <v>24</v>
      </c>
      <c r="B30" s="45" t="s">
        <v>9</v>
      </c>
      <c r="C30" s="16">
        <v>557975.46</v>
      </c>
      <c r="D30" s="16">
        <v>69152.78</v>
      </c>
      <c r="E30" s="16">
        <v>1016616.39</v>
      </c>
      <c r="F30" s="16">
        <v>111405.6</v>
      </c>
      <c r="G30" s="16">
        <v>5970</v>
      </c>
      <c r="H30" s="44">
        <f t="shared" si="0"/>
        <v>117375.6</v>
      </c>
      <c r="I30" s="16">
        <v>14722.07</v>
      </c>
      <c r="J30" s="16">
        <v>3224.11</v>
      </c>
      <c r="K30" s="16">
        <v>0</v>
      </c>
      <c r="L30" s="90">
        <v>0</v>
      </c>
      <c r="M30" s="90">
        <v>59881.78</v>
      </c>
      <c r="N30" s="104">
        <f>ROUND(C30+D30+E30+I30+J30+M30+K30+L30,2)</f>
        <v>1721572.59</v>
      </c>
      <c r="O30" s="100">
        <f>ROUND(H30+N30,2)</f>
        <v>1838948.19</v>
      </c>
      <c r="P30" s="42"/>
    </row>
    <row r="31" spans="1:16" s="12" customFormat="1" ht="26.25" thickBot="1">
      <c r="A31" s="125" t="s">
        <v>22</v>
      </c>
      <c r="B31" s="126" t="s">
        <v>15</v>
      </c>
      <c r="C31" s="127">
        <f>ROUND((C27)/12,2)</f>
        <v>487606.57</v>
      </c>
      <c r="D31" s="127">
        <f aca="true" t="shared" si="11" ref="D31:M31">ROUND((D27)/12,2)</f>
        <v>53922.23</v>
      </c>
      <c r="E31" s="127">
        <f t="shared" si="11"/>
        <v>1259261.68</v>
      </c>
      <c r="F31" s="127">
        <f t="shared" si="11"/>
        <v>123789.2</v>
      </c>
      <c r="G31" s="127">
        <f t="shared" si="11"/>
        <v>7155</v>
      </c>
      <c r="H31" s="128">
        <f t="shared" si="0"/>
        <v>130944.2</v>
      </c>
      <c r="I31" s="127">
        <f t="shared" si="11"/>
        <v>17666.14</v>
      </c>
      <c r="J31" s="127">
        <f t="shared" si="11"/>
        <v>5099.02</v>
      </c>
      <c r="K31" s="127">
        <f t="shared" si="11"/>
        <v>0</v>
      </c>
      <c r="L31" s="127">
        <f t="shared" si="11"/>
        <v>0</v>
      </c>
      <c r="M31" s="127">
        <f t="shared" si="11"/>
        <v>57342.3</v>
      </c>
      <c r="N31" s="105">
        <f>ROUND(C31+D31+E31+I31+J31+M31+K31+L31,2)</f>
        <v>1880897.94</v>
      </c>
      <c r="O31" s="129">
        <f>ROUND(H31+N31,2)</f>
        <v>2011842.14</v>
      </c>
      <c r="P31" s="42"/>
    </row>
    <row r="32" spans="1:16" s="47" customFormat="1" ht="12.75">
      <c r="A32" s="48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/>
    </row>
    <row r="33" spans="3:12" ht="15.75">
      <c r="C33" s="56"/>
      <c r="D33" s="56"/>
      <c r="E33" s="18"/>
      <c r="G33" s="53"/>
      <c r="H33" s="53"/>
      <c r="I33" s="52"/>
      <c r="J33" s="103"/>
      <c r="K33" s="103"/>
      <c r="L33" s="103"/>
    </row>
    <row r="34" spans="3:12" ht="15.75">
      <c r="C34" s="56"/>
      <c r="D34" s="56"/>
      <c r="E34" s="18"/>
      <c r="J34" s="103"/>
      <c r="K34" s="103"/>
      <c r="L34" s="103"/>
    </row>
    <row r="35" spans="3:16" ht="15.75">
      <c r="C35" s="54"/>
      <c r="D35" s="54"/>
      <c r="E35" s="5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3:16" ht="15.75">
      <c r="C36" s="54"/>
      <c r="D36" s="54"/>
      <c r="E36" s="56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3:16" ht="15.7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</sheetData>
  <mergeCells count="2">
    <mergeCell ref="A2:O2"/>
    <mergeCell ref="A3:O3"/>
  </mergeCells>
  <printOptions/>
  <pageMargins left="0.14" right="0.14" top="0.2" bottom="0.34" header="0.22" footer="0.14"/>
  <pageSetup horizontalDpi="600" verticalDpi="600" orientation="landscape" scale="63" r:id="rId1"/>
  <headerFooter alignWithMargins="0">
    <oddFooter>&amp;L&amp;BCJAS OLT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2017-12-14T11:38:06Z</cp:lastPrinted>
  <dcterms:created xsi:type="dcterms:W3CDTF">2016-04-27T06:23:25Z</dcterms:created>
  <dcterms:modified xsi:type="dcterms:W3CDTF">2018-01-22T12:32:11Z</dcterms:modified>
  <cp:category/>
  <cp:version/>
  <cp:contentType/>
  <cp:contentStatus/>
</cp:coreProperties>
</file>