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firstSheet="15" activeTab="17"/>
  </bookViews>
  <sheets>
    <sheet name="1-TRIM I" sheetId="1" r:id="rId1"/>
    <sheet name="2-CONSUM IANUARIE 2018" sheetId="2" r:id="rId2"/>
    <sheet name="3- SUPLIM COST VOLUM" sheetId="3" r:id="rId3"/>
    <sheet name="4-CONSUM FEBR.2018" sheetId="4" r:id="rId4"/>
    <sheet name="5-SUPLIM COST VOLUM" sheetId="5" r:id="rId5"/>
    <sheet name="6- AN 2018" sheetId="6" r:id="rId6"/>
    <sheet name="7- CONSUM APR. 2018" sheetId="7" r:id="rId7"/>
    <sheet name="8- VIRARE CREDITE" sheetId="8" r:id="rId8"/>
    <sheet name="9- CONSUM MAI 2018" sheetId="9" r:id="rId9"/>
    <sheet name="10- CONSUM IUNIE 2018" sheetId="10" r:id="rId10"/>
    <sheet name="11- CONSUM IULIE 2018" sheetId="11" r:id="rId11"/>
    <sheet name="12- CONSUM AUGUST + SUPLIM." sheetId="12" r:id="rId12"/>
    <sheet name="13- CONSUM SEPTEMBRIE 2018" sheetId="13" r:id="rId13"/>
    <sheet name="14- SUPLIMENTARE TRIM IV RV7331" sheetId="14" r:id="rId14"/>
    <sheet name="15- CONSUM OCTOMBRIE 2018" sheetId="15" r:id="rId15"/>
    <sheet name="16- SUPLIMENTARE RV8221" sheetId="16" r:id="rId16"/>
    <sheet name="17- CONSUM NOIEMBRIE 2018" sheetId="17" r:id="rId17"/>
    <sheet name="18-CONSUM DECEMBRIE 2018" sheetId="18" r:id="rId18"/>
  </sheets>
  <definedNames/>
  <calcPr fullCalcOnLoad="1"/>
</workbook>
</file>

<file path=xl/sharedStrings.xml><?xml version="1.0" encoding="utf-8"?>
<sst xmlns="http://schemas.openxmlformats.org/spreadsheetml/2006/main" count="934" uniqueCount="131">
  <si>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</si>
  <si>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</si>
  <si>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</si>
  <si>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</si>
  <si>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</si>
  <si>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</si>
  <si>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</si>
  <si>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</si>
  <si>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</si>
  <si>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</si>
  <si>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</si>
  <si>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22=1-21</t>
  </si>
  <si>
    <t>REPARTIZARII LUNARE A CREDITELOR DE ANGAJAMENT PENTRU ELIBERARE MEDICAMENTE CU ŞI FĂRĂ CONTRIBUŢIE PERSONALĂ PENTRU TRIM. I 2018, CONFORM CREDITELOR DE ANGAJAMENT APROBATE DE CNAS PRIN ADRESA NR. LM11290/29.12.2017</t>
  </si>
  <si>
    <t xml:space="preserve">Limite trimestriale credite angajament aprobate CNAS - activitate curentă </t>
  </si>
  <si>
    <t>CREDITE DE ANGAJAMENT MEDICAMENTE COMPENSAT+ GRATUIT (activitate curenta) REPARTIZATE AN 2018</t>
  </si>
  <si>
    <t>Limite trimestriale credite angajament aprobate CNAS - 40%MS</t>
  </si>
  <si>
    <t>CREDITE DE ANGAJAMENT MEDICAMENTE 40% MS REPARTIZATE AN 2018</t>
  </si>
  <si>
    <t>CREDITE DE ANGAJAMENT DCI COST VOLUM REPARTIZATE AN 2018</t>
  </si>
  <si>
    <t>Credite angajament aprobate an 2018, din care:</t>
  </si>
  <si>
    <t xml:space="preserve">ianuarie 2018  </t>
  </si>
  <si>
    <t xml:space="preserve">februarie 2018  </t>
  </si>
  <si>
    <t>martie 2018</t>
  </si>
  <si>
    <t>Trim. I 2018</t>
  </si>
  <si>
    <t>aprilie 2018</t>
  </si>
  <si>
    <t>mai 2018</t>
  </si>
  <si>
    <t>iunie 2018</t>
  </si>
  <si>
    <t xml:space="preserve">Trim. II 2018 </t>
  </si>
  <si>
    <t>Total sem. I 2018</t>
  </si>
  <si>
    <t>iulie 2018</t>
  </si>
  <si>
    <t>august 2018</t>
  </si>
  <si>
    <t>septembrie 2018</t>
  </si>
  <si>
    <t>Total trim. III 2018</t>
  </si>
  <si>
    <t>Total 9 luni 2018</t>
  </si>
  <si>
    <t>octombrie 2018</t>
  </si>
  <si>
    <t xml:space="preserve">noiembrie 2018 </t>
  </si>
  <si>
    <t>decembrie 2018</t>
  </si>
  <si>
    <t>Total trim. IV 2018</t>
  </si>
  <si>
    <t>TOTAL AN 2018</t>
  </si>
  <si>
    <t>Consum 2018 inregistrat in limita credite angajament AN 2018</t>
  </si>
  <si>
    <t>Credite neconsumate la 01.01.2018</t>
  </si>
  <si>
    <t>Depășire la data de 01.01.2018 (consum nevalidat 2018)</t>
  </si>
  <si>
    <t>Consum mediu lunar înregistrat 01.01-30.11.2017</t>
  </si>
  <si>
    <t>25=(21+23)/ nr. luni</t>
  </si>
  <si>
    <t>Consum mediu lunar an 2018</t>
  </si>
  <si>
    <t>26=25  x 12 luni - 1</t>
  </si>
  <si>
    <t>Necesar suplimentar 2018 stabilit la nivelul consumului mediu lunar/2018</t>
  </si>
  <si>
    <t>27=1+26</t>
  </si>
  <si>
    <t>TOTAL CREDITE ANGAJAMENT NECESARE AN 2018</t>
  </si>
  <si>
    <t>ANEXA</t>
  </si>
  <si>
    <t>REPARTIZARII LUNARE A CREDITELOR DE ANGAJAMENT PENTRU ELIBERARE MEDICAMENTE CU ŞI FĂRĂ CONTRIBUŢIE PERSONALĂ PENTRU TRIM. I 2018, CA URMARE A VALIDĂRII CONSUMULUI RAPORTAT PENTRU LUNA IANUARIE 2018, IN LIMITA CREDITELOR DE ANGAJAMENT APROBATE DE CNAS PRIN ADRESA NR. LM11290/29.12.2017/ RV1166/08.02.2018</t>
  </si>
  <si>
    <t>ianuarie 2018 - consum realizat</t>
  </si>
  <si>
    <t>21=2</t>
  </si>
  <si>
    <t>Credite neconsumate la 31.01.2018</t>
  </si>
  <si>
    <t>Depășire la data de 31.03.2018 (consum nevalidat 2018)</t>
  </si>
  <si>
    <t>Consum mediu lunar înregistrat AN 2017</t>
  </si>
  <si>
    <t>REPARTIZARII LUNARE A CREDITELOR DE ANGAJAMENT PENTRU ELIBERARE MEDICAMENTE CU ŞI FĂRĂ CONTRIBUŢIE PERSONALĂ PENTRU TRIM. I 2018, CA URMARE A SUPLIMENTĂRII CREDITELOR DE ANGAJAMENT APROBATE DE CNAS PENTRU MEDICAMENTE COST VOLUM, CONFORM ADRESEI CNAS NR. RV1802/06.03.2018</t>
  </si>
  <si>
    <t>Limite trimestriale credite angajament aprobate CNAS - COST VOLUM</t>
  </si>
  <si>
    <t>MODIFICĂRII REPARTIZARII LUNARE A CREDITELOR DE ANGAJAMENT PENTRU ELIBERARE MEDICAMENTE CU ŞI FĂRĂ CONTRIBUŢIE PERSONALĂ PENTRU TRIM. I 2018, CA URMARE A VALIDĂRII CONSUMULUI RAPORTAT PENTRU LUNA FEBRUARIE 2018 IN LIMITA CREDITELOR DE ANGAJAMENT APROBATE DE CNAS CONFORM ADRESEI CNAS NR. RV1802/06.03.2018</t>
  </si>
  <si>
    <t>Limite trimestriale credite angajament aprobate CNAS - CV</t>
  </si>
  <si>
    <t>februarie 2018 - consum realizat</t>
  </si>
  <si>
    <t>21=2+3</t>
  </si>
  <si>
    <t>Credite neconsumate la 28.02.2018</t>
  </si>
  <si>
    <t>Depășire la data de 28.02.2018 (consum nevalidat 2018)</t>
  </si>
  <si>
    <t>MODIFICĂRII REPARTIZARII LUNARE A CREDITELOR DE ANGAJAMENT PENTRU ELIBERARE MEDICAMENTE CU ŞI FĂRĂ CONTRIBUŢIE PERSONALĂ PENTRU TRIM. I 2018, CA URMARE A SUPLIMENTARII CREDITELOR DE ANGAJAMENT APROBATE PENTRU DCI COST VOLUM, CONFORM ADRESEI CNAS NR. RV2157/19.03.2018, PENTRU TRIM. I 2018</t>
  </si>
  <si>
    <t>REPARTIZARII LUNARE A CREDITELOR DE ANGAJAMENT PENTRU ELIBERARE MEDICAMENTE CU ŞI FĂRĂ CONTRIBUŢIE PERSONALĂ PENTRU PERIOADA MAI - DECEMBRIE 2018, CU RESPECTAREA LIMITELOR TRIMESTRIALE APROBATE DE CNAS PRIN ADRESA NR. RV2704/12.04.2018</t>
  </si>
  <si>
    <t>martie 2018 - consum validat in limita credite/ trim. I 2018</t>
  </si>
  <si>
    <t>Trim. I 2018 - consum validat in limita credite/ trim. I 2018</t>
  </si>
  <si>
    <t>21=2+3+4</t>
  </si>
  <si>
    <t>Credite neconsumate la 31.03.2018</t>
  </si>
  <si>
    <t>Depășire la data de 31.03.2018 (consum nevalidat trim. I 2018)</t>
  </si>
  <si>
    <t>24=1-20</t>
  </si>
  <si>
    <t>CREDITE RAMASE DE ANGAJAT PTR MAI-DECEMB. 2018</t>
  </si>
  <si>
    <t>26=(21+ 23)/ nr. luni</t>
  </si>
  <si>
    <t>27=26  x 12 luni - 1</t>
  </si>
  <si>
    <t>28=1+ 27</t>
  </si>
  <si>
    <t>MODIFICĂRII REPARTIZARII LUNARE A CREDITELOR DE ANGAJAMENT PENTRU ELIBERARE MEDICAMENTE CU ŞI FĂRĂ CONTRIBUŢIE PERSONALĂ, CA URMARE A VALIDĂRII CONSUMULUI LUNII APRILIE 2018 ȘI A DIFERENȚELOR PENTRU LUNA MARTIE 2018, CU RESPECTAREA LIMITELOR TRIMESTRIALE APROBATE DE CNAS PRIN ADRESA NR. RV3702/08.05.2018</t>
  </si>
  <si>
    <t>aprilie 2018 - consum realizat (C+G: 6446236,01 aprilie + 55496,90 dif. martie; 40%MS=177936,55 apr + 47856,98 dif. martie)</t>
  </si>
  <si>
    <t>21=5+6</t>
  </si>
  <si>
    <t>Depășire la data de 30.04.2018 (consum nevalidat)</t>
  </si>
  <si>
    <t>MODIFICĂRII REPARTIZARII LUNARE A CREDITELOR DE ANGAJAMENT PENTRU ELIBERARE MEDICAMENTE CU ŞI FĂRĂ CONTRIBUŢIE PERSONALĂ, CA URMARE A VIRĂRII CREDITELOR DE ANGAJAMENT DIN TRIM. III-IV 2018 ÎN SEM. I 2018, CU RESPECTAREA LIMITELOR TRIMESTRIALE APROBATE DE CNAS PRIN ADRESA NR. RV4429/06.06.2018</t>
  </si>
  <si>
    <t>Credite neconsumate la 30.04.2018</t>
  </si>
  <si>
    <t>MODIFICĂRII REPARTIZARII LUNARE A CREDITELOR DE ANGAJAMENT PENTRU ELIBERARE MEDICAMENTE CU ŞI FĂRĂ CONTRIBUŢIE PERSONALĂ, CA URMARE A VALIDĂRII CONSUMULUI RAPORTAT PENTRU LUNA MAI 2018 IN LIMITA CREDITELOR DE ANGAJAMENT APROBATE PENTRU SEM. I 2018, CONFORM ADRESEI CNAS NR. RV4556/12.06.2018</t>
  </si>
  <si>
    <t>mai 2018 - consum realizat</t>
  </si>
  <si>
    <t>21=5+6+7</t>
  </si>
  <si>
    <t>Credite neconsumate la 31.05.2018</t>
  </si>
  <si>
    <t>Depășire la data de 31.05.2018 (consum nevalidat)</t>
  </si>
  <si>
    <t>MODIFICĂRII REPARTIZARII LUNARE A CREDITELOR DE ANGAJAMENT PENTRU ELIBERARE MEDICAMENTE CU ŞI FĂRĂ CONTRIBUŢIE PERSONALĂ, CA URMARE A VALIDĂRII CONSUMULUI RAPORTAT PENTRU LUNA IUNIE 2018 IN LIMITA CREDITELOR DE ANGAJAMENT APROBATE PENTRU SEM. I 2018, CONFORM ADRESEI CNAS NR. RV5226/09.07.2018</t>
  </si>
  <si>
    <t>iunie 2018 - consum validat in limita credite/ sem. I 2018</t>
  </si>
  <si>
    <t>Trim. II 2018 - consum validat in limita credite/ sem. I 2018</t>
  </si>
  <si>
    <t>Total sem. I 2018- consum validat in limita credite/ sem. I 2018</t>
  </si>
  <si>
    <t>21=10</t>
  </si>
  <si>
    <t>Credite neconsumate la 30.06.2018</t>
  </si>
  <si>
    <t>Depășire la data de 30.06.2018 (consum nevalidat)</t>
  </si>
  <si>
    <t>MODIFICĂRII REPARTIZARII LUNARE A CREDITELOR DE ANGAJAMENT PENTRU ELIBERARE MEDICAMENTE CU ŞI FĂRĂ CONTRIBUŢIE PERSONALĂ, CA URMARE A VALIDĂRII CONSUMULUI RAPORTAT PENTRU LUNA IULIE 2018 IN LIMITA CREDITELOR DE ANGAJAMENT APROBATE PENTRU 9 LUNI 2018, CONFORM ADRESEI CNAS NR. RV6102/10.08.2018</t>
  </si>
  <si>
    <t>iulie 2018 - consum realizat (40%MS=188164,35 iul+ 81666,41 dif.iunie)</t>
  </si>
  <si>
    <t>21=10+11</t>
  </si>
  <si>
    <t>Credite neconsumate la 31.07.2018</t>
  </si>
  <si>
    <t>Depășire la data de 31.07.2018 (consum nevalidat)</t>
  </si>
  <si>
    <t>MODIFICĂRII REPARTIZARII LUNARE A CREDITELOR DE ANGAJAMENT PENTRU ELIBERARE MEDICAMENTE CU ŞI FĂRĂ CONTRIBUŢIE PERSONALĂ, CA URMARE A SUPLIMENTARII CREDITELOR DE ANGAJAMENT APROBATE PENTRU ANUL 2018, CONFORM ADRESELOR CNAS NR. RV6657/17.09.2018, DG4117/18.09.2018- TRIMESTRIALIZARE</t>
  </si>
  <si>
    <t>august 2018 - consum realizat</t>
  </si>
  <si>
    <t>21=10+11+12</t>
  </si>
  <si>
    <t>Credite neconsumate la 31.08.2018</t>
  </si>
  <si>
    <t>Depășire la data de 31.08.2018 (consum nevalidat)</t>
  </si>
  <si>
    <t xml:space="preserve">MODIFICĂRII REPARTIZARII LUNARE A CREDITELOR DE ANGAJAMENT PENTRU ELIBERARE MEDICAMENTE CU ŞI FĂRĂ CONTRIBUŢIE PERSONALĂ, CA URMARE A VALIDARII CONSUMULUI RAPORTAT PENTRU LUNA SEPTEMBRIE 2018 IN LIMITA CREDITELOR DE ANGAJAMENT APROBATE PENTRU 9 LUNI 2018, CONFORM ADRESEI CNAS NR. RV6879/28.09.2018 PRIVIND VIRAREA SUMEI DE 151,05 MII LEI DIN TRIM IV IN TRIM III PENTRU MEDICAMENTE 40% MS </t>
  </si>
  <si>
    <t>septembrie 2018 - consum realizat</t>
  </si>
  <si>
    <t>Total trim. III 2018 - consum realizat validat integral</t>
  </si>
  <si>
    <t>Total 9 luni 2018- consum realizat validat integral</t>
  </si>
  <si>
    <t>21=15</t>
  </si>
  <si>
    <t>Credite neconsumate la 30.09.2018</t>
  </si>
  <si>
    <t>Depășire la data de 30.09.2018 (consum nevalidat)</t>
  </si>
  <si>
    <t>MODIFICĂRII REPARTIZARII LUNARE A CREDITELOR DE ANGAJAMENT PENTRU ELIBERARE MEDICAMENTE CU ŞI FĂRĂ CONTRIBUŢIE PERSONALĂ, CA URMARE A SUPLIMENTARII CREDITELOR DE ANGAJAMENT PENTRU TRIM. IV 2018 CU SUMA DE 9452,00 MII LEI, CONFORM ADRESEI CNAS NR. RV7331/22.10.2018</t>
  </si>
  <si>
    <t>MODIFICĂRII REPARTIZARII LUNARE A CREDITELOR DE ANGAJAMENT PENTRU ELIBERARE MEDICAMENTE CU ŞI FĂRĂ CONTRIBUŢIE PERSONALĂ, CA URMARE A VALIDARII CONSUMULUI RAPORTAT PENTRU LUNA OCTOMBRIE 2018 , IN LIMITA CREDITELOR DE ANGAJAMENT APROBATE CONFORM ADRESEI CNAS NR. RV7892/13.11.2018</t>
  </si>
  <si>
    <t>octombrie 2018 - consum realizat</t>
  </si>
  <si>
    <t>21=15+16</t>
  </si>
  <si>
    <t>Credite neconsumate la 31.10.2018</t>
  </si>
  <si>
    <t>Depășire la data de 31.10.2018 (consum nevalidat)</t>
  </si>
  <si>
    <t>CREDITE RAMASE DE ANGAJAT PTR TRIM. IV 2018</t>
  </si>
  <si>
    <t>MODIFICĂRII REPARTIZARII LUNARE A CREDITELOR DE ANGAJAMENT PENTRU ELIBERARE MEDICAMENTE CU ŞI FĂRĂ CONTRIBUŢIE PERSONALĂ PENTRU PERIOADA 01.11-31.12.2018, CA URMARE A MODIFICĂRII CREDITELOR DE ANGAJAMENT APROBATE CONFORM ADRESEI CNAS NR. RV8221/28.11.2018</t>
  </si>
  <si>
    <t>MODIFICĂRII REPARTIZARII LUNARE A CREDITELOR DE ANGAJAMENT PENTRU ELIBERARE MEDICAMENTE CU ŞI FĂRĂ CONTRIBUŢIE PERSONALĂ, CA URMARE A VALIDARII CONSUMULUI RAPORTAT PENTRU LUNA NOIEMBRIE 2018, IN LIMITA CREDITELOR DE ANGAJAMENT APROBATE PENTRU ANUL 2018 SI DIMINUĂRII CREDITELOR COST VOLUM, CONFORM ADRESEI CNAS NR. RV8706/19.12.2018</t>
  </si>
  <si>
    <t>noiembrie 2018  - consum realizat</t>
  </si>
  <si>
    <t>21=15+16+17</t>
  </si>
  <si>
    <t>Credite neconsumate la 30.11.2018</t>
  </si>
  <si>
    <t>Depășire la data de 30.11.2018 (consum nevalidat)</t>
  </si>
  <si>
    <t>MODIFICĂRII REPARTIZARII LUNARE A CREDITELOR DE ANGAJAMENT PENTRU ELIBERARE MEDICAMENTE CU ŞI FĂRĂ CONTRIBUŢIE PERSONALĂ, CA URMARE A VALIDARII CONSUMULUI RAPORTAT PENTRU LUNA DECEMBRIE 2018, IN LIMITA CREDITELOR DE ANGAJAMENT APROBATE PENTRU ANUL 2018 CONFORM ADRESEI CNAS NR. RV8706/19.12.2018</t>
  </si>
  <si>
    <t>decembrie 2018  - consum realizat</t>
  </si>
  <si>
    <t>Total trim. IV 2018  - consum realizat/ validat integral</t>
  </si>
  <si>
    <t>TOTAL AN 2018 - consum realizat/ validat integral</t>
  </si>
  <si>
    <t>21=15+19</t>
  </si>
  <si>
    <t>Credite neconsumate la 31.12.2018</t>
  </si>
  <si>
    <t>Depășire la data de 31.12.2018 (consum nevalidat)</t>
  </si>
  <si>
    <t>25=(21+ 23)/ 12 luni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</si>
</sst>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6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4" fontId="2" fillId="0" borderId="5" xfId="0" applyNumberFormat="1" applyFont="1" applyBorder="1" applyAlignment="1">
      <alignment horizontal="left" vertical="top"/>
    </xf>
    <xf numFmtId="4" fontId="1" fillId="2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1" fillId="2" borderId="5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4" fontId="1" fillId="2" borderId="10" xfId="0" applyNumberFormat="1" applyFont="1" applyFill="1" applyBorder="1" applyAlignment="1">
      <alignment vertical="top"/>
    </xf>
    <xf numFmtId="49" fontId="5" fillId="0" borderId="5" xfId="0" applyNumberFormat="1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" fontId="6" fillId="0" borderId="6" xfId="0" applyNumberFormat="1" applyFont="1" applyFill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4" fontId="9" fillId="0" borderId="5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9" fillId="0" borderId="6" xfId="0" applyNumberFormat="1" applyFont="1" applyFill="1" applyBorder="1" applyAlignment="1">
      <alignment vertical="top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4" fontId="10" fillId="3" borderId="5" xfId="0" applyNumberFormat="1" applyFont="1" applyFill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4" fontId="2" fillId="0" borderId="8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5" sqref="G5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/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12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56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20063000</v>
      </c>
      <c r="D7" s="12">
        <v>20063000</v>
      </c>
      <c r="E7" s="20">
        <f>ROUND(E11+E15+E20+E25,2)</f>
        <v>516000</v>
      </c>
      <c r="F7" s="47">
        <v>516000</v>
      </c>
      <c r="G7" s="20">
        <f>ROUND(G11+G15+G20+G25,2)</f>
        <v>10000</v>
      </c>
      <c r="H7" s="13">
        <v>10000</v>
      </c>
      <c r="I7" s="14"/>
    </row>
    <row r="8" spans="1:9" ht="12.75">
      <c r="A8" s="15">
        <v>2</v>
      </c>
      <c r="B8" s="16" t="s">
        <v>19</v>
      </c>
      <c r="C8" s="36"/>
      <c r="D8" s="17">
        <v>6700000</v>
      </c>
      <c r="E8" s="17"/>
      <c r="F8" s="38">
        <v>180000</v>
      </c>
      <c r="G8" s="17"/>
      <c r="H8" s="18">
        <v>3400</v>
      </c>
      <c r="I8" s="14"/>
    </row>
    <row r="9" spans="1:9" ht="12.75">
      <c r="A9" s="15">
        <v>3</v>
      </c>
      <c r="B9" s="16" t="s">
        <v>20</v>
      </c>
      <c r="C9" s="36"/>
      <c r="D9" s="17">
        <v>6700000</v>
      </c>
      <c r="E9" s="17"/>
      <c r="F9" s="38">
        <v>180000</v>
      </c>
      <c r="G9" s="17"/>
      <c r="H9" s="18">
        <v>3400</v>
      </c>
      <c r="I9" s="14"/>
    </row>
    <row r="10" spans="1:9" ht="12.75">
      <c r="A10" s="7">
        <v>4</v>
      </c>
      <c r="B10" s="16" t="s">
        <v>21</v>
      </c>
      <c r="C10" s="36"/>
      <c r="D10" s="17">
        <v>6663000</v>
      </c>
      <c r="E10" s="17"/>
      <c r="F10" s="38">
        <v>156000</v>
      </c>
      <c r="G10" s="17"/>
      <c r="H10" s="18">
        <v>3200</v>
      </c>
      <c r="I10" s="14"/>
    </row>
    <row r="11" spans="1:9" s="1" customFormat="1" ht="12.75">
      <c r="A11" s="19" t="s">
        <v>4</v>
      </c>
      <c r="B11" s="43" t="s">
        <v>22</v>
      </c>
      <c r="C11" s="12">
        <v>20063000</v>
      </c>
      <c r="D11" s="20">
        <f>SUM(D8:D10)</f>
        <v>20063000</v>
      </c>
      <c r="E11" s="20">
        <v>516000</v>
      </c>
      <c r="F11" s="37">
        <f>SUM(F8:F10)</f>
        <v>516000</v>
      </c>
      <c r="G11" s="20">
        <v>10000</v>
      </c>
      <c r="H11" s="21">
        <f>SUM(H8:H10)</f>
        <v>10000</v>
      </c>
      <c r="I11" s="14"/>
    </row>
    <row r="12" spans="1:9" ht="12.75">
      <c r="A12" s="15">
        <v>6</v>
      </c>
      <c r="B12" s="48" t="s">
        <v>23</v>
      </c>
      <c r="C12" s="36"/>
      <c r="D12" s="17"/>
      <c r="E12" s="17"/>
      <c r="F12" s="38"/>
      <c r="G12" s="17"/>
      <c r="H12" s="18"/>
      <c r="I12" s="14"/>
    </row>
    <row r="13" spans="1:9" ht="12.75">
      <c r="A13" s="15">
        <v>7</v>
      </c>
      <c r="B13" s="16" t="s">
        <v>24</v>
      </c>
      <c r="C13" s="36"/>
      <c r="D13" s="17"/>
      <c r="E13" s="17"/>
      <c r="F13" s="38"/>
      <c r="G13" s="17"/>
      <c r="H13" s="18"/>
      <c r="I13" s="14"/>
    </row>
    <row r="14" spans="1:9" s="3" customFormat="1" ht="12.75">
      <c r="A14" s="15">
        <v>8</v>
      </c>
      <c r="B14" s="49" t="s">
        <v>25</v>
      </c>
      <c r="C14" s="50"/>
      <c r="D14" s="17"/>
      <c r="E14" s="17"/>
      <c r="F14" s="38"/>
      <c r="G14" s="17"/>
      <c r="H14" s="18"/>
      <c r="I14" s="14"/>
    </row>
    <row r="15" spans="1:9" ht="12.75">
      <c r="A15" s="51" t="s">
        <v>5</v>
      </c>
      <c r="B15" s="43" t="s">
        <v>26</v>
      </c>
      <c r="C15" s="12"/>
      <c r="D15" s="20">
        <f>SUM(D12:D14)</f>
        <v>0</v>
      </c>
      <c r="E15" s="20"/>
      <c r="F15" s="37">
        <f>SUM(F12:F14)</f>
        <v>0</v>
      </c>
      <c r="G15" s="20">
        <v>0</v>
      </c>
      <c r="H15" s="21">
        <f>SUM(H12:H14)</f>
        <v>0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20063000</v>
      </c>
      <c r="D16" s="20">
        <f t="shared" si="0"/>
        <v>20063000</v>
      </c>
      <c r="E16" s="12">
        <f t="shared" si="0"/>
        <v>516000</v>
      </c>
      <c r="F16" s="37">
        <f t="shared" si="0"/>
        <v>516000</v>
      </c>
      <c r="G16" s="12">
        <f t="shared" si="0"/>
        <v>10000</v>
      </c>
      <c r="H16" s="21">
        <f t="shared" si="0"/>
        <v>10000</v>
      </c>
      <c r="I16" s="14"/>
    </row>
    <row r="17" spans="1:9" ht="12.75">
      <c r="A17" s="15">
        <v>11</v>
      </c>
      <c r="B17" s="16" t="s">
        <v>28</v>
      </c>
      <c r="C17" s="36"/>
      <c r="D17" s="17"/>
      <c r="E17" s="53"/>
      <c r="F17" s="38"/>
      <c r="G17" s="53"/>
      <c r="H17" s="18"/>
      <c r="I17" s="14"/>
    </row>
    <row r="18" spans="1:9" ht="12.75">
      <c r="A18" s="15">
        <v>12</v>
      </c>
      <c r="B18" s="16" t="s">
        <v>29</v>
      </c>
      <c r="C18" s="36"/>
      <c r="D18" s="17"/>
      <c r="E18" s="22"/>
      <c r="F18" s="38"/>
      <c r="G18" s="22"/>
      <c r="H18" s="18"/>
      <c r="I18" s="14"/>
    </row>
    <row r="19" spans="1:9" ht="12.75">
      <c r="A19" s="15">
        <v>13</v>
      </c>
      <c r="B19" s="23" t="s">
        <v>30</v>
      </c>
      <c r="C19" s="22"/>
      <c r="D19" s="17"/>
      <c r="E19" s="24"/>
      <c r="F19" s="38"/>
      <c r="G19" s="24"/>
      <c r="H19" s="18"/>
      <c r="I19" s="14"/>
    </row>
    <row r="20" spans="1:9" s="1" customFormat="1" ht="12.75">
      <c r="A20" s="19" t="s">
        <v>7</v>
      </c>
      <c r="B20" s="52" t="s">
        <v>31</v>
      </c>
      <c r="C20" s="12"/>
      <c r="D20" s="20">
        <f>ROUND(D17+D18+D19,2)</f>
        <v>0</v>
      </c>
      <c r="E20" s="12"/>
      <c r="F20" s="37">
        <f>ROUND(F17+F18+F19,2)</f>
        <v>0</v>
      </c>
      <c r="G20" s="12">
        <v>0</v>
      </c>
      <c r="H20" s="21">
        <f>ROUND(H17+H18+H19,2)</f>
        <v>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20063000</v>
      </c>
      <c r="D21" s="20">
        <f>ROUND(D16+D20,2)</f>
        <v>20063000</v>
      </c>
      <c r="E21" s="12">
        <f>E16+E20</f>
        <v>516000</v>
      </c>
      <c r="F21" s="37">
        <f>ROUND(F16+F20,2)</f>
        <v>516000</v>
      </c>
      <c r="G21" s="12">
        <f>G16+G20</f>
        <v>10000</v>
      </c>
      <c r="H21" s="21">
        <f>ROUND(H16+H20,2)</f>
        <v>10000</v>
      </c>
      <c r="I21" s="14"/>
    </row>
    <row r="22" spans="1:9" ht="12.75">
      <c r="A22" s="15">
        <v>16</v>
      </c>
      <c r="B22" s="54" t="s">
        <v>33</v>
      </c>
      <c r="C22" s="22"/>
      <c r="D22" s="22"/>
      <c r="E22" s="22"/>
      <c r="F22" s="38"/>
      <c r="G22" s="22"/>
      <c r="H22" s="18"/>
      <c r="I22" s="14"/>
    </row>
    <row r="23" spans="1:12" ht="12.75">
      <c r="A23" s="15">
        <v>17</v>
      </c>
      <c r="B23" s="23" t="s">
        <v>34</v>
      </c>
      <c r="C23" s="22"/>
      <c r="D23" s="24"/>
      <c r="E23" s="24"/>
      <c r="F23" s="38"/>
      <c r="G23" s="24"/>
      <c r="H23" s="18"/>
      <c r="I23" s="14"/>
      <c r="L23" s="14"/>
    </row>
    <row r="24" spans="1:9" ht="12.75">
      <c r="A24" s="15">
        <v>18</v>
      </c>
      <c r="B24" s="23" t="s">
        <v>35</v>
      </c>
      <c r="C24" s="22"/>
      <c r="D24" s="22"/>
      <c r="E24" s="22"/>
      <c r="F24" s="38"/>
      <c r="G24" s="22"/>
      <c r="H24" s="18"/>
      <c r="I24" s="14"/>
    </row>
    <row r="25" spans="1:9" ht="12.75">
      <c r="A25" s="19" t="s">
        <v>9</v>
      </c>
      <c r="B25" s="43" t="s">
        <v>36</v>
      </c>
      <c r="C25" s="12"/>
      <c r="D25" s="12">
        <f>D22+D23+D24</f>
        <v>0</v>
      </c>
      <c r="E25" s="12"/>
      <c r="F25" s="47">
        <f>F22+F23+F24</f>
        <v>0</v>
      </c>
      <c r="G25" s="12"/>
      <c r="H25" s="13">
        <f>H22+H23+H24</f>
        <v>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20063000</v>
      </c>
      <c r="D26" s="12">
        <f t="shared" si="1"/>
        <v>20063000</v>
      </c>
      <c r="E26" s="12">
        <f t="shared" si="1"/>
        <v>516000</v>
      </c>
      <c r="F26" s="47">
        <f t="shared" si="1"/>
        <v>516000</v>
      </c>
      <c r="G26" s="12">
        <f t="shared" si="1"/>
        <v>10000</v>
      </c>
      <c r="H26" s="13">
        <f t="shared" si="1"/>
        <v>10000</v>
      </c>
      <c r="I26" s="14"/>
    </row>
    <row r="27" spans="1:9" ht="12.75">
      <c r="A27" s="55">
        <v>21</v>
      </c>
      <c r="B27" s="27" t="s">
        <v>38</v>
      </c>
      <c r="C27" s="27"/>
      <c r="D27" s="24"/>
      <c r="E27" s="24"/>
      <c r="F27" s="39"/>
      <c r="G27" s="24"/>
      <c r="H27" s="26"/>
      <c r="I27" s="14"/>
    </row>
    <row r="28" spans="1:9" ht="12.75">
      <c r="A28" s="15" t="s">
        <v>11</v>
      </c>
      <c r="B28" s="25" t="s">
        <v>39</v>
      </c>
      <c r="C28" s="25"/>
      <c r="D28" s="24">
        <f>ROUND(D7-D27,2)</f>
        <v>20063000</v>
      </c>
      <c r="E28" s="24"/>
      <c r="F28" s="39">
        <f>ROUND(F7-F27,2)</f>
        <v>516000</v>
      </c>
      <c r="G28" s="24"/>
      <c r="H28" s="26">
        <f>ROUND(H7-H27,2)</f>
        <v>10000</v>
      </c>
      <c r="I28" s="14"/>
    </row>
    <row r="29" spans="1:9" s="62" customFormat="1" ht="12.75">
      <c r="A29" s="56">
        <v>23</v>
      </c>
      <c r="B29" s="57" t="s">
        <v>40</v>
      </c>
      <c r="C29" s="57"/>
      <c r="D29" s="58">
        <v>0</v>
      </c>
      <c r="E29" s="58"/>
      <c r="F29" s="59">
        <v>0</v>
      </c>
      <c r="G29" s="58"/>
      <c r="H29" s="60">
        <v>0</v>
      </c>
      <c r="I29" s="61"/>
    </row>
    <row r="30" spans="1:9" ht="12.75">
      <c r="A30" s="15">
        <v>24</v>
      </c>
      <c r="B30" s="27" t="s">
        <v>41</v>
      </c>
      <c r="C30" s="27"/>
      <c r="D30" s="22">
        <v>6611669.5</v>
      </c>
      <c r="E30" s="22"/>
      <c r="F30" s="38">
        <v>139876.12</v>
      </c>
      <c r="G30" s="22"/>
      <c r="H30" s="18">
        <v>700.24</v>
      </c>
      <c r="I30" s="14"/>
    </row>
    <row r="31" spans="1:9" ht="25.5">
      <c r="A31" s="15" t="s">
        <v>42</v>
      </c>
      <c r="B31" s="27" t="s">
        <v>43</v>
      </c>
      <c r="C31" s="27"/>
      <c r="D31" s="22">
        <f>ROUND((D27+D29)/11,2)</f>
        <v>0</v>
      </c>
      <c r="E31" s="22"/>
      <c r="F31" s="38">
        <f>ROUND((F27+F29)/11,2)</f>
        <v>0</v>
      </c>
      <c r="G31" s="22"/>
      <c r="H31" s="18">
        <f>ROUND((H27+H29)/1,2)</f>
        <v>0</v>
      </c>
      <c r="I31" s="14"/>
    </row>
    <row r="32" spans="1:9" ht="25.5">
      <c r="A32" s="15" t="s">
        <v>44</v>
      </c>
      <c r="B32" s="27" t="s">
        <v>45</v>
      </c>
      <c r="C32" s="27"/>
      <c r="D32" s="28">
        <f>ROUND(D31*12-D7,2)</f>
        <v>-20063000</v>
      </c>
      <c r="E32" s="28"/>
      <c r="F32" s="40">
        <f>ROUND(F31*12-F7,2)</f>
        <v>-516000</v>
      </c>
      <c r="G32" s="28"/>
      <c r="H32" s="29">
        <f>ROUND(H31*12-H7,2)</f>
        <v>-10000</v>
      </c>
      <c r="I32" s="14"/>
    </row>
    <row r="33" spans="1:8" s="34" customFormat="1" ht="13.5" thickBot="1">
      <c r="A33" s="30" t="s">
        <v>46</v>
      </c>
      <c r="B33" s="31" t="s">
        <v>47</v>
      </c>
      <c r="C33" s="31"/>
      <c r="D33" s="32">
        <f>ROUND(D7+D32,2)</f>
        <v>0</v>
      </c>
      <c r="E33" s="32"/>
      <c r="F33" s="41">
        <f>ROUND(F7+F32,2)</f>
        <v>0</v>
      </c>
      <c r="G33" s="32"/>
      <c r="H33" s="33">
        <f>ROUND(H7+H32,2)</f>
        <v>0</v>
      </c>
    </row>
    <row r="34" spans="1:8" ht="8.25" customHeight="1">
      <c r="A34" s="3"/>
      <c r="B34" s="3"/>
      <c r="C34" s="3"/>
      <c r="D34" s="3"/>
      <c r="E34" s="3"/>
      <c r="F34" s="3"/>
      <c r="G34" s="3"/>
      <c r="H34" s="3"/>
    </row>
    <row r="35" spans="2:7" ht="14.25" customHeight="1">
      <c r="B35" s="42"/>
      <c r="C35" s="63"/>
      <c r="E35" s="34"/>
      <c r="G35" s="34"/>
    </row>
    <row r="36" spans="2:8" ht="14.25" customHeight="1">
      <c r="B36" s="42"/>
      <c r="C36" s="42"/>
      <c r="E36" s="34"/>
      <c r="F36" s="35"/>
      <c r="G36" s="34"/>
      <c r="H36" s="35"/>
    </row>
    <row r="37" spans="2:8" ht="18.75" customHeight="1">
      <c r="B37" s="42"/>
      <c r="C37" s="42"/>
      <c r="E37" s="34"/>
      <c r="F37" s="64"/>
      <c r="G37" s="34"/>
      <c r="H37" s="64"/>
    </row>
    <row r="38" ht="14.25">
      <c r="C38" s="65"/>
    </row>
    <row r="39" ht="14.25">
      <c r="C39" s="65"/>
    </row>
    <row r="40" ht="14.25">
      <c r="C40" s="65"/>
    </row>
    <row r="41" ht="14.25">
      <c r="C41" s="65"/>
    </row>
    <row r="42" ht="14.25">
      <c r="C42" s="65"/>
    </row>
  </sheetData>
  <mergeCells count="2">
    <mergeCell ref="A2:H2"/>
    <mergeCell ref="A3:H3"/>
  </mergeCells>
  <printOptions/>
  <pageMargins left="0.43" right="0.17" top="0.48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1">
      <selection activeCell="D38" sqref="D38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86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12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28</v>
      </c>
      <c r="C17" s="36"/>
      <c r="D17" s="17">
        <f>6900000+1070765.02</f>
        <v>7970765.02</v>
      </c>
      <c r="E17" s="53"/>
      <c r="F17" s="22">
        <v>200000</v>
      </c>
      <c r="G17" s="53"/>
      <c r="H17" s="18">
        <f>35000+70968.47</f>
        <v>105968.47</v>
      </c>
      <c r="I17" s="14"/>
    </row>
    <row r="18" spans="1:9" ht="12.75">
      <c r="A18" s="15">
        <v>12</v>
      </c>
      <c r="B18" s="16" t="s">
        <v>29</v>
      </c>
      <c r="C18" s="36"/>
      <c r="D18" s="17">
        <f>6565000-211000</f>
        <v>6354000</v>
      </c>
      <c r="E18" s="22"/>
      <c r="F18" s="22">
        <v>200000</v>
      </c>
      <c r="G18" s="22"/>
      <c r="H18" s="18">
        <v>35000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22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f>13465000-211000</f>
        <v>13254000</v>
      </c>
      <c r="D20" s="20">
        <f>ROUND(D17+D18+D19,2)</f>
        <v>14324765.02</v>
      </c>
      <c r="E20" s="12">
        <v>523000</v>
      </c>
      <c r="F20" s="20">
        <f>ROUND(F17+F18+F19,2)</f>
        <v>523000</v>
      </c>
      <c r="G20" s="12">
        <v>110000</v>
      </c>
      <c r="H20" s="21">
        <f>ROUND(H17+H18+H19,2)</f>
        <v>180968.47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54539000</v>
      </c>
      <c r="D21" s="20">
        <f>ROUND(D16+D20,2)</f>
        <v>54539000</v>
      </c>
      <c r="E21" s="12">
        <f>E16+E20</f>
        <v>1560000</v>
      </c>
      <c r="F21" s="20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f>6830000-6830000</f>
        <v>0</v>
      </c>
      <c r="E22" s="22"/>
      <c r="F22" s="22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0</v>
      </c>
      <c r="E25" s="12">
        <v>147000</v>
      </c>
      <c r="F25" s="12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12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90</v>
      </c>
      <c r="B27" s="27" t="s">
        <v>38</v>
      </c>
      <c r="C27" s="27"/>
      <c r="D27" s="24">
        <f>ROUND(D8+D9+D10+D12+D13+D14,2)</f>
        <v>40214234.98</v>
      </c>
      <c r="E27" s="24"/>
      <c r="F27" s="24">
        <f>ROUND(F8+F9+F10+F12+F13+F14,2)</f>
        <v>1037000</v>
      </c>
      <c r="G27" s="24"/>
      <c r="H27" s="26">
        <f>ROUND(H8+H9+H10+H12+H13+H14,2)</f>
        <v>72031.53</v>
      </c>
      <c r="I27" s="14"/>
    </row>
    <row r="28" spans="1:9" ht="12.75">
      <c r="A28" s="15" t="s">
        <v>11</v>
      </c>
      <c r="B28" s="25" t="s">
        <v>91</v>
      </c>
      <c r="C28" s="25"/>
      <c r="D28" s="24">
        <f>ROUND(D7-D27,2)</f>
        <v>14324765.02</v>
      </c>
      <c r="E28" s="24"/>
      <c r="F28" s="24">
        <f>ROUND(F7-F27,2)</f>
        <v>670000</v>
      </c>
      <c r="G28" s="24"/>
      <c r="H28" s="26">
        <f>ROUND(H7-H27,2)</f>
        <v>290968.47</v>
      </c>
      <c r="I28" s="14"/>
    </row>
    <row r="29" spans="1:9" s="72" customFormat="1" ht="12.75">
      <c r="A29" s="56">
        <v>23</v>
      </c>
      <c r="B29" s="57" t="s">
        <v>92</v>
      </c>
      <c r="C29" s="57"/>
      <c r="D29" s="58">
        <v>0</v>
      </c>
      <c r="E29" s="58"/>
      <c r="F29" s="58">
        <v>81666.41</v>
      </c>
      <c r="G29" s="58"/>
      <c r="H29" s="60">
        <v>0</v>
      </c>
      <c r="I29" s="71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ROUND((D27+D29)/6,2)</f>
        <v>6702372.5</v>
      </c>
      <c r="E32" s="22"/>
      <c r="F32" s="22">
        <f>ROUND((F27+F29)/6,2)</f>
        <v>186444.4</v>
      </c>
      <c r="G32" s="22"/>
      <c r="H32" s="18">
        <f>ROUND((H27+H29)/6,2)</f>
        <v>12005.26</v>
      </c>
      <c r="I32" s="14"/>
    </row>
    <row r="33" spans="1:9" ht="25.5">
      <c r="A33" s="15" t="s">
        <v>73</v>
      </c>
      <c r="B33" s="27" t="s">
        <v>45</v>
      </c>
      <c r="C33" s="27"/>
      <c r="D33" s="28">
        <f>ROUND(D32*12-D7,2)</f>
        <v>25889470</v>
      </c>
      <c r="E33" s="28"/>
      <c r="F33" s="28">
        <f>ROUND(F32*12-F7,2)</f>
        <v>530332.8</v>
      </c>
      <c r="G33" s="28"/>
      <c r="H33" s="29">
        <f>ROUND(H32*12-H7,2)</f>
        <v>-218936.88</v>
      </c>
      <c r="I33" s="14"/>
    </row>
    <row r="34" spans="1:8" s="34" customFormat="1" ht="13.5" thickBot="1">
      <c r="A34" s="30" t="s">
        <v>74</v>
      </c>
      <c r="B34" s="31" t="s">
        <v>47</v>
      </c>
      <c r="C34" s="31"/>
      <c r="D34" s="32">
        <f>ROUND(D7+D33,2)</f>
        <v>80428470</v>
      </c>
      <c r="E34" s="32"/>
      <c r="F34" s="32">
        <f>ROUND(F7+F33,2)</f>
        <v>2237332.8</v>
      </c>
      <c r="G34" s="32"/>
      <c r="H34" s="33">
        <f>ROUND(H7+H33,2)</f>
        <v>144063.12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17" right="0.21" top="0.35" bottom="1" header="0.3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E40" sqref="E40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/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93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12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29</v>
      </c>
      <c r="C18" s="36"/>
      <c r="D18" s="17">
        <f>6565000-211000+1075678.93</f>
        <v>7429678.93</v>
      </c>
      <c r="E18" s="22"/>
      <c r="F18" s="22">
        <f>200000-69830.76</f>
        <v>130169.24</v>
      </c>
      <c r="G18" s="22"/>
      <c r="H18" s="18">
        <f>35000+89139.31</f>
        <v>124139.31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22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f>13465000-211000</f>
        <v>13254000</v>
      </c>
      <c r="D20" s="20">
        <f>ROUND(D17+D18+D19,2)</f>
        <v>14324765.02</v>
      </c>
      <c r="E20" s="12">
        <v>523000</v>
      </c>
      <c r="F20" s="20">
        <f>ROUND(F17+F18+F19,2)</f>
        <v>523000</v>
      </c>
      <c r="G20" s="12">
        <v>110000</v>
      </c>
      <c r="H20" s="21">
        <f>ROUND(H17+H18+H19,2)</f>
        <v>180968.47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54539000</v>
      </c>
      <c r="D21" s="20">
        <f>ROUND(D16+D20,2)</f>
        <v>54539000</v>
      </c>
      <c r="E21" s="12">
        <f>E16+E20</f>
        <v>1560000</v>
      </c>
      <c r="F21" s="20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f>6830000-6830000</f>
        <v>0</v>
      </c>
      <c r="E22" s="22"/>
      <c r="F22" s="22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0</v>
      </c>
      <c r="E25" s="12">
        <v>147000</v>
      </c>
      <c r="F25" s="12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12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95</v>
      </c>
      <c r="B27" s="27" t="s">
        <v>38</v>
      </c>
      <c r="C27" s="27"/>
      <c r="D27" s="24">
        <f>ROUND(D8+D9+D10+D12+D13+D14+D17,2)</f>
        <v>47109321.07</v>
      </c>
      <c r="E27" s="24"/>
      <c r="F27" s="24">
        <f>ROUND(F8+F9+F10+F12+F13+F14+F17,2)</f>
        <v>1306830.76</v>
      </c>
      <c r="G27" s="24"/>
      <c r="H27" s="26">
        <f>ROUND(H8+H9+H10+H12+H13+H14+H17,2)</f>
        <v>88860.69</v>
      </c>
      <c r="I27" s="14"/>
    </row>
    <row r="28" spans="1:9" ht="12.75">
      <c r="A28" s="15" t="s">
        <v>11</v>
      </c>
      <c r="B28" s="25" t="s">
        <v>96</v>
      </c>
      <c r="C28" s="25"/>
      <c r="D28" s="24">
        <f>ROUND(D7-D27,2)</f>
        <v>7429678.93</v>
      </c>
      <c r="E28" s="24"/>
      <c r="F28" s="24">
        <f>ROUND(F7-F27,2)</f>
        <v>400169.24</v>
      </c>
      <c r="G28" s="24"/>
      <c r="H28" s="26">
        <f>ROUND(H7-H27,2)</f>
        <v>274139.31</v>
      </c>
      <c r="I28" s="14"/>
    </row>
    <row r="29" spans="1:9" s="72" customFormat="1" ht="12.75">
      <c r="A29" s="56">
        <v>23</v>
      </c>
      <c r="B29" s="57" t="s">
        <v>97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ROUND((D27+D29)/7,2)</f>
        <v>6729903.01</v>
      </c>
      <c r="E32" s="22"/>
      <c r="F32" s="22">
        <f>ROUND((F27+F29)/7,2)</f>
        <v>186690.11</v>
      </c>
      <c r="G32" s="22"/>
      <c r="H32" s="18">
        <f>ROUND((H27+H29)/7,2)</f>
        <v>12694.38</v>
      </c>
      <c r="I32" s="14"/>
    </row>
    <row r="33" spans="1:9" ht="25.5">
      <c r="A33" s="15" t="s">
        <v>73</v>
      </c>
      <c r="B33" s="27" t="s">
        <v>45</v>
      </c>
      <c r="C33" s="27"/>
      <c r="D33" s="28">
        <f>ROUND(D32*12-D7,2)</f>
        <v>26219836.12</v>
      </c>
      <c r="E33" s="28"/>
      <c r="F33" s="28">
        <f>ROUND(F32*12-F7,2)</f>
        <v>533281.32</v>
      </c>
      <c r="G33" s="28"/>
      <c r="H33" s="29">
        <f>ROUND(H32*12-H7,2)</f>
        <v>-210667.44</v>
      </c>
      <c r="I33" s="14"/>
    </row>
    <row r="34" spans="1:8" s="34" customFormat="1" ht="13.5" thickBot="1">
      <c r="A34" s="30" t="s">
        <v>74</v>
      </c>
      <c r="B34" s="31" t="s">
        <v>47</v>
      </c>
      <c r="C34" s="31"/>
      <c r="D34" s="32">
        <f>ROUND(D7+D33,2)</f>
        <v>80758836.12</v>
      </c>
      <c r="E34" s="32"/>
      <c r="F34" s="32">
        <f>ROUND(F7+F33,2)</f>
        <v>2240281.32</v>
      </c>
      <c r="G34" s="32"/>
      <c r="H34" s="33">
        <f>ROUND(H7+H33,2)</f>
        <v>152332.56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43" right="0.17" top="0.22" bottom="1" header="0.19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8">
      <selection activeCell="E40" sqref="E40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/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98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60569000</v>
      </c>
      <c r="D7" s="12">
        <f>20063000+34476000+6030000</f>
        <v>60569000</v>
      </c>
      <c r="E7" s="20">
        <f>ROUND(E11+E15+E20+E25,2)</f>
        <v>2400000</v>
      </c>
      <c r="F7" s="12">
        <f>516000+1191000+693000</f>
        <v>2400000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30</v>
      </c>
      <c r="C19" s="22"/>
      <c r="D19" s="17">
        <f>1009720.05+6030000</f>
        <v>7039720.05</v>
      </c>
      <c r="E19" s="24"/>
      <c r="F19" s="22">
        <f>123000-59433.47+146830</f>
        <v>210396.53</v>
      </c>
      <c r="G19" s="24"/>
      <c r="H19" s="18">
        <f>40000+106656.58</f>
        <v>146656.58000000002</v>
      </c>
      <c r="I19" s="14"/>
    </row>
    <row r="20" spans="1:9" s="1" customFormat="1" ht="12.75">
      <c r="A20" s="19" t="s">
        <v>7</v>
      </c>
      <c r="B20" s="52" t="s">
        <v>31</v>
      </c>
      <c r="C20" s="12">
        <f>13465000-211000+6030000</f>
        <v>19284000</v>
      </c>
      <c r="D20" s="20">
        <f>ROUND(D17+D18+D19,2)</f>
        <v>20354765.02</v>
      </c>
      <c r="E20" s="12">
        <f>523000+146830</f>
        <v>669830</v>
      </c>
      <c r="F20" s="20">
        <f>ROUND(F17+F18+F19,2)</f>
        <v>669830</v>
      </c>
      <c r="G20" s="12">
        <v>110000</v>
      </c>
      <c r="H20" s="21">
        <f>ROUND(H17+H18+H19,2)</f>
        <v>180968.47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60569000</v>
      </c>
      <c r="D21" s="20">
        <f>ROUND(D16+D20,2)</f>
        <v>60569000</v>
      </c>
      <c r="E21" s="12">
        <f>E16+E20</f>
        <v>1706830</v>
      </c>
      <c r="F21" s="20">
        <f>ROUND(F16+F20,2)</f>
        <v>1706830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f>6830000-6830000</f>
        <v>0</v>
      </c>
      <c r="E22" s="22"/>
      <c r="F22" s="22">
        <f>147000+84000</f>
        <v>231000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231000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231170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0</v>
      </c>
      <c r="E25" s="12">
        <f>147000+546170</f>
        <v>693170</v>
      </c>
      <c r="F25" s="12">
        <f>F22+F23+F24</f>
        <v>693170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60569000</v>
      </c>
      <c r="D26" s="12">
        <f t="shared" si="1"/>
        <v>60569000</v>
      </c>
      <c r="E26" s="12">
        <f t="shared" si="1"/>
        <v>2400000</v>
      </c>
      <c r="F26" s="12">
        <f t="shared" si="1"/>
        <v>2400000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100</v>
      </c>
      <c r="B27" s="27" t="s">
        <v>38</v>
      </c>
      <c r="C27" s="27"/>
      <c r="D27" s="24">
        <f>ROUND(D8+D9+D10+D12+D13+D14+D17+D18,2)</f>
        <v>53529279.95</v>
      </c>
      <c r="E27" s="24"/>
      <c r="F27" s="24">
        <f>ROUND(F8+F9+F10+F12+F13+F14+F17+F18,2)</f>
        <v>1496433.47</v>
      </c>
      <c r="G27" s="24"/>
      <c r="H27" s="26">
        <f>ROUND(H8+H9+H10+H12+H13+H14+H17+H18,2)</f>
        <v>106343.42</v>
      </c>
      <c r="I27" s="14"/>
    </row>
    <row r="28" spans="1:9" ht="12.75">
      <c r="A28" s="15" t="s">
        <v>11</v>
      </c>
      <c r="B28" s="25" t="s">
        <v>101</v>
      </c>
      <c r="C28" s="25"/>
      <c r="D28" s="24">
        <f>ROUND(D7-D27,2)</f>
        <v>7039720.05</v>
      </c>
      <c r="E28" s="24"/>
      <c r="F28" s="24">
        <f>ROUND(F7-F27,2)</f>
        <v>903566.53</v>
      </c>
      <c r="G28" s="24"/>
      <c r="H28" s="26">
        <f>ROUND(H7-H27,2)</f>
        <v>256656.58</v>
      </c>
      <c r="I28" s="14"/>
    </row>
    <row r="29" spans="1:9" s="72" customFormat="1" ht="12.75">
      <c r="A29" s="56">
        <v>23</v>
      </c>
      <c r="B29" s="57" t="s">
        <v>102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ROUND((D27+D29)/8,2)</f>
        <v>6691159.99</v>
      </c>
      <c r="E32" s="22"/>
      <c r="F32" s="22">
        <f>ROUND((F27+F29)/8,2)</f>
        <v>187054.18</v>
      </c>
      <c r="G32" s="22"/>
      <c r="H32" s="18">
        <f>ROUND((H27+H29)/8,2)</f>
        <v>13292.93</v>
      </c>
      <c r="I32" s="14"/>
    </row>
    <row r="33" spans="1:9" ht="25.5">
      <c r="A33" s="15" t="s">
        <v>73</v>
      </c>
      <c r="B33" s="27" t="s">
        <v>45</v>
      </c>
      <c r="C33" s="27"/>
      <c r="D33" s="28">
        <f>ROUND(D32*12-D7,2)</f>
        <v>19724919.88</v>
      </c>
      <c r="E33" s="28"/>
      <c r="F33" s="28">
        <f>ROUND(F32*12-F7,2)</f>
        <v>-155349.84</v>
      </c>
      <c r="G33" s="28"/>
      <c r="H33" s="29">
        <f>ROUND(H32*12-H7,2)</f>
        <v>-203484.84</v>
      </c>
      <c r="I33" s="14"/>
    </row>
    <row r="34" spans="1:8" s="34" customFormat="1" ht="13.5" thickBot="1">
      <c r="A34" s="30" t="s">
        <v>74</v>
      </c>
      <c r="B34" s="31" t="s">
        <v>47</v>
      </c>
      <c r="C34" s="31"/>
      <c r="D34" s="32">
        <f>ROUND(D7+D33,2)</f>
        <v>80293919.88</v>
      </c>
      <c r="E34" s="32"/>
      <c r="F34" s="32">
        <f>ROUND(F7+F33,2)</f>
        <v>2244650.16</v>
      </c>
      <c r="G34" s="32"/>
      <c r="H34" s="33">
        <f>ROUND(H7+H33,2)</f>
        <v>159515.16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F41" sqref="F41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103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60569000</v>
      </c>
      <c r="D7" s="12">
        <f>20063000+34476000+6030000</f>
        <v>60569000</v>
      </c>
      <c r="E7" s="20">
        <f>ROUND(E11+E15+E20+E25,2)</f>
        <v>2400000</v>
      </c>
      <c r="F7" s="12">
        <f>516000+1191000+693000</f>
        <v>2400000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v>110000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253000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33</v>
      </c>
      <c r="C22" s="22"/>
      <c r="D22" s="22">
        <v>670639.56</v>
      </c>
      <c r="E22" s="22"/>
      <c r="F22" s="22">
        <f>147000+84000</f>
        <v>231000</v>
      </c>
      <c r="G22" s="22"/>
      <c r="H22" s="18">
        <f>35000+128847.07</f>
        <v>163847.07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231000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f>231170-151050+177248.71</f>
        <v>257368.71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670639.56</v>
      </c>
      <c r="E25" s="12">
        <f>147000+546170-151050</f>
        <v>542120</v>
      </c>
      <c r="F25" s="12">
        <f>F22+F23+F24</f>
        <v>719368.71</v>
      </c>
      <c r="G25" s="12">
        <v>110000</v>
      </c>
      <c r="H25" s="13">
        <f>H22+H23+H24</f>
        <v>238847.07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60569000</v>
      </c>
      <c r="D26" s="12">
        <f t="shared" si="1"/>
        <v>60569000</v>
      </c>
      <c r="E26" s="12">
        <f t="shared" si="1"/>
        <v>2400000</v>
      </c>
      <c r="F26" s="12">
        <f t="shared" si="1"/>
        <v>2400000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107</v>
      </c>
      <c r="B27" s="27" t="s">
        <v>38</v>
      </c>
      <c r="C27" s="27"/>
      <c r="D27" s="24">
        <f>ROUND(D8+D9+D10+D12+D13+D14+D17+D18+D19,2)</f>
        <v>59898360.44</v>
      </c>
      <c r="E27" s="24"/>
      <c r="F27" s="24">
        <f>ROUND(F8+F9+F10+F12+F13+F14+F17+F18+F19,2)</f>
        <v>1680631.29</v>
      </c>
      <c r="G27" s="24"/>
      <c r="H27" s="26">
        <f>ROUND(H8+H9+H10+H12+H13+H14+H17+H18+H19,2)</f>
        <v>124152.93</v>
      </c>
      <c r="I27" s="14"/>
    </row>
    <row r="28" spans="1:9" ht="12.75">
      <c r="A28" s="15" t="s">
        <v>11</v>
      </c>
      <c r="B28" s="25" t="s">
        <v>108</v>
      </c>
      <c r="C28" s="25"/>
      <c r="D28" s="24">
        <f>ROUND(D7-D27,2)</f>
        <v>670639.56</v>
      </c>
      <c r="E28" s="24"/>
      <c r="F28" s="24">
        <f>ROUND(F7-F27,2)</f>
        <v>719368.71</v>
      </c>
      <c r="G28" s="24"/>
      <c r="H28" s="26">
        <f>ROUND(H7-H27,2)</f>
        <v>238847.07</v>
      </c>
      <c r="I28" s="14"/>
    </row>
    <row r="29" spans="1:9" s="72" customFormat="1" ht="12.75">
      <c r="A29" s="56">
        <v>23</v>
      </c>
      <c r="B29" s="57" t="s">
        <v>109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ROUND((D27+D29)/9,2)</f>
        <v>6655373.38</v>
      </c>
      <c r="E32" s="22"/>
      <c r="F32" s="22">
        <f>ROUND((F27+F29)/9,2)</f>
        <v>186736.81</v>
      </c>
      <c r="G32" s="22"/>
      <c r="H32" s="18">
        <f>ROUND((H27+H29)/9,2)</f>
        <v>13794.77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19295480.56</v>
      </c>
      <c r="E33" s="81"/>
      <c r="F33" s="81">
        <f>ROUND(F32*12-F7,2)</f>
        <v>-159158.28</v>
      </c>
      <c r="G33" s="81"/>
      <c r="H33" s="82">
        <f>ROUND(H32*12-H7,2)</f>
        <v>-197462.76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79864480.56</v>
      </c>
      <c r="E34" s="85"/>
      <c r="F34" s="85">
        <f>ROUND(F7+F33,2)</f>
        <v>2240841.72</v>
      </c>
      <c r="G34" s="85"/>
      <c r="H34" s="86">
        <f>ROUND(H7+H33,2)</f>
        <v>165537.24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B37" sqref="B37:H39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110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70021000</v>
      </c>
      <c r="D7" s="12">
        <f>20063000+34476000+6030000+9452000</f>
        <v>70021000</v>
      </c>
      <c r="E7" s="20">
        <f>ROUND(E11+E15+E20+E25,2)</f>
        <v>2400000</v>
      </c>
      <c r="F7" s="12">
        <f>516000+1191000+693000</f>
        <v>2400000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v>110000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253000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33</v>
      </c>
      <c r="C22" s="22"/>
      <c r="D22" s="87">
        <f>670639.56+6000000</f>
        <v>6670639.5600000005</v>
      </c>
      <c r="E22" s="22"/>
      <c r="F22" s="22">
        <f>147000+84000</f>
        <v>231000</v>
      </c>
      <c r="G22" s="22"/>
      <c r="H22" s="18">
        <f>35000+128847.07</f>
        <v>163847.07</v>
      </c>
      <c r="I22" s="14"/>
    </row>
    <row r="23" spans="1:12" ht="12.75">
      <c r="A23" s="15">
        <v>17</v>
      </c>
      <c r="B23" s="23" t="s">
        <v>34</v>
      </c>
      <c r="C23" s="22"/>
      <c r="D23" s="87">
        <v>3452000</v>
      </c>
      <c r="E23" s="24"/>
      <c r="F23" s="22">
        <v>231000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f>231170-151050+177248.71</f>
        <v>257368.71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v>9452000</v>
      </c>
      <c r="D25" s="12">
        <f>D22+D23+D24</f>
        <v>10122639.56</v>
      </c>
      <c r="E25" s="12">
        <f>147000+546170-151050</f>
        <v>542120</v>
      </c>
      <c r="F25" s="12">
        <f>F22+F23+F24</f>
        <v>719368.71</v>
      </c>
      <c r="G25" s="12">
        <v>110000</v>
      </c>
      <c r="H25" s="13">
        <f>H22+H23+H24</f>
        <v>238847.07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70021000</v>
      </c>
      <c r="D26" s="12">
        <f t="shared" si="1"/>
        <v>70021000</v>
      </c>
      <c r="E26" s="12">
        <f t="shared" si="1"/>
        <v>2400000</v>
      </c>
      <c r="F26" s="12">
        <f t="shared" si="1"/>
        <v>2400000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107</v>
      </c>
      <c r="B27" s="27" t="s">
        <v>38</v>
      </c>
      <c r="C27" s="27"/>
      <c r="D27" s="24">
        <f>ROUND(D8+D9+D10+D12+D13+D14+D17+D18+D19,2)</f>
        <v>59898360.44</v>
      </c>
      <c r="E27" s="24"/>
      <c r="F27" s="24">
        <f>ROUND(F8+F9+F10+F12+F13+F14+F17+F18+F19,2)</f>
        <v>1680631.29</v>
      </c>
      <c r="G27" s="24"/>
      <c r="H27" s="26">
        <f>ROUND(H8+H9+H10+H12+H13+H14+H17+H18+H19,2)</f>
        <v>124152.93</v>
      </c>
      <c r="I27" s="14"/>
    </row>
    <row r="28" spans="1:9" ht="12.75">
      <c r="A28" s="15" t="s">
        <v>11</v>
      </c>
      <c r="B28" s="25" t="s">
        <v>108</v>
      </c>
      <c r="C28" s="25"/>
      <c r="D28" s="24">
        <f>ROUND(D7-D27,2)</f>
        <v>10122639.56</v>
      </c>
      <c r="E28" s="24"/>
      <c r="F28" s="24">
        <f>ROUND(F7-F27,2)</f>
        <v>719368.71</v>
      </c>
      <c r="G28" s="24"/>
      <c r="H28" s="26">
        <f>ROUND(H7-H27,2)</f>
        <v>238847.07</v>
      </c>
      <c r="I28" s="14"/>
    </row>
    <row r="29" spans="1:9" s="72" customFormat="1" ht="12.75">
      <c r="A29" s="56">
        <v>23</v>
      </c>
      <c r="B29" s="57" t="s">
        <v>109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ROUND((D27+D29)/9,2)</f>
        <v>6655373.38</v>
      </c>
      <c r="E32" s="22"/>
      <c r="F32" s="22">
        <f>ROUND((F27+F29)/9,2)</f>
        <v>186736.81</v>
      </c>
      <c r="G32" s="22"/>
      <c r="H32" s="18">
        <f>ROUND((H27+H29)/9,2)</f>
        <v>13794.77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9843480.56</v>
      </c>
      <c r="E33" s="81"/>
      <c r="F33" s="81">
        <f>ROUND(F32*12-F7,2)</f>
        <v>-159158.28</v>
      </c>
      <c r="G33" s="81"/>
      <c r="H33" s="82">
        <f>ROUND(H32*12-H7,2)</f>
        <v>-197462.76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79864480.56</v>
      </c>
      <c r="E34" s="85"/>
      <c r="F34" s="85">
        <f>ROUND(F7+F33,2)</f>
        <v>2240841.72</v>
      </c>
      <c r="G34" s="85"/>
      <c r="H34" s="86">
        <f>ROUND(H7+H33,2)</f>
        <v>165537.24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5">
      <selection activeCell="C40" sqref="C40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111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70021000</v>
      </c>
      <c r="D7" s="12">
        <f>20063000+34476000+6030000+9452000</f>
        <v>70021000</v>
      </c>
      <c r="E7" s="20">
        <f>ROUND(E11+E15+E20+E25,2)</f>
        <v>2400000</v>
      </c>
      <c r="F7" s="12">
        <f>516000+1191000+693000</f>
        <v>2400000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v>110000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253000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112</v>
      </c>
      <c r="C22" s="22"/>
      <c r="D22" s="24">
        <f>670639.56+6000000+658524.77</f>
        <v>7329164.33</v>
      </c>
      <c r="E22" s="22"/>
      <c r="F22" s="22">
        <f>147000+84000-25544.76</f>
        <v>205455.24</v>
      </c>
      <c r="G22" s="22"/>
      <c r="H22" s="18">
        <f>35000+128847.07-142279.59</f>
        <v>21567.48000000001</v>
      </c>
      <c r="I22" s="14"/>
    </row>
    <row r="23" spans="1:12" ht="12.75">
      <c r="A23" s="15">
        <v>17</v>
      </c>
      <c r="B23" s="23" t="s">
        <v>34</v>
      </c>
      <c r="C23" s="22"/>
      <c r="D23" s="24">
        <f>3452000-658524.77</f>
        <v>2793475.23</v>
      </c>
      <c r="E23" s="24"/>
      <c r="F23" s="22">
        <f>231000+25544.76</f>
        <v>256544.76</v>
      </c>
      <c r="G23" s="24"/>
      <c r="H23" s="18">
        <f>35000+142279.59</f>
        <v>177279.59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f>231170-151050+177248.71</f>
        <v>257368.71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v>9452000</v>
      </c>
      <c r="D25" s="12">
        <f>D22+D23+D24</f>
        <v>10122639.56</v>
      </c>
      <c r="E25" s="12">
        <f>147000+546170-151050</f>
        <v>542120</v>
      </c>
      <c r="F25" s="12">
        <f>F22+F23+F24</f>
        <v>719368.71</v>
      </c>
      <c r="G25" s="12">
        <v>110000</v>
      </c>
      <c r="H25" s="13">
        <f>H22+H23+H24</f>
        <v>238847.07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70021000</v>
      </c>
      <c r="D26" s="12">
        <f t="shared" si="1"/>
        <v>70021000</v>
      </c>
      <c r="E26" s="12">
        <f t="shared" si="1"/>
        <v>2400000</v>
      </c>
      <c r="F26" s="12">
        <f t="shared" si="1"/>
        <v>2400000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113</v>
      </c>
      <c r="B27" s="27" t="s">
        <v>38</v>
      </c>
      <c r="C27" s="27"/>
      <c r="D27" s="24">
        <f>ROUND(D8+D9+D10+D12+D13+D14+D17+D18+D19+D22,2)</f>
        <v>67227524.77</v>
      </c>
      <c r="E27" s="24"/>
      <c r="F27" s="24">
        <f>ROUND(F8+F9+F10+F12+F13+F14+F17+F18+F19+F22,2)</f>
        <v>1886086.53</v>
      </c>
      <c r="G27" s="24"/>
      <c r="H27" s="26">
        <f>ROUND(H8+H9+H10+H12+H13+H14+H17+H18+H19+H22,2)</f>
        <v>145720.41</v>
      </c>
      <c r="I27" s="14"/>
    </row>
    <row r="28" spans="1:9" ht="12.75">
      <c r="A28" s="15" t="s">
        <v>11</v>
      </c>
      <c r="B28" s="25" t="s">
        <v>114</v>
      </c>
      <c r="C28" s="25"/>
      <c r="D28" s="24">
        <f>ROUND(D7-D27,2)</f>
        <v>2793475.23</v>
      </c>
      <c r="E28" s="24"/>
      <c r="F28" s="24">
        <f>ROUND(F7-F27,2)</f>
        <v>513913.47</v>
      </c>
      <c r="G28" s="24"/>
      <c r="H28" s="26">
        <f>ROUND(H7-H27,2)</f>
        <v>217279.59</v>
      </c>
      <c r="I28" s="14"/>
    </row>
    <row r="29" spans="1:9" s="72" customFormat="1" ht="12.75">
      <c r="A29" s="56">
        <v>23</v>
      </c>
      <c r="B29" s="57" t="s">
        <v>115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74" t="s">
        <v>116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ROUND((D27+D29)/10,2)</f>
        <v>6722752.48</v>
      </c>
      <c r="E32" s="22"/>
      <c r="F32" s="22">
        <f>ROUND((F27+F29)/10,2)</f>
        <v>188608.65</v>
      </c>
      <c r="G32" s="22"/>
      <c r="H32" s="18">
        <f>ROUND((H27+H29)/10,2)</f>
        <v>14572.04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10652029.76</v>
      </c>
      <c r="E33" s="81"/>
      <c r="F33" s="81">
        <f>ROUND(F32*12-F7,2)</f>
        <v>-136696.2</v>
      </c>
      <c r="G33" s="81"/>
      <c r="H33" s="82">
        <f>ROUND(H32*12-H7,2)</f>
        <v>-188135.52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80673029.76</v>
      </c>
      <c r="E34" s="85"/>
      <c r="F34" s="85">
        <f>ROUND(F7+F33,2)</f>
        <v>2263303.8</v>
      </c>
      <c r="G34" s="85"/>
      <c r="H34" s="86">
        <f>ROUND(H7+H33,2)</f>
        <v>174864.48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1">
      <selection activeCell="D36" sqref="D36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117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82228000</v>
      </c>
      <c r="D7" s="12">
        <f>20063000+34476000+6030000+9452000+12207000</f>
        <v>82228000</v>
      </c>
      <c r="E7" s="20">
        <f>ROUND(E11+E15+E20+E25,2)</f>
        <v>2386000</v>
      </c>
      <c r="F7" s="12">
        <f>516000+1191000+693000-14000</f>
        <v>2386000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v>110000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253000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112</v>
      </c>
      <c r="C22" s="22"/>
      <c r="D22" s="24">
        <f>670639.56+6000000+658524.77</f>
        <v>7329164.33</v>
      </c>
      <c r="E22" s="22"/>
      <c r="F22" s="22">
        <f>147000+84000-25544.76</f>
        <v>205455.24</v>
      </c>
      <c r="G22" s="22"/>
      <c r="H22" s="18">
        <f>35000+128847.07-142279.59</f>
        <v>21567.48000000001</v>
      </c>
      <c r="I22" s="14"/>
    </row>
    <row r="23" spans="1:12" ht="12.75">
      <c r="A23" s="15">
        <v>17</v>
      </c>
      <c r="B23" s="23" t="s">
        <v>34</v>
      </c>
      <c r="C23" s="22"/>
      <c r="D23" s="24">
        <f>3452000-658524.77+4500000</f>
        <v>7293475.23</v>
      </c>
      <c r="E23" s="24"/>
      <c r="F23" s="22">
        <f>231000+25544.76-14000</f>
        <v>242544.76</v>
      </c>
      <c r="G23" s="24"/>
      <c r="H23" s="18">
        <f>35000+142279.59</f>
        <v>177279.59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7707000</v>
      </c>
      <c r="E24" s="22"/>
      <c r="F24" s="22">
        <f>231170-151050+177248.71</f>
        <v>257368.71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9452000+12207000</f>
        <v>21659000</v>
      </c>
      <c r="D25" s="12">
        <f>D22+D23+D24</f>
        <v>22329639.560000002</v>
      </c>
      <c r="E25" s="12">
        <f>147000+546170-151050-14000</f>
        <v>528120</v>
      </c>
      <c r="F25" s="12">
        <f>F22+F23+F24</f>
        <v>705368.71</v>
      </c>
      <c r="G25" s="12">
        <v>110000</v>
      </c>
      <c r="H25" s="13">
        <f>H22+H23+H24</f>
        <v>238847.07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82228000</v>
      </c>
      <c r="D26" s="12">
        <f t="shared" si="1"/>
        <v>82228000</v>
      </c>
      <c r="E26" s="12">
        <f t="shared" si="1"/>
        <v>2386000</v>
      </c>
      <c r="F26" s="12">
        <f t="shared" si="1"/>
        <v>2386000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113</v>
      </c>
      <c r="B27" s="27" t="s">
        <v>38</v>
      </c>
      <c r="C27" s="27"/>
      <c r="D27" s="24">
        <f>ROUND(D8+D9+D10+D12+D13+D14+D17+D18+D19+D22,2)</f>
        <v>67227524.77</v>
      </c>
      <c r="E27" s="24"/>
      <c r="F27" s="24">
        <f>ROUND(F8+F9+F10+F12+F13+F14+F17+F18+F19+F22,2)</f>
        <v>1886086.53</v>
      </c>
      <c r="G27" s="24"/>
      <c r="H27" s="26">
        <f>ROUND(H8+H9+H10+H12+H13+H14+H17+H18+H19+H22,2)</f>
        <v>145720.41</v>
      </c>
      <c r="I27" s="14"/>
    </row>
    <row r="28" spans="1:9" ht="12.75">
      <c r="A28" s="15" t="s">
        <v>11</v>
      </c>
      <c r="B28" s="25" t="s">
        <v>114</v>
      </c>
      <c r="C28" s="25"/>
      <c r="D28" s="24">
        <f>ROUND(D7-D27,2)</f>
        <v>15000475.23</v>
      </c>
      <c r="E28" s="24"/>
      <c r="F28" s="24">
        <f>ROUND(F7-F27,2)</f>
        <v>499913.47</v>
      </c>
      <c r="G28" s="24"/>
      <c r="H28" s="26">
        <f>ROUND(H7-H27,2)</f>
        <v>217279.59</v>
      </c>
      <c r="I28" s="14"/>
    </row>
    <row r="29" spans="1:9" s="72" customFormat="1" ht="12.75">
      <c r="A29" s="56">
        <v>23</v>
      </c>
      <c r="B29" s="57" t="s">
        <v>115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74" t="s">
        <v>116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ROUND((D27+D29)/10,2)</f>
        <v>6722752.48</v>
      </c>
      <c r="E32" s="22"/>
      <c r="F32" s="22">
        <f>ROUND((F27+F29)/10,2)</f>
        <v>188608.65</v>
      </c>
      <c r="G32" s="22"/>
      <c r="H32" s="18">
        <f>ROUND((H27+H29)/10,2)</f>
        <v>14572.04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-1554970.24</v>
      </c>
      <c r="E33" s="81"/>
      <c r="F33" s="81">
        <f>ROUND(F32*12-F7,2)</f>
        <v>-122696.2</v>
      </c>
      <c r="G33" s="81"/>
      <c r="H33" s="82">
        <f>ROUND(H32*12-H7,2)</f>
        <v>-188135.52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80673029.76</v>
      </c>
      <c r="E34" s="85"/>
      <c r="F34" s="85">
        <f>ROUND(F7+F33,2)</f>
        <v>2263303.8</v>
      </c>
      <c r="G34" s="85"/>
      <c r="H34" s="86">
        <f>ROUND(H7+H33,2)</f>
        <v>174864.48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B37" sqref="B37:G38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118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82228000</v>
      </c>
      <c r="D7" s="12">
        <f>20063000+34476000+6030000+9452000+12207000</f>
        <v>82228000</v>
      </c>
      <c r="E7" s="20">
        <f>ROUND(E11+E15+E20+E25,2)</f>
        <v>2386000</v>
      </c>
      <c r="F7" s="12">
        <f>516000+1191000+693000-14000</f>
        <v>2386000</v>
      </c>
      <c r="G7" s="20">
        <f>ROUND(G11+G15+G20+G25,2)</f>
        <v>201000</v>
      </c>
      <c r="H7" s="13">
        <f>10000+13000+8000+332000-162000</f>
        <v>201000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f>112000-69000</f>
        <v>43000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74000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f>110000-57000</f>
        <v>53000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127000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112</v>
      </c>
      <c r="C22" s="22"/>
      <c r="D22" s="24">
        <f>670639.56+6000000+658524.77</f>
        <v>7329164.33</v>
      </c>
      <c r="E22" s="22"/>
      <c r="F22" s="22">
        <f>147000+84000-25544.76</f>
        <v>205455.24</v>
      </c>
      <c r="G22" s="22"/>
      <c r="H22" s="18">
        <f>35000+128847.07-142279.59</f>
        <v>21567.48000000001</v>
      </c>
      <c r="I22" s="14"/>
    </row>
    <row r="23" spans="1:12" ht="12.75">
      <c r="A23" s="15">
        <v>17</v>
      </c>
      <c r="B23" s="23" t="s">
        <v>119</v>
      </c>
      <c r="C23" s="22"/>
      <c r="D23" s="24">
        <f>3452000-658524.77+4500000-147428.84</f>
        <v>7146046.390000001</v>
      </c>
      <c r="E23" s="24"/>
      <c r="F23" s="22">
        <f>231000+25544.76-14000-33741.17</f>
        <v>208803.59000000003</v>
      </c>
      <c r="G23" s="24"/>
      <c r="H23" s="18">
        <f>35000+142279.59-152787.87</f>
        <v>24491.72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f>7707000+147428.84</f>
        <v>7854428.84</v>
      </c>
      <c r="E24" s="22"/>
      <c r="F24" s="22">
        <f>231170-151050+177248.71+33741.17</f>
        <v>291109.88</v>
      </c>
      <c r="G24" s="22"/>
      <c r="H24" s="18">
        <f>40000+152787.87-162000</f>
        <v>30787.869999999995</v>
      </c>
      <c r="I24" s="14"/>
    </row>
    <row r="25" spans="1:9" ht="12.75">
      <c r="A25" s="19" t="s">
        <v>9</v>
      </c>
      <c r="B25" s="43" t="s">
        <v>36</v>
      </c>
      <c r="C25" s="12">
        <f>9452000+12207000</f>
        <v>21659000</v>
      </c>
      <c r="D25" s="12">
        <f>D22+D23+D24</f>
        <v>22329639.560000002</v>
      </c>
      <c r="E25" s="12">
        <f>147000+546170-151050-14000</f>
        <v>528120</v>
      </c>
      <c r="F25" s="12">
        <f>F22+F23+F24</f>
        <v>705368.71</v>
      </c>
      <c r="G25" s="12">
        <f>110000-36000</f>
        <v>74000</v>
      </c>
      <c r="H25" s="13">
        <f>H22+H23+H24</f>
        <v>76847.07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82228000</v>
      </c>
      <c r="D26" s="12">
        <f t="shared" si="1"/>
        <v>82228000</v>
      </c>
      <c r="E26" s="12">
        <f t="shared" si="1"/>
        <v>2386000</v>
      </c>
      <c r="F26" s="12">
        <f t="shared" si="1"/>
        <v>2386000</v>
      </c>
      <c r="G26" s="12">
        <f t="shared" si="1"/>
        <v>201000</v>
      </c>
      <c r="H26" s="13">
        <f t="shared" si="1"/>
        <v>201000</v>
      </c>
      <c r="I26" s="14"/>
    </row>
    <row r="27" spans="1:9" ht="12.75">
      <c r="A27" s="55" t="s">
        <v>120</v>
      </c>
      <c r="B27" s="27" t="s">
        <v>38</v>
      </c>
      <c r="C27" s="27"/>
      <c r="D27" s="24">
        <f>ROUND(D8+D9+D10+D12+D13+D14+D17+D18+D19+D22+D23,2)</f>
        <v>74373571.16</v>
      </c>
      <c r="E27" s="24"/>
      <c r="F27" s="24">
        <f>ROUND(F8+F9+F10+F12+F13+F14+F17+F18+F19+F22+F23,2)</f>
        <v>2094890.12</v>
      </c>
      <c r="G27" s="24"/>
      <c r="H27" s="26">
        <f>ROUND(H8+H9+H10+H12+H13+H14+H17+H18+H19+H22+H23,2)</f>
        <v>170212.13</v>
      </c>
      <c r="I27" s="14"/>
    </row>
    <row r="28" spans="1:9" ht="12.75">
      <c r="A28" s="15" t="s">
        <v>11</v>
      </c>
      <c r="B28" s="25" t="s">
        <v>121</v>
      </c>
      <c r="C28" s="25"/>
      <c r="D28" s="24">
        <f>ROUND(D7-D27,2)</f>
        <v>7854428.84</v>
      </c>
      <c r="E28" s="24"/>
      <c r="F28" s="24">
        <f>ROUND(F7-F27,2)</f>
        <v>291109.88</v>
      </c>
      <c r="G28" s="24"/>
      <c r="H28" s="26">
        <f>ROUND(H7-H27,2)</f>
        <v>30787.87</v>
      </c>
      <c r="I28" s="14"/>
    </row>
    <row r="29" spans="1:9" s="72" customFormat="1" ht="12.75">
      <c r="A29" s="56">
        <v>23</v>
      </c>
      <c r="B29" s="57" t="s">
        <v>122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s="1" customFormat="1" ht="12.75">
      <c r="A30" s="15" t="s">
        <v>70</v>
      </c>
      <c r="B30" s="74" t="s">
        <v>116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ROUND((D27+D29)/11,2)</f>
        <v>6761233.74</v>
      </c>
      <c r="E32" s="22"/>
      <c r="F32" s="22">
        <f>ROUND((F27+F29)/11,2)</f>
        <v>190444.56</v>
      </c>
      <c r="G32" s="22"/>
      <c r="H32" s="18">
        <f>ROUND((H27+H29)/11,2)</f>
        <v>15473.83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-1093195.12</v>
      </c>
      <c r="E33" s="81"/>
      <c r="F33" s="81">
        <f>ROUND(F32*12-F7,2)</f>
        <v>-100665.28</v>
      </c>
      <c r="G33" s="81"/>
      <c r="H33" s="82">
        <f>ROUND(H32*12-H7,2)</f>
        <v>-15314.04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81134804.88</v>
      </c>
      <c r="E34" s="85"/>
      <c r="F34" s="85">
        <f>ROUND(F7+F33,2)</f>
        <v>2285334.72</v>
      </c>
      <c r="G34" s="85"/>
      <c r="H34" s="86">
        <f>ROUND(H7+H33,2)</f>
        <v>185685.96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0">
      <selection activeCell="E35" sqref="E35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123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82228000</v>
      </c>
      <c r="D7" s="12">
        <f>20063000+34476000+6030000+9452000+12207000</f>
        <v>82228000</v>
      </c>
      <c r="E7" s="20">
        <f>ROUND(E11+E15+E20+E25,2)</f>
        <v>2386000</v>
      </c>
      <c r="F7" s="12">
        <f>516000+1191000+693000-14000</f>
        <v>2386000</v>
      </c>
      <c r="G7" s="20">
        <f>ROUND(G11+G15+G20+G25,2)</f>
        <v>201000</v>
      </c>
      <c r="H7" s="13">
        <f>10000+13000+8000+332000-162000</f>
        <v>201000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87</v>
      </c>
      <c r="C14" s="50"/>
      <c r="D14" s="17">
        <f>7041000+418671.97-1070765.02</f>
        <v>6388906.949999999</v>
      </c>
      <c r="E14" s="17"/>
      <c r="F14" s="22">
        <f>131000-27377.18</f>
        <v>103622.82</v>
      </c>
      <c r="G14" s="17"/>
      <c r="H14" s="18">
        <f>42000+44572.21-70968.47</f>
        <v>15603.73999999999</v>
      </c>
      <c r="I14" s="14"/>
    </row>
    <row r="15" spans="1:9" ht="12.75">
      <c r="A15" s="51" t="s">
        <v>5</v>
      </c>
      <c r="B15" s="43" t="s">
        <v>88</v>
      </c>
      <c r="C15" s="12">
        <f>13659000+7041000</f>
        <v>20700000</v>
      </c>
      <c r="D15" s="20">
        <f>SUM(D12:D14)</f>
        <v>19629234.98</v>
      </c>
      <c r="E15" s="20">
        <v>521000</v>
      </c>
      <c r="F15" s="20">
        <f>SUM(F12:F14)</f>
        <v>521000</v>
      </c>
      <c r="G15" s="20">
        <f>112000-69000</f>
        <v>43000</v>
      </c>
      <c r="H15" s="21">
        <f>SUM(H12:H14)</f>
        <v>42399.67</v>
      </c>
      <c r="I15" s="14"/>
    </row>
    <row r="16" spans="1:9" s="1" customFormat="1" ht="12.75">
      <c r="A16" s="19" t="s">
        <v>6</v>
      </c>
      <c r="B16" s="52" t="s">
        <v>89</v>
      </c>
      <c r="C16" s="12">
        <f aca="true" t="shared" si="0" ref="C16:H16">C11+C15</f>
        <v>41285000</v>
      </c>
      <c r="D16" s="20">
        <f t="shared" si="0"/>
        <v>40214234.980000004</v>
      </c>
      <c r="E16" s="12">
        <f t="shared" si="0"/>
        <v>1037000</v>
      </c>
      <c r="F16" s="20">
        <f t="shared" si="0"/>
        <v>1037000</v>
      </c>
      <c r="G16" s="12">
        <f t="shared" si="0"/>
        <v>74000</v>
      </c>
      <c r="H16" s="21">
        <f t="shared" si="0"/>
        <v>72031.53</v>
      </c>
      <c r="I16" s="14"/>
    </row>
    <row r="17" spans="1:9" ht="12.75">
      <c r="A17" s="15">
        <v>11</v>
      </c>
      <c r="B17" s="16" t="s">
        <v>94</v>
      </c>
      <c r="C17" s="36"/>
      <c r="D17" s="17">
        <f>6900000+1070765.02-1075678.93</f>
        <v>6895086.09</v>
      </c>
      <c r="E17" s="53"/>
      <c r="F17" s="22">
        <f>200000+69830.76</f>
        <v>269830.76</v>
      </c>
      <c r="G17" s="53"/>
      <c r="H17" s="18">
        <f>35000+70968.47-89139.31</f>
        <v>16829.160000000003</v>
      </c>
      <c r="I17" s="14"/>
    </row>
    <row r="18" spans="1:9" ht="12.75">
      <c r="A18" s="15">
        <v>12</v>
      </c>
      <c r="B18" s="16" t="s">
        <v>99</v>
      </c>
      <c r="C18" s="36"/>
      <c r="D18" s="17">
        <f>6565000-211000+1075678.93-1009720.05</f>
        <v>6419958.88</v>
      </c>
      <c r="E18" s="22"/>
      <c r="F18" s="22">
        <f>200000-69830.76+59433.47</f>
        <v>189602.71000000002</v>
      </c>
      <c r="G18" s="22"/>
      <c r="H18" s="18">
        <f>35000+89139.31-106656.58</f>
        <v>17482.729999999996</v>
      </c>
      <c r="I18" s="14"/>
    </row>
    <row r="19" spans="1:9" ht="12.75">
      <c r="A19" s="15">
        <v>13</v>
      </c>
      <c r="B19" s="23" t="s">
        <v>104</v>
      </c>
      <c r="C19" s="22"/>
      <c r="D19" s="17">
        <f>1009720.05+6030000-670639.56</f>
        <v>6369080.49</v>
      </c>
      <c r="E19" s="24"/>
      <c r="F19" s="22">
        <f>123000-59433.47+146830+151050-177248.71</f>
        <v>184197.82000000004</v>
      </c>
      <c r="G19" s="24"/>
      <c r="H19" s="18">
        <f>40000+106656.58-128847.07</f>
        <v>17809.51000000001</v>
      </c>
      <c r="I19" s="14"/>
    </row>
    <row r="20" spans="1:9" s="1" customFormat="1" ht="12.75">
      <c r="A20" s="19" t="s">
        <v>7</v>
      </c>
      <c r="B20" s="52" t="s">
        <v>105</v>
      </c>
      <c r="C20" s="12">
        <f>13465000-211000+6030000</f>
        <v>19284000</v>
      </c>
      <c r="D20" s="20">
        <f>ROUND(D17+D18+D19,2)</f>
        <v>19684125.46</v>
      </c>
      <c r="E20" s="12">
        <f>523000+146830+151050</f>
        <v>820880</v>
      </c>
      <c r="F20" s="20">
        <f>ROUND(F17+F18+F19,2)</f>
        <v>643631.29</v>
      </c>
      <c r="G20" s="12">
        <f>110000-57000</f>
        <v>53000</v>
      </c>
      <c r="H20" s="21">
        <f>ROUND(H17+H18+H19,2)</f>
        <v>52121.4</v>
      </c>
      <c r="I20" s="14"/>
    </row>
    <row r="21" spans="1:9" s="1" customFormat="1" ht="12.75">
      <c r="A21" s="19" t="s">
        <v>8</v>
      </c>
      <c r="B21" s="52" t="s">
        <v>106</v>
      </c>
      <c r="C21" s="12">
        <f>C16+C20</f>
        <v>60569000</v>
      </c>
      <c r="D21" s="20">
        <f>ROUND(D16+D20,2)</f>
        <v>59898360.44</v>
      </c>
      <c r="E21" s="12">
        <f>E16+E20</f>
        <v>1857880</v>
      </c>
      <c r="F21" s="20">
        <f>ROUND(F16+F20,2)</f>
        <v>1680631.29</v>
      </c>
      <c r="G21" s="12">
        <f>G16+G20</f>
        <v>127000</v>
      </c>
      <c r="H21" s="21">
        <f>ROUND(H16+H20,2)</f>
        <v>124152.93</v>
      </c>
      <c r="I21" s="14"/>
    </row>
    <row r="22" spans="1:9" ht="12.75">
      <c r="A22" s="15">
        <v>16</v>
      </c>
      <c r="B22" s="54" t="s">
        <v>112</v>
      </c>
      <c r="C22" s="22"/>
      <c r="D22" s="24">
        <f>670639.56+6000000+658524.77</f>
        <v>7329164.33</v>
      </c>
      <c r="E22" s="22"/>
      <c r="F22" s="22">
        <f>147000+84000-25544.76</f>
        <v>205455.24</v>
      </c>
      <c r="G22" s="22"/>
      <c r="H22" s="18">
        <f>35000+128847.07-142279.59</f>
        <v>21567.48000000001</v>
      </c>
      <c r="I22" s="14"/>
    </row>
    <row r="23" spans="1:12" ht="12.75">
      <c r="A23" s="15">
        <v>17</v>
      </c>
      <c r="B23" s="23" t="s">
        <v>119</v>
      </c>
      <c r="C23" s="22"/>
      <c r="D23" s="24">
        <f>3452000-658524.77+4500000-147428.84</f>
        <v>7146046.390000001</v>
      </c>
      <c r="E23" s="24"/>
      <c r="F23" s="22">
        <f>231000+25544.76-14000-33741.17</f>
        <v>208803.59000000003</v>
      </c>
      <c r="G23" s="24"/>
      <c r="H23" s="18">
        <f>35000+142279.59-152787.87</f>
        <v>24491.72</v>
      </c>
      <c r="I23" s="14"/>
      <c r="L23" s="14"/>
    </row>
    <row r="24" spans="1:9" ht="12.75">
      <c r="A24" s="15">
        <v>18</v>
      </c>
      <c r="B24" s="23" t="s">
        <v>124</v>
      </c>
      <c r="C24" s="22"/>
      <c r="D24" s="22">
        <f>7707000+147428.84-1340699.85</f>
        <v>6513728.99</v>
      </c>
      <c r="E24" s="22"/>
      <c r="F24" s="22">
        <f>231170-151050+177248.71+33741.17-98969.33</f>
        <v>192140.55</v>
      </c>
      <c r="G24" s="22"/>
      <c r="H24" s="18">
        <f>40000+152787.87-162000-8893.61</f>
        <v>21894.259999999995</v>
      </c>
      <c r="I24" s="14"/>
    </row>
    <row r="25" spans="1:9" ht="12.75">
      <c r="A25" s="19" t="s">
        <v>9</v>
      </c>
      <c r="B25" s="43" t="s">
        <v>125</v>
      </c>
      <c r="C25" s="12">
        <f>9452000+12207000</f>
        <v>21659000</v>
      </c>
      <c r="D25" s="12">
        <f>D22+D23+D24</f>
        <v>20988939.71</v>
      </c>
      <c r="E25" s="12">
        <f>147000+546170-151050-14000</f>
        <v>528120</v>
      </c>
      <c r="F25" s="12">
        <f>F22+F23+F24</f>
        <v>606399.38</v>
      </c>
      <c r="G25" s="12">
        <f>110000-36000</f>
        <v>74000</v>
      </c>
      <c r="H25" s="13">
        <f>H22+H23+H24</f>
        <v>67953.46</v>
      </c>
      <c r="I25" s="14"/>
    </row>
    <row r="26" spans="1:9" ht="25.5">
      <c r="A26" s="19" t="s">
        <v>10</v>
      </c>
      <c r="B26" s="43" t="s">
        <v>126</v>
      </c>
      <c r="C26" s="12">
        <f aca="true" t="shared" si="1" ref="C26:H26">ROUND(C11+C15+C20+C25,2)</f>
        <v>82228000</v>
      </c>
      <c r="D26" s="12">
        <f t="shared" si="1"/>
        <v>80887300.15</v>
      </c>
      <c r="E26" s="12">
        <f t="shared" si="1"/>
        <v>2386000</v>
      </c>
      <c r="F26" s="12">
        <f t="shared" si="1"/>
        <v>2287030.67</v>
      </c>
      <c r="G26" s="12">
        <f t="shared" si="1"/>
        <v>201000</v>
      </c>
      <c r="H26" s="13">
        <f t="shared" si="1"/>
        <v>192106.39</v>
      </c>
      <c r="I26" s="14"/>
    </row>
    <row r="27" spans="1:9" ht="12.75">
      <c r="A27" s="55" t="s">
        <v>127</v>
      </c>
      <c r="B27" s="27" t="s">
        <v>38</v>
      </c>
      <c r="C27" s="27"/>
      <c r="D27" s="24">
        <f>ROUND(D8+D9+D10+D12+D13+D14+D17+D18+D19+D22+D23+D24,2)</f>
        <v>80887300.15</v>
      </c>
      <c r="E27" s="24"/>
      <c r="F27" s="24">
        <f>ROUND(F8+F9+F10+F12+F13+F14+F17+F18+F19+F22+F23+F24,2)</f>
        <v>2287030.67</v>
      </c>
      <c r="G27" s="24"/>
      <c r="H27" s="26">
        <f>ROUND(H8+H9+H10+H12+H13+H14+H17+H18+H19+H22+H23+H24,2)</f>
        <v>192106.39</v>
      </c>
      <c r="I27" s="14"/>
    </row>
    <row r="28" spans="1:9" ht="12.75">
      <c r="A28" s="15" t="s">
        <v>11</v>
      </c>
      <c r="B28" s="25" t="s">
        <v>128</v>
      </c>
      <c r="C28" s="25"/>
      <c r="D28" s="24">
        <f>ROUND(D7-D27,2)</f>
        <v>1340699.85</v>
      </c>
      <c r="E28" s="24"/>
      <c r="F28" s="24">
        <f>ROUND(F7-F27,2)</f>
        <v>98969.33</v>
      </c>
      <c r="G28" s="24"/>
      <c r="H28" s="26">
        <f>ROUND(H7-H27,2)</f>
        <v>8893.61</v>
      </c>
      <c r="I28" s="14"/>
    </row>
    <row r="29" spans="1:9" s="72" customFormat="1" ht="12.75">
      <c r="A29" s="56">
        <v>23</v>
      </c>
      <c r="B29" s="57" t="s">
        <v>129</v>
      </c>
      <c r="C29" s="57"/>
      <c r="D29" s="58">
        <v>0</v>
      </c>
      <c r="E29" s="58"/>
      <c r="F29" s="58">
        <v>0</v>
      </c>
      <c r="G29" s="58"/>
      <c r="H29" s="60">
        <v>0</v>
      </c>
      <c r="I29" s="71"/>
    </row>
    <row r="30" spans="1:9" ht="12.75">
      <c r="A30" s="15">
        <v>24</v>
      </c>
      <c r="B30" s="27" t="s">
        <v>54</v>
      </c>
      <c r="C30" s="27"/>
      <c r="D30" s="22">
        <v>6598595.96</v>
      </c>
      <c r="E30" s="22"/>
      <c r="F30" s="22">
        <v>143100.79</v>
      </c>
      <c r="G30" s="22"/>
      <c r="H30" s="18">
        <v>1190.41</v>
      </c>
      <c r="I30" s="14"/>
    </row>
    <row r="31" spans="1:9" ht="26.25" thickBot="1">
      <c r="A31" s="90" t="s">
        <v>130</v>
      </c>
      <c r="B31" s="91" t="s">
        <v>43</v>
      </c>
      <c r="C31" s="91"/>
      <c r="D31" s="92">
        <f>ROUND((D27+D29)/12,2)</f>
        <v>6740608.35</v>
      </c>
      <c r="E31" s="92"/>
      <c r="F31" s="92">
        <f>ROUND((F27+F29)/12,2)</f>
        <v>190585.89</v>
      </c>
      <c r="G31" s="92"/>
      <c r="H31" s="93">
        <f>ROUND((H27+H29)/12,2)</f>
        <v>16008.87</v>
      </c>
      <c r="I31" s="14"/>
    </row>
    <row r="32" spans="1:8" ht="8.25" customHeight="1">
      <c r="A32" s="3"/>
      <c r="B32" s="3"/>
      <c r="C32" s="3"/>
      <c r="D32" s="3"/>
      <c r="E32" s="3"/>
      <c r="F32" s="3"/>
      <c r="G32" s="3"/>
      <c r="H32" s="3"/>
    </row>
    <row r="33" spans="2:7" ht="14.25" customHeight="1">
      <c r="B33" s="42"/>
      <c r="C33" s="63"/>
      <c r="E33" s="34"/>
      <c r="G33" s="34"/>
    </row>
    <row r="34" spans="2:8" ht="14.25" customHeight="1">
      <c r="B34" s="42"/>
      <c r="C34" s="42"/>
      <c r="E34" s="34"/>
      <c r="F34" s="35"/>
      <c r="G34" s="34"/>
      <c r="H34" s="35"/>
    </row>
    <row r="35" spans="2:8" ht="18.75" customHeight="1">
      <c r="B35" s="42"/>
      <c r="C35" s="42"/>
      <c r="E35" s="34"/>
      <c r="F35" s="64"/>
      <c r="G35" s="34"/>
      <c r="H35" s="64"/>
    </row>
    <row r="36" ht="14.25">
      <c r="C36" s="65"/>
    </row>
    <row r="37" ht="14.25">
      <c r="C37" s="65"/>
    </row>
    <row r="38" ht="14.25">
      <c r="C38" s="65"/>
    </row>
    <row r="39" ht="14.25">
      <c r="C39" s="65"/>
    </row>
    <row r="40" ht="14.25">
      <c r="C40" s="65"/>
    </row>
  </sheetData>
  <mergeCells count="2">
    <mergeCell ref="A2:H2"/>
    <mergeCell ref="A3:H3"/>
  </mergeCells>
  <printOptions/>
  <pageMargins left="0.45" right="0.17" top="0.26" bottom="1" header="0.19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9" sqref="I9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49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56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20063000</v>
      </c>
      <c r="D7" s="12">
        <v>20063000</v>
      </c>
      <c r="E7" s="20">
        <f>ROUND(E11+E15+E20+E25,2)</f>
        <v>516000</v>
      </c>
      <c r="F7" s="47">
        <v>516000</v>
      </c>
      <c r="G7" s="20">
        <f>ROUND(G11+G15+G20+G25,2)</f>
        <v>10000</v>
      </c>
      <c r="H7" s="13">
        <v>10000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38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20</v>
      </c>
      <c r="C9" s="36"/>
      <c r="D9" s="17">
        <f>6700000-405742.58</f>
        <v>6294257.42</v>
      </c>
      <c r="E9" s="17"/>
      <c r="F9" s="38">
        <f>180000-9165.22</f>
        <v>170834.78</v>
      </c>
      <c r="G9" s="17"/>
      <c r="H9" s="18">
        <f>3400-729.17</f>
        <v>2670.83</v>
      </c>
      <c r="I9" s="14"/>
    </row>
    <row r="10" spans="1:9" ht="12.75">
      <c r="A10" s="7">
        <v>4</v>
      </c>
      <c r="B10" s="16" t="s">
        <v>21</v>
      </c>
      <c r="C10" s="36"/>
      <c r="D10" s="17">
        <v>6663000</v>
      </c>
      <c r="E10" s="17"/>
      <c r="F10" s="38">
        <v>156000</v>
      </c>
      <c r="G10" s="17"/>
      <c r="H10" s="18">
        <f>3200-3200</f>
        <v>0</v>
      </c>
      <c r="I10" s="14"/>
    </row>
    <row r="11" spans="1:9" s="1" customFormat="1" ht="12.75">
      <c r="A11" s="19" t="s">
        <v>4</v>
      </c>
      <c r="B11" s="43" t="s">
        <v>22</v>
      </c>
      <c r="C11" s="12">
        <v>20063000</v>
      </c>
      <c r="D11" s="20">
        <f>SUM(D8:D10)</f>
        <v>20063000</v>
      </c>
      <c r="E11" s="20">
        <v>516000</v>
      </c>
      <c r="F11" s="37">
        <f>SUM(F8:F10)</f>
        <v>516000</v>
      </c>
      <c r="G11" s="20">
        <v>10000</v>
      </c>
      <c r="H11" s="21">
        <f>SUM(H8:H10)</f>
        <v>10000</v>
      </c>
      <c r="I11" s="14"/>
    </row>
    <row r="12" spans="1:9" ht="12.75">
      <c r="A12" s="15">
        <v>6</v>
      </c>
      <c r="B12" s="48" t="s">
        <v>23</v>
      </c>
      <c r="C12" s="36"/>
      <c r="D12" s="17"/>
      <c r="E12" s="17"/>
      <c r="F12" s="38"/>
      <c r="G12" s="17"/>
      <c r="H12" s="18"/>
      <c r="I12" s="14"/>
    </row>
    <row r="13" spans="1:9" ht="12.75">
      <c r="A13" s="15">
        <v>7</v>
      </c>
      <c r="B13" s="16" t="s">
        <v>24</v>
      </c>
      <c r="C13" s="36"/>
      <c r="D13" s="17"/>
      <c r="E13" s="17"/>
      <c r="F13" s="38"/>
      <c r="G13" s="17"/>
      <c r="H13" s="18"/>
      <c r="I13" s="14"/>
    </row>
    <row r="14" spans="1:9" s="3" customFormat="1" ht="12.75">
      <c r="A14" s="15">
        <v>8</v>
      </c>
      <c r="B14" s="49" t="s">
        <v>25</v>
      </c>
      <c r="C14" s="50"/>
      <c r="D14" s="17"/>
      <c r="E14" s="17"/>
      <c r="F14" s="38"/>
      <c r="G14" s="17"/>
      <c r="H14" s="18"/>
      <c r="I14" s="14"/>
    </row>
    <row r="15" spans="1:9" ht="12.75">
      <c r="A15" s="51" t="s">
        <v>5</v>
      </c>
      <c r="B15" s="43" t="s">
        <v>26</v>
      </c>
      <c r="C15" s="12"/>
      <c r="D15" s="20">
        <f>SUM(D12:D14)</f>
        <v>0</v>
      </c>
      <c r="E15" s="20"/>
      <c r="F15" s="37">
        <f>SUM(F12:F14)</f>
        <v>0</v>
      </c>
      <c r="G15" s="20">
        <v>0</v>
      </c>
      <c r="H15" s="21">
        <f>SUM(H12:H14)</f>
        <v>0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20063000</v>
      </c>
      <c r="D16" s="20">
        <f t="shared" si="0"/>
        <v>20063000</v>
      </c>
      <c r="E16" s="12">
        <f t="shared" si="0"/>
        <v>516000</v>
      </c>
      <c r="F16" s="37">
        <f t="shared" si="0"/>
        <v>516000</v>
      </c>
      <c r="G16" s="12">
        <f t="shared" si="0"/>
        <v>10000</v>
      </c>
      <c r="H16" s="21">
        <f t="shared" si="0"/>
        <v>10000</v>
      </c>
      <c r="I16" s="14"/>
    </row>
    <row r="17" spans="1:9" ht="12.75">
      <c r="A17" s="15">
        <v>11</v>
      </c>
      <c r="B17" s="16" t="s">
        <v>28</v>
      </c>
      <c r="C17" s="36"/>
      <c r="D17" s="17"/>
      <c r="E17" s="53"/>
      <c r="F17" s="38"/>
      <c r="G17" s="53"/>
      <c r="H17" s="18"/>
      <c r="I17" s="14"/>
    </row>
    <row r="18" spans="1:9" ht="12.75">
      <c r="A18" s="15">
        <v>12</v>
      </c>
      <c r="B18" s="16" t="s">
        <v>29</v>
      </c>
      <c r="C18" s="36"/>
      <c r="D18" s="17"/>
      <c r="E18" s="22"/>
      <c r="F18" s="38"/>
      <c r="G18" s="22"/>
      <c r="H18" s="18"/>
      <c r="I18" s="14"/>
    </row>
    <row r="19" spans="1:9" ht="12.75">
      <c r="A19" s="15">
        <v>13</v>
      </c>
      <c r="B19" s="23" t="s">
        <v>30</v>
      </c>
      <c r="C19" s="22"/>
      <c r="D19" s="17"/>
      <c r="E19" s="24"/>
      <c r="F19" s="38"/>
      <c r="G19" s="24"/>
      <c r="H19" s="18"/>
      <c r="I19" s="14"/>
    </row>
    <row r="20" spans="1:9" s="1" customFormat="1" ht="12.75">
      <c r="A20" s="19" t="s">
        <v>7</v>
      </c>
      <c r="B20" s="52" t="s">
        <v>31</v>
      </c>
      <c r="C20" s="12"/>
      <c r="D20" s="20">
        <f>ROUND(D17+D18+D19,2)</f>
        <v>0</v>
      </c>
      <c r="E20" s="12"/>
      <c r="F20" s="37">
        <f>ROUND(F17+F18+F19,2)</f>
        <v>0</v>
      </c>
      <c r="G20" s="12">
        <v>0</v>
      </c>
      <c r="H20" s="21">
        <f>ROUND(H17+H18+H19,2)</f>
        <v>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20063000</v>
      </c>
      <c r="D21" s="20">
        <f>ROUND(D16+D20,2)</f>
        <v>20063000</v>
      </c>
      <c r="E21" s="12">
        <f>E16+E20</f>
        <v>516000</v>
      </c>
      <c r="F21" s="37">
        <f>ROUND(F16+F20,2)</f>
        <v>516000</v>
      </c>
      <c r="G21" s="12">
        <f>G16+G20</f>
        <v>10000</v>
      </c>
      <c r="H21" s="21">
        <f>ROUND(H16+H20,2)</f>
        <v>10000</v>
      </c>
      <c r="I21" s="14"/>
    </row>
    <row r="22" spans="1:9" ht="12.75">
      <c r="A22" s="15">
        <v>16</v>
      </c>
      <c r="B22" s="54" t="s">
        <v>33</v>
      </c>
      <c r="C22" s="22"/>
      <c r="D22" s="22"/>
      <c r="E22" s="22"/>
      <c r="F22" s="38"/>
      <c r="G22" s="22"/>
      <c r="H22" s="18"/>
      <c r="I22" s="14"/>
    </row>
    <row r="23" spans="1:12" ht="12.75">
      <c r="A23" s="15">
        <v>17</v>
      </c>
      <c r="B23" s="23" t="s">
        <v>34</v>
      </c>
      <c r="C23" s="22"/>
      <c r="D23" s="24"/>
      <c r="E23" s="24"/>
      <c r="F23" s="38"/>
      <c r="G23" s="24"/>
      <c r="H23" s="18"/>
      <c r="I23" s="14"/>
      <c r="L23" s="14"/>
    </row>
    <row r="24" spans="1:9" ht="12.75">
      <c r="A24" s="15">
        <v>18</v>
      </c>
      <c r="B24" s="23" t="s">
        <v>35</v>
      </c>
      <c r="C24" s="22"/>
      <c r="D24" s="22"/>
      <c r="E24" s="22"/>
      <c r="F24" s="38"/>
      <c r="G24" s="22"/>
      <c r="H24" s="18"/>
      <c r="I24" s="14"/>
    </row>
    <row r="25" spans="1:9" ht="12.75">
      <c r="A25" s="19" t="s">
        <v>9</v>
      </c>
      <c r="B25" s="43" t="s">
        <v>36</v>
      </c>
      <c r="C25" s="12"/>
      <c r="D25" s="12">
        <f>D22+D23+D24</f>
        <v>0</v>
      </c>
      <c r="E25" s="12"/>
      <c r="F25" s="47">
        <f>F22+F23+F24</f>
        <v>0</v>
      </c>
      <c r="G25" s="12"/>
      <c r="H25" s="13">
        <f>H22+H23+H24</f>
        <v>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20063000</v>
      </c>
      <c r="D26" s="12">
        <f t="shared" si="1"/>
        <v>20063000</v>
      </c>
      <c r="E26" s="12">
        <f t="shared" si="1"/>
        <v>516000</v>
      </c>
      <c r="F26" s="47">
        <f t="shared" si="1"/>
        <v>516000</v>
      </c>
      <c r="G26" s="12">
        <f t="shared" si="1"/>
        <v>10000</v>
      </c>
      <c r="H26" s="13">
        <f t="shared" si="1"/>
        <v>10000</v>
      </c>
      <c r="I26" s="14"/>
    </row>
    <row r="27" spans="1:9" ht="12.75">
      <c r="A27" s="55" t="s">
        <v>51</v>
      </c>
      <c r="B27" s="27" t="s">
        <v>38</v>
      </c>
      <c r="C27" s="27"/>
      <c r="D27" s="24">
        <f>ROUND(D8,2)</f>
        <v>7105742.58</v>
      </c>
      <c r="E27" s="24"/>
      <c r="F27" s="24">
        <f>ROUND(F8,2)</f>
        <v>189165.22</v>
      </c>
      <c r="G27" s="24"/>
      <c r="H27" s="26">
        <f>ROUND(H8,2)</f>
        <v>7329.17</v>
      </c>
      <c r="I27" s="14"/>
    </row>
    <row r="28" spans="1:9" ht="12.75">
      <c r="A28" s="15" t="s">
        <v>11</v>
      </c>
      <c r="B28" s="25" t="s">
        <v>52</v>
      </c>
      <c r="C28" s="25"/>
      <c r="D28" s="24">
        <f>ROUND(D7-D27,2)</f>
        <v>12957257.42</v>
      </c>
      <c r="E28" s="24"/>
      <c r="F28" s="39">
        <f>ROUND(F7-F27,2)</f>
        <v>326834.78</v>
      </c>
      <c r="G28" s="24"/>
      <c r="H28" s="26">
        <f>ROUND(H7-H27,2)</f>
        <v>2670.83</v>
      </c>
      <c r="I28" s="14"/>
    </row>
    <row r="29" spans="1:9" s="62" customFormat="1" ht="12.75">
      <c r="A29" s="56">
        <v>23</v>
      </c>
      <c r="B29" s="57" t="s">
        <v>53</v>
      </c>
      <c r="C29" s="57"/>
      <c r="D29" s="58">
        <v>0</v>
      </c>
      <c r="E29" s="58"/>
      <c r="F29" s="59">
        <v>0</v>
      </c>
      <c r="G29" s="58"/>
      <c r="H29" s="60">
        <v>0</v>
      </c>
      <c r="I29" s="61"/>
    </row>
    <row r="30" spans="1:9" ht="12.75">
      <c r="A30" s="15">
        <v>24</v>
      </c>
      <c r="B30" s="27" t="s">
        <v>54</v>
      </c>
      <c r="C30" s="27"/>
      <c r="D30" s="22">
        <v>6598595.96</v>
      </c>
      <c r="E30" s="22"/>
      <c r="F30" s="38">
        <v>143100.79</v>
      </c>
      <c r="G30" s="22"/>
      <c r="H30" s="18">
        <v>1190.41</v>
      </c>
      <c r="I30" s="14"/>
    </row>
    <row r="31" spans="1:9" ht="25.5">
      <c r="A31" s="15" t="s">
        <v>42</v>
      </c>
      <c r="B31" s="27" t="s">
        <v>43</v>
      </c>
      <c r="C31" s="27"/>
      <c r="D31" s="22">
        <f>ROUND((D27+D29)/1,2)</f>
        <v>7105742.58</v>
      </c>
      <c r="E31" s="22"/>
      <c r="F31" s="22">
        <f>ROUND((F27+F29)/1,2)</f>
        <v>189165.22</v>
      </c>
      <c r="G31" s="22"/>
      <c r="H31" s="18">
        <f>ROUND((H27+H29)/1,2)</f>
        <v>7329.17</v>
      </c>
      <c r="I31" s="14"/>
    </row>
    <row r="32" spans="1:9" ht="25.5">
      <c r="A32" s="15" t="s">
        <v>44</v>
      </c>
      <c r="B32" s="27" t="s">
        <v>45</v>
      </c>
      <c r="C32" s="27"/>
      <c r="D32" s="28">
        <f>ROUND(D31*12-D7,2)</f>
        <v>65205910.96</v>
      </c>
      <c r="E32" s="28"/>
      <c r="F32" s="40">
        <f>ROUND(F31*12-F7,2)</f>
        <v>1753982.64</v>
      </c>
      <c r="G32" s="28"/>
      <c r="H32" s="29">
        <f>ROUND(H31*12-H7,2)</f>
        <v>77950.04</v>
      </c>
      <c r="I32" s="14"/>
    </row>
    <row r="33" spans="1:8" s="34" customFormat="1" ht="13.5" thickBot="1">
      <c r="A33" s="30" t="s">
        <v>46</v>
      </c>
      <c r="B33" s="31" t="s">
        <v>47</v>
      </c>
      <c r="C33" s="31"/>
      <c r="D33" s="32">
        <f>ROUND(D7+D32,2)</f>
        <v>85268910.96</v>
      </c>
      <c r="E33" s="32"/>
      <c r="F33" s="41">
        <f>ROUND(F7+F32,2)</f>
        <v>2269982.64</v>
      </c>
      <c r="G33" s="32"/>
      <c r="H33" s="33">
        <f>ROUND(H7+H32,2)</f>
        <v>87950.04</v>
      </c>
    </row>
    <row r="34" spans="1:8" ht="8.25" customHeight="1">
      <c r="A34" s="3"/>
      <c r="B34" s="3"/>
      <c r="C34" s="3"/>
      <c r="D34" s="3"/>
      <c r="E34" s="3"/>
      <c r="F34" s="3"/>
      <c r="G34" s="3"/>
      <c r="H34" s="3"/>
    </row>
    <row r="35" spans="2:7" ht="14.25" customHeight="1">
      <c r="B35" s="42"/>
      <c r="C35" s="63"/>
      <c r="E35" s="34"/>
      <c r="G35" s="34"/>
    </row>
    <row r="36" spans="2:8" ht="14.25" customHeight="1">
      <c r="B36" s="42"/>
      <c r="C36" s="42"/>
      <c r="E36" s="34"/>
      <c r="F36" s="35"/>
      <c r="G36" s="34"/>
      <c r="H36" s="35"/>
    </row>
    <row r="37" spans="2:8" ht="18.75" customHeight="1">
      <c r="B37" s="42"/>
      <c r="C37" s="42"/>
      <c r="E37" s="34"/>
      <c r="F37" s="64"/>
      <c r="G37" s="34"/>
      <c r="H37" s="64"/>
    </row>
    <row r="38" ht="14.25">
      <c r="C38" s="65"/>
    </row>
    <row r="39" ht="14.25">
      <c r="C39" s="65"/>
    </row>
    <row r="40" ht="14.25">
      <c r="C40" s="65"/>
    </row>
    <row r="41" ht="14.25">
      <c r="C41" s="65"/>
    </row>
    <row r="42" ht="14.25">
      <c r="C42" s="65"/>
    </row>
  </sheetData>
  <mergeCells count="2">
    <mergeCell ref="A2:H2"/>
    <mergeCell ref="A3:H3"/>
  </mergeCells>
  <printOptions/>
  <pageMargins left="0.17" right="0.17" top="0.46" bottom="0.19" header="0.5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A4" sqref="A1:IV16384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55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56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20063000</v>
      </c>
      <c r="D7" s="12">
        <v>20063000</v>
      </c>
      <c r="E7" s="20">
        <f>ROUND(E11+E15+E20+E25,2)</f>
        <v>516000</v>
      </c>
      <c r="F7" s="47">
        <v>516000</v>
      </c>
      <c r="G7" s="20">
        <f>ROUND(G11+G15+G20+G25,2)</f>
        <v>23000</v>
      </c>
      <c r="H7" s="13">
        <f>10000+13000</f>
        <v>23000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38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20</v>
      </c>
      <c r="C9" s="36"/>
      <c r="D9" s="17">
        <f>6700000-405742.58</f>
        <v>6294257.42</v>
      </c>
      <c r="E9" s="17"/>
      <c r="F9" s="38">
        <f>180000-9165.22</f>
        <v>170834.78</v>
      </c>
      <c r="G9" s="17"/>
      <c r="H9" s="18">
        <f>3400-729.17+7829.17</f>
        <v>10500</v>
      </c>
      <c r="I9" s="14"/>
    </row>
    <row r="10" spans="1:9" ht="12.75">
      <c r="A10" s="7">
        <v>4</v>
      </c>
      <c r="B10" s="16" t="s">
        <v>21</v>
      </c>
      <c r="C10" s="36"/>
      <c r="D10" s="17">
        <v>6663000</v>
      </c>
      <c r="E10" s="17"/>
      <c r="F10" s="38">
        <v>156000</v>
      </c>
      <c r="G10" s="17"/>
      <c r="H10" s="18">
        <v>5170.83</v>
      </c>
      <c r="I10" s="14"/>
    </row>
    <row r="11" spans="1:9" s="1" customFormat="1" ht="12.75">
      <c r="A11" s="19" t="s">
        <v>4</v>
      </c>
      <c r="B11" s="43" t="s">
        <v>22</v>
      </c>
      <c r="C11" s="12">
        <v>20063000</v>
      </c>
      <c r="D11" s="20">
        <f>SUM(D8:D10)</f>
        <v>20063000</v>
      </c>
      <c r="E11" s="20">
        <v>516000</v>
      </c>
      <c r="F11" s="37">
        <f>SUM(F8:F10)</f>
        <v>516000</v>
      </c>
      <c r="G11" s="20">
        <v>23000</v>
      </c>
      <c r="H11" s="21">
        <f>SUM(H8:H10)</f>
        <v>23000</v>
      </c>
      <c r="I11" s="14"/>
    </row>
    <row r="12" spans="1:9" ht="12.75">
      <c r="A12" s="15">
        <v>6</v>
      </c>
      <c r="B12" s="48" t="s">
        <v>23</v>
      </c>
      <c r="C12" s="36"/>
      <c r="D12" s="17"/>
      <c r="E12" s="17"/>
      <c r="F12" s="38"/>
      <c r="G12" s="17"/>
      <c r="H12" s="18"/>
      <c r="I12" s="14"/>
    </row>
    <row r="13" spans="1:9" ht="12.75">
      <c r="A13" s="15">
        <v>7</v>
      </c>
      <c r="B13" s="16" t="s">
        <v>24</v>
      </c>
      <c r="C13" s="36"/>
      <c r="D13" s="17"/>
      <c r="E13" s="17"/>
      <c r="F13" s="38"/>
      <c r="G13" s="17"/>
      <c r="H13" s="18"/>
      <c r="I13" s="14"/>
    </row>
    <row r="14" spans="1:9" s="3" customFormat="1" ht="12.75">
      <c r="A14" s="15">
        <v>8</v>
      </c>
      <c r="B14" s="49" t="s">
        <v>25</v>
      </c>
      <c r="C14" s="50"/>
      <c r="D14" s="17"/>
      <c r="E14" s="17"/>
      <c r="F14" s="38"/>
      <c r="G14" s="17"/>
      <c r="H14" s="18"/>
      <c r="I14" s="14"/>
    </row>
    <row r="15" spans="1:9" ht="12.75">
      <c r="A15" s="51" t="s">
        <v>5</v>
      </c>
      <c r="B15" s="43" t="s">
        <v>26</v>
      </c>
      <c r="C15" s="12"/>
      <c r="D15" s="20">
        <f>SUM(D12:D14)</f>
        <v>0</v>
      </c>
      <c r="E15" s="20"/>
      <c r="F15" s="37">
        <f>SUM(F12:F14)</f>
        <v>0</v>
      </c>
      <c r="G15" s="20">
        <v>0</v>
      </c>
      <c r="H15" s="21">
        <f>SUM(H12:H14)</f>
        <v>0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20063000</v>
      </c>
      <c r="D16" s="20">
        <f t="shared" si="0"/>
        <v>20063000</v>
      </c>
      <c r="E16" s="12">
        <f t="shared" si="0"/>
        <v>516000</v>
      </c>
      <c r="F16" s="37">
        <f t="shared" si="0"/>
        <v>516000</v>
      </c>
      <c r="G16" s="12">
        <f t="shared" si="0"/>
        <v>23000</v>
      </c>
      <c r="H16" s="21">
        <f t="shared" si="0"/>
        <v>23000</v>
      </c>
      <c r="I16" s="14"/>
    </row>
    <row r="17" spans="1:9" ht="12.75">
      <c r="A17" s="15">
        <v>11</v>
      </c>
      <c r="B17" s="16" t="s">
        <v>28</v>
      </c>
      <c r="C17" s="36"/>
      <c r="D17" s="17"/>
      <c r="E17" s="53"/>
      <c r="F17" s="38"/>
      <c r="G17" s="53"/>
      <c r="H17" s="18"/>
      <c r="I17" s="14"/>
    </row>
    <row r="18" spans="1:9" ht="12.75">
      <c r="A18" s="15">
        <v>12</v>
      </c>
      <c r="B18" s="16" t="s">
        <v>29</v>
      </c>
      <c r="C18" s="36"/>
      <c r="D18" s="17"/>
      <c r="E18" s="22"/>
      <c r="F18" s="38"/>
      <c r="G18" s="22"/>
      <c r="H18" s="18"/>
      <c r="I18" s="14"/>
    </row>
    <row r="19" spans="1:9" ht="12.75">
      <c r="A19" s="15">
        <v>13</v>
      </c>
      <c r="B19" s="23" t="s">
        <v>30</v>
      </c>
      <c r="C19" s="22"/>
      <c r="D19" s="17"/>
      <c r="E19" s="24"/>
      <c r="F19" s="38"/>
      <c r="G19" s="24"/>
      <c r="H19" s="18"/>
      <c r="I19" s="14"/>
    </row>
    <row r="20" spans="1:9" s="1" customFormat="1" ht="12.75">
      <c r="A20" s="19" t="s">
        <v>7</v>
      </c>
      <c r="B20" s="52" t="s">
        <v>31</v>
      </c>
      <c r="C20" s="12"/>
      <c r="D20" s="20">
        <f>ROUND(D17+D18+D19,2)</f>
        <v>0</v>
      </c>
      <c r="E20" s="12"/>
      <c r="F20" s="37">
        <f>ROUND(F17+F18+F19,2)</f>
        <v>0</v>
      </c>
      <c r="G20" s="12">
        <v>0</v>
      </c>
      <c r="H20" s="21">
        <f>ROUND(H17+H18+H19,2)</f>
        <v>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20063000</v>
      </c>
      <c r="D21" s="20">
        <f>ROUND(D16+D20,2)</f>
        <v>20063000</v>
      </c>
      <c r="E21" s="12">
        <f>E16+E20</f>
        <v>516000</v>
      </c>
      <c r="F21" s="37">
        <f>ROUND(F16+F20,2)</f>
        <v>516000</v>
      </c>
      <c r="G21" s="12">
        <f>G16+G20</f>
        <v>23000</v>
      </c>
      <c r="H21" s="21">
        <f>ROUND(H16+H20,2)</f>
        <v>23000</v>
      </c>
      <c r="I21" s="14"/>
    </row>
    <row r="22" spans="1:9" ht="12.75">
      <c r="A22" s="15">
        <v>16</v>
      </c>
      <c r="B22" s="54" t="s">
        <v>33</v>
      </c>
      <c r="C22" s="22"/>
      <c r="D22" s="22"/>
      <c r="E22" s="22"/>
      <c r="F22" s="38"/>
      <c r="G22" s="22"/>
      <c r="H22" s="18"/>
      <c r="I22" s="14"/>
    </row>
    <row r="23" spans="1:12" ht="12.75">
      <c r="A23" s="15">
        <v>17</v>
      </c>
      <c r="B23" s="23" t="s">
        <v>34</v>
      </c>
      <c r="C23" s="22"/>
      <c r="D23" s="24"/>
      <c r="E23" s="24"/>
      <c r="F23" s="38"/>
      <c r="G23" s="24"/>
      <c r="H23" s="18"/>
      <c r="I23" s="14"/>
      <c r="L23" s="14"/>
    </row>
    <row r="24" spans="1:9" ht="12.75">
      <c r="A24" s="15">
        <v>18</v>
      </c>
      <c r="B24" s="23" t="s">
        <v>35</v>
      </c>
      <c r="C24" s="22"/>
      <c r="D24" s="22"/>
      <c r="E24" s="22"/>
      <c r="F24" s="38"/>
      <c r="G24" s="22"/>
      <c r="H24" s="18"/>
      <c r="I24" s="14"/>
    </row>
    <row r="25" spans="1:9" ht="12.75">
      <c r="A25" s="19" t="s">
        <v>9</v>
      </c>
      <c r="B25" s="43" t="s">
        <v>36</v>
      </c>
      <c r="C25" s="12"/>
      <c r="D25" s="12">
        <f>D22+D23+D24</f>
        <v>0</v>
      </c>
      <c r="E25" s="12"/>
      <c r="F25" s="47">
        <f>F22+F23+F24</f>
        <v>0</v>
      </c>
      <c r="G25" s="12"/>
      <c r="H25" s="13">
        <f>H22+H23+H24</f>
        <v>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20063000</v>
      </c>
      <c r="D26" s="12">
        <f t="shared" si="1"/>
        <v>20063000</v>
      </c>
      <c r="E26" s="12">
        <f t="shared" si="1"/>
        <v>516000</v>
      </c>
      <c r="F26" s="47">
        <f t="shared" si="1"/>
        <v>516000</v>
      </c>
      <c r="G26" s="12">
        <f t="shared" si="1"/>
        <v>23000</v>
      </c>
      <c r="H26" s="13">
        <f t="shared" si="1"/>
        <v>23000</v>
      </c>
      <c r="I26" s="14"/>
    </row>
    <row r="27" spans="1:9" ht="12.75">
      <c r="A27" s="55" t="s">
        <v>51</v>
      </c>
      <c r="B27" s="27" t="s">
        <v>38</v>
      </c>
      <c r="C27" s="27"/>
      <c r="D27" s="24">
        <f>ROUND(D8,2)</f>
        <v>7105742.58</v>
      </c>
      <c r="E27" s="24"/>
      <c r="F27" s="24">
        <f>ROUND(F8,2)</f>
        <v>189165.22</v>
      </c>
      <c r="G27" s="24"/>
      <c r="H27" s="26">
        <f>ROUND(H8,2)</f>
        <v>7329.17</v>
      </c>
      <c r="I27" s="14"/>
    </row>
    <row r="28" spans="1:9" ht="12.75">
      <c r="A28" s="15" t="s">
        <v>11</v>
      </c>
      <c r="B28" s="25" t="s">
        <v>52</v>
      </c>
      <c r="C28" s="25"/>
      <c r="D28" s="24">
        <f>ROUND(D7-D27,2)</f>
        <v>12957257.42</v>
      </c>
      <c r="E28" s="24"/>
      <c r="F28" s="39">
        <f>ROUND(F7-F27,2)</f>
        <v>326834.78</v>
      </c>
      <c r="G28" s="24"/>
      <c r="H28" s="26">
        <f>ROUND(H7-H27,2)</f>
        <v>15670.83</v>
      </c>
      <c r="I28" s="14"/>
    </row>
    <row r="29" spans="1:9" s="62" customFormat="1" ht="12.75">
      <c r="A29" s="56">
        <v>23</v>
      </c>
      <c r="B29" s="57" t="s">
        <v>53</v>
      </c>
      <c r="C29" s="57"/>
      <c r="D29" s="58">
        <v>0</v>
      </c>
      <c r="E29" s="58"/>
      <c r="F29" s="59">
        <v>0</v>
      </c>
      <c r="G29" s="58"/>
      <c r="H29" s="60">
        <v>0</v>
      </c>
      <c r="I29" s="61"/>
    </row>
    <row r="30" spans="1:9" ht="12.75">
      <c r="A30" s="15">
        <v>24</v>
      </c>
      <c r="B30" s="27" t="s">
        <v>54</v>
      </c>
      <c r="C30" s="27"/>
      <c r="D30" s="22">
        <v>6598595.96</v>
      </c>
      <c r="E30" s="22"/>
      <c r="F30" s="38">
        <v>143100.79</v>
      </c>
      <c r="G30" s="22"/>
      <c r="H30" s="18">
        <v>1190.41</v>
      </c>
      <c r="I30" s="14"/>
    </row>
    <row r="31" spans="1:9" ht="25.5">
      <c r="A31" s="15" t="s">
        <v>42</v>
      </c>
      <c r="B31" s="27" t="s">
        <v>43</v>
      </c>
      <c r="C31" s="27"/>
      <c r="D31" s="22">
        <f>ROUND((D27+D29)/1,2)</f>
        <v>7105742.58</v>
      </c>
      <c r="E31" s="22"/>
      <c r="F31" s="22">
        <f>ROUND((F27+F29)/1,2)</f>
        <v>189165.22</v>
      </c>
      <c r="G31" s="22"/>
      <c r="H31" s="18">
        <f>ROUND((H27+H29)/1,2)</f>
        <v>7329.17</v>
      </c>
      <c r="I31" s="14"/>
    </row>
    <row r="32" spans="1:9" ht="25.5">
      <c r="A32" s="15" t="s">
        <v>44</v>
      </c>
      <c r="B32" s="27" t="s">
        <v>45</v>
      </c>
      <c r="C32" s="27"/>
      <c r="D32" s="28">
        <f>ROUND(D31*12-D7,2)</f>
        <v>65205910.96</v>
      </c>
      <c r="E32" s="28"/>
      <c r="F32" s="40">
        <f>ROUND(F31*12-F7,2)</f>
        <v>1753982.64</v>
      </c>
      <c r="G32" s="28"/>
      <c r="H32" s="29">
        <f>ROUND(H31*12-H7,2)</f>
        <v>64950.04</v>
      </c>
      <c r="I32" s="14"/>
    </row>
    <row r="33" spans="1:8" s="34" customFormat="1" ht="13.5" thickBot="1">
      <c r="A33" s="30" t="s">
        <v>46</v>
      </c>
      <c r="B33" s="31" t="s">
        <v>47</v>
      </c>
      <c r="C33" s="31"/>
      <c r="D33" s="32">
        <f>ROUND(D7+D32,2)</f>
        <v>85268910.96</v>
      </c>
      <c r="E33" s="32"/>
      <c r="F33" s="41">
        <f>ROUND(F7+F32,2)</f>
        <v>2269982.64</v>
      </c>
      <c r="G33" s="32"/>
      <c r="H33" s="33">
        <f>ROUND(H7+H32,2)</f>
        <v>87950.04</v>
      </c>
    </row>
    <row r="34" spans="1:8" ht="8.25" customHeight="1">
      <c r="A34" s="3"/>
      <c r="B34" s="3"/>
      <c r="C34" s="3"/>
      <c r="D34" s="3"/>
      <c r="E34" s="3"/>
      <c r="F34" s="3"/>
      <c r="G34" s="3"/>
      <c r="H34" s="3"/>
    </row>
    <row r="35" spans="2:7" ht="14.25" customHeight="1">
      <c r="B35" s="42"/>
      <c r="C35" s="63"/>
      <c r="E35" s="34"/>
      <c r="G35" s="34"/>
    </row>
    <row r="36" spans="2:8" ht="14.25" customHeight="1">
      <c r="B36" s="42"/>
      <c r="C36" s="42"/>
      <c r="E36" s="34"/>
      <c r="F36" s="35"/>
      <c r="G36" s="34"/>
      <c r="H36" s="35"/>
    </row>
    <row r="37" spans="2:8" ht="18.75" customHeight="1">
      <c r="B37" s="42"/>
      <c r="C37" s="42"/>
      <c r="E37" s="34"/>
      <c r="F37" s="64"/>
      <c r="G37" s="34"/>
      <c r="H37" s="64"/>
    </row>
    <row r="38" ht="14.25">
      <c r="C38" s="65"/>
    </row>
    <row r="39" ht="14.25">
      <c r="C39" s="65"/>
    </row>
    <row r="40" ht="14.25">
      <c r="C40" s="65"/>
    </row>
    <row r="41" ht="14.25">
      <c r="C41" s="65"/>
    </row>
    <row r="42" ht="14.25">
      <c r="C42" s="65"/>
    </row>
  </sheetData>
  <mergeCells count="2">
    <mergeCell ref="A2:H2"/>
    <mergeCell ref="A3:H3"/>
  </mergeCells>
  <printOptions/>
  <pageMargins left="0.17" right="0.17" top="0.49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B36" sqref="B36:H38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57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20063000</v>
      </c>
      <c r="D7" s="12">
        <v>20063000</v>
      </c>
      <c r="E7" s="20">
        <f>ROUND(E11+E15+E20+E25,2)</f>
        <v>516000</v>
      </c>
      <c r="F7" s="47">
        <v>516000</v>
      </c>
      <c r="G7" s="20">
        <f>ROUND(G11+G15+G20+G25,2)</f>
        <v>23000</v>
      </c>
      <c r="H7" s="13">
        <f>10000+13000</f>
        <v>23000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38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38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21</v>
      </c>
      <c r="C10" s="36"/>
      <c r="D10" s="17">
        <f>6663000-282486.15</f>
        <v>6380513.85</v>
      </c>
      <c r="E10" s="17"/>
      <c r="F10" s="38">
        <f>156000-148.92</f>
        <v>155851.08</v>
      </c>
      <c r="G10" s="17"/>
      <c r="H10" s="18">
        <f>5170.83-272.05</f>
        <v>4898.78</v>
      </c>
      <c r="I10" s="14"/>
    </row>
    <row r="11" spans="1:9" s="1" customFormat="1" ht="12.75">
      <c r="A11" s="19" t="s">
        <v>4</v>
      </c>
      <c r="B11" s="43" t="s">
        <v>22</v>
      </c>
      <c r="C11" s="12">
        <v>20063000</v>
      </c>
      <c r="D11" s="20">
        <f>SUM(D8:D10)</f>
        <v>20063000</v>
      </c>
      <c r="E11" s="20">
        <v>516000</v>
      </c>
      <c r="F11" s="37">
        <f>SUM(F8:F10)</f>
        <v>516000</v>
      </c>
      <c r="G11" s="20">
        <v>23000</v>
      </c>
      <c r="H11" s="21">
        <f>SUM(H8:H10)</f>
        <v>23000</v>
      </c>
      <c r="I11" s="14"/>
    </row>
    <row r="12" spans="1:9" ht="12.75">
      <c r="A12" s="15">
        <v>6</v>
      </c>
      <c r="B12" s="48" t="s">
        <v>23</v>
      </c>
      <c r="C12" s="36"/>
      <c r="D12" s="17"/>
      <c r="E12" s="17"/>
      <c r="F12" s="38"/>
      <c r="G12" s="17"/>
      <c r="H12" s="18"/>
      <c r="I12" s="14"/>
    </row>
    <row r="13" spans="1:9" ht="12.75">
      <c r="A13" s="15">
        <v>7</v>
      </c>
      <c r="B13" s="16" t="s">
        <v>24</v>
      </c>
      <c r="C13" s="36"/>
      <c r="D13" s="17"/>
      <c r="E13" s="17"/>
      <c r="F13" s="38"/>
      <c r="G13" s="17"/>
      <c r="H13" s="18"/>
      <c r="I13" s="14"/>
    </row>
    <row r="14" spans="1:9" s="3" customFormat="1" ht="12.75">
      <c r="A14" s="15">
        <v>8</v>
      </c>
      <c r="B14" s="49" t="s">
        <v>25</v>
      </c>
      <c r="C14" s="50"/>
      <c r="D14" s="17"/>
      <c r="E14" s="17"/>
      <c r="F14" s="38"/>
      <c r="G14" s="17"/>
      <c r="H14" s="18"/>
      <c r="I14" s="14"/>
    </row>
    <row r="15" spans="1:9" ht="12.75">
      <c r="A15" s="51" t="s">
        <v>5</v>
      </c>
      <c r="B15" s="43" t="s">
        <v>26</v>
      </c>
      <c r="C15" s="12"/>
      <c r="D15" s="20">
        <f>SUM(D12:D14)</f>
        <v>0</v>
      </c>
      <c r="E15" s="20"/>
      <c r="F15" s="37">
        <f>SUM(F12:F14)</f>
        <v>0</v>
      </c>
      <c r="G15" s="20">
        <v>0</v>
      </c>
      <c r="H15" s="21">
        <f>SUM(H12:H14)</f>
        <v>0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20063000</v>
      </c>
      <c r="D16" s="20">
        <f t="shared" si="0"/>
        <v>20063000</v>
      </c>
      <c r="E16" s="12">
        <f t="shared" si="0"/>
        <v>516000</v>
      </c>
      <c r="F16" s="37">
        <f t="shared" si="0"/>
        <v>516000</v>
      </c>
      <c r="G16" s="12">
        <f t="shared" si="0"/>
        <v>23000</v>
      </c>
      <c r="H16" s="21">
        <f t="shared" si="0"/>
        <v>23000</v>
      </c>
      <c r="I16" s="14"/>
    </row>
    <row r="17" spans="1:9" ht="12.75">
      <c r="A17" s="15">
        <v>11</v>
      </c>
      <c r="B17" s="16" t="s">
        <v>28</v>
      </c>
      <c r="C17" s="36"/>
      <c r="D17" s="17"/>
      <c r="E17" s="53"/>
      <c r="F17" s="38"/>
      <c r="G17" s="53"/>
      <c r="H17" s="18"/>
      <c r="I17" s="14"/>
    </row>
    <row r="18" spans="1:9" ht="12.75">
      <c r="A18" s="15">
        <v>12</v>
      </c>
      <c r="B18" s="16" t="s">
        <v>29</v>
      </c>
      <c r="C18" s="36"/>
      <c r="D18" s="17"/>
      <c r="E18" s="22"/>
      <c r="F18" s="38"/>
      <c r="G18" s="22"/>
      <c r="H18" s="18"/>
      <c r="I18" s="14"/>
    </row>
    <row r="19" spans="1:9" ht="12.75">
      <c r="A19" s="15">
        <v>13</v>
      </c>
      <c r="B19" s="23" t="s">
        <v>30</v>
      </c>
      <c r="C19" s="22"/>
      <c r="D19" s="17"/>
      <c r="E19" s="24"/>
      <c r="F19" s="38"/>
      <c r="G19" s="24"/>
      <c r="H19" s="18"/>
      <c r="I19" s="14"/>
    </row>
    <row r="20" spans="1:9" s="1" customFormat="1" ht="12.75">
      <c r="A20" s="19" t="s">
        <v>7</v>
      </c>
      <c r="B20" s="52" t="s">
        <v>31</v>
      </c>
      <c r="C20" s="12"/>
      <c r="D20" s="20">
        <f>ROUND(D17+D18+D19,2)</f>
        <v>0</v>
      </c>
      <c r="E20" s="12"/>
      <c r="F20" s="37">
        <f>ROUND(F17+F18+F19,2)</f>
        <v>0</v>
      </c>
      <c r="G20" s="12">
        <v>0</v>
      </c>
      <c r="H20" s="21">
        <f>ROUND(H17+H18+H19,2)</f>
        <v>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20063000</v>
      </c>
      <c r="D21" s="20">
        <f>ROUND(D16+D20,2)</f>
        <v>20063000</v>
      </c>
      <c r="E21" s="12">
        <f>E16+E20</f>
        <v>516000</v>
      </c>
      <c r="F21" s="37">
        <f>ROUND(F16+F20,2)</f>
        <v>516000</v>
      </c>
      <c r="G21" s="12">
        <f>G16+G20</f>
        <v>23000</v>
      </c>
      <c r="H21" s="21">
        <f>ROUND(H16+H20,2)</f>
        <v>23000</v>
      </c>
      <c r="I21" s="14"/>
    </row>
    <row r="22" spans="1:9" ht="12.75">
      <c r="A22" s="15">
        <v>16</v>
      </c>
      <c r="B22" s="54" t="s">
        <v>33</v>
      </c>
      <c r="C22" s="22"/>
      <c r="D22" s="22"/>
      <c r="E22" s="22"/>
      <c r="F22" s="38"/>
      <c r="G22" s="22"/>
      <c r="H22" s="18"/>
      <c r="I22" s="14"/>
    </row>
    <row r="23" spans="1:12" ht="12.75">
      <c r="A23" s="15">
        <v>17</v>
      </c>
      <c r="B23" s="23" t="s">
        <v>34</v>
      </c>
      <c r="C23" s="22"/>
      <c r="D23" s="24"/>
      <c r="E23" s="24"/>
      <c r="F23" s="38"/>
      <c r="G23" s="24"/>
      <c r="H23" s="18"/>
      <c r="I23" s="14"/>
      <c r="L23" s="14"/>
    </row>
    <row r="24" spans="1:9" ht="12.75">
      <c r="A24" s="15">
        <v>18</v>
      </c>
      <c r="B24" s="23" t="s">
        <v>35</v>
      </c>
      <c r="C24" s="22"/>
      <c r="D24" s="22"/>
      <c r="E24" s="22"/>
      <c r="F24" s="38"/>
      <c r="G24" s="22"/>
      <c r="H24" s="18"/>
      <c r="I24" s="14"/>
    </row>
    <row r="25" spans="1:9" ht="12.75">
      <c r="A25" s="19" t="s">
        <v>9</v>
      </c>
      <c r="B25" s="43" t="s">
        <v>36</v>
      </c>
      <c r="C25" s="12"/>
      <c r="D25" s="12">
        <f>D22+D23+D24</f>
        <v>0</v>
      </c>
      <c r="E25" s="12"/>
      <c r="F25" s="47">
        <f>F22+F23+F24</f>
        <v>0</v>
      </c>
      <c r="G25" s="12"/>
      <c r="H25" s="13">
        <f>H22+H23+H24</f>
        <v>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20063000</v>
      </c>
      <c r="D26" s="12">
        <f t="shared" si="1"/>
        <v>20063000</v>
      </c>
      <c r="E26" s="12">
        <f t="shared" si="1"/>
        <v>516000</v>
      </c>
      <c r="F26" s="47">
        <f t="shared" si="1"/>
        <v>516000</v>
      </c>
      <c r="G26" s="12">
        <f t="shared" si="1"/>
        <v>23000</v>
      </c>
      <c r="H26" s="13">
        <f t="shared" si="1"/>
        <v>23000</v>
      </c>
      <c r="I26" s="14"/>
    </row>
    <row r="27" spans="1:9" ht="12.75">
      <c r="A27" s="55" t="s">
        <v>60</v>
      </c>
      <c r="B27" s="27" t="s">
        <v>38</v>
      </c>
      <c r="C27" s="27"/>
      <c r="D27" s="24">
        <f>ROUND(D8+D9,2)</f>
        <v>13682486.15</v>
      </c>
      <c r="E27" s="24"/>
      <c r="F27" s="24">
        <f>ROUND(F8+F9,2)</f>
        <v>360148.92</v>
      </c>
      <c r="G27" s="24"/>
      <c r="H27" s="26">
        <f>ROUND(H8+H9,2)</f>
        <v>18101.22</v>
      </c>
      <c r="I27" s="14"/>
    </row>
    <row r="28" spans="1:9" ht="12.75">
      <c r="A28" s="15" t="s">
        <v>11</v>
      </c>
      <c r="B28" s="25" t="s">
        <v>61</v>
      </c>
      <c r="C28" s="25"/>
      <c r="D28" s="24">
        <f>ROUND(D7-D27,2)</f>
        <v>6380513.85</v>
      </c>
      <c r="E28" s="24"/>
      <c r="F28" s="39">
        <f>ROUND(F7-F27,2)</f>
        <v>155851.08</v>
      </c>
      <c r="G28" s="24"/>
      <c r="H28" s="26">
        <f>ROUND(H7-H27,2)</f>
        <v>4898.78</v>
      </c>
      <c r="I28" s="14"/>
    </row>
    <row r="29" spans="1:9" s="62" customFormat="1" ht="12.75">
      <c r="A29" s="56">
        <v>23</v>
      </c>
      <c r="B29" s="57" t="s">
        <v>62</v>
      </c>
      <c r="C29" s="57"/>
      <c r="D29" s="58">
        <v>0</v>
      </c>
      <c r="E29" s="58"/>
      <c r="F29" s="59">
        <v>0</v>
      </c>
      <c r="G29" s="58"/>
      <c r="H29" s="60">
        <v>0</v>
      </c>
      <c r="I29" s="61"/>
    </row>
    <row r="30" spans="1:9" ht="12.75">
      <c r="A30" s="15">
        <v>24</v>
      </c>
      <c r="B30" s="27" t="s">
        <v>54</v>
      </c>
      <c r="C30" s="27"/>
      <c r="D30" s="22">
        <v>6598595.96</v>
      </c>
      <c r="E30" s="22"/>
      <c r="F30" s="38">
        <v>143100.79</v>
      </c>
      <c r="G30" s="22"/>
      <c r="H30" s="18">
        <v>1190.41</v>
      </c>
      <c r="I30" s="14"/>
    </row>
    <row r="31" spans="1:9" ht="25.5">
      <c r="A31" s="15" t="s">
        <v>42</v>
      </c>
      <c r="B31" s="27" t="s">
        <v>43</v>
      </c>
      <c r="C31" s="27"/>
      <c r="D31" s="22">
        <f>ROUND((D27+D29)/2,2)</f>
        <v>6841243.08</v>
      </c>
      <c r="E31" s="22"/>
      <c r="F31" s="22">
        <f>ROUND((F27+F29)/2,2)</f>
        <v>180074.46</v>
      </c>
      <c r="G31" s="22"/>
      <c r="H31" s="18">
        <f>ROUND((H27+H29)/2,2)</f>
        <v>9050.61</v>
      </c>
      <c r="I31" s="14"/>
    </row>
    <row r="32" spans="1:9" ht="25.5">
      <c r="A32" s="15" t="s">
        <v>44</v>
      </c>
      <c r="B32" s="27" t="s">
        <v>45</v>
      </c>
      <c r="C32" s="27"/>
      <c r="D32" s="28">
        <f>ROUND(D31*12-D7,2)</f>
        <v>62031916.96</v>
      </c>
      <c r="E32" s="28"/>
      <c r="F32" s="40">
        <f>ROUND(F31*12-F7,2)</f>
        <v>1644893.52</v>
      </c>
      <c r="G32" s="28"/>
      <c r="H32" s="29">
        <f>ROUND(H31*12-H7,2)</f>
        <v>85607.32</v>
      </c>
      <c r="I32" s="14"/>
    </row>
    <row r="33" spans="1:8" s="34" customFormat="1" ht="13.5" thickBot="1">
      <c r="A33" s="30" t="s">
        <v>46</v>
      </c>
      <c r="B33" s="31" t="s">
        <v>47</v>
      </c>
      <c r="C33" s="31"/>
      <c r="D33" s="32">
        <f>ROUND(D7+D32,2)</f>
        <v>82094916.96</v>
      </c>
      <c r="E33" s="32"/>
      <c r="F33" s="41">
        <f>ROUND(F7+F32,2)</f>
        <v>2160893.52</v>
      </c>
      <c r="G33" s="32"/>
      <c r="H33" s="33">
        <f>ROUND(H7+H32,2)</f>
        <v>108607.32</v>
      </c>
    </row>
    <row r="34" spans="1:8" ht="8.25" customHeight="1">
      <c r="A34" s="3"/>
      <c r="B34" s="3"/>
      <c r="C34" s="3"/>
      <c r="D34" s="3"/>
      <c r="E34" s="3"/>
      <c r="F34" s="3"/>
      <c r="G34" s="3"/>
      <c r="H34" s="3"/>
    </row>
    <row r="35" spans="2:7" ht="14.25" customHeight="1">
      <c r="B35" s="42"/>
      <c r="C35" s="63"/>
      <c r="E35" s="34"/>
      <c r="G35" s="34"/>
    </row>
    <row r="36" spans="2:8" ht="14.25" customHeight="1">
      <c r="B36" s="42"/>
      <c r="C36" s="42"/>
      <c r="E36" s="34"/>
      <c r="F36" s="35"/>
      <c r="G36" s="34"/>
      <c r="H36" s="35"/>
    </row>
    <row r="37" spans="2:8" ht="18.75" customHeight="1">
      <c r="B37" s="42"/>
      <c r="C37" s="42"/>
      <c r="E37" s="34"/>
      <c r="F37" s="64"/>
      <c r="G37" s="34"/>
      <c r="H37" s="64"/>
    </row>
    <row r="38" ht="14.25">
      <c r="C38" s="65"/>
    </row>
    <row r="39" ht="14.25">
      <c r="C39" s="65"/>
    </row>
    <row r="40" ht="14.25">
      <c r="C40" s="65"/>
    </row>
    <row r="41" ht="14.25">
      <c r="C41" s="65"/>
    </row>
    <row r="42" ht="14.25">
      <c r="C42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6" sqref="I6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63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20063000</v>
      </c>
      <c r="D7" s="12">
        <v>20063000</v>
      </c>
      <c r="E7" s="20">
        <f>ROUND(E11+E15+E20+E25,2)</f>
        <v>516000</v>
      </c>
      <c r="F7" s="47">
        <v>516000</v>
      </c>
      <c r="G7" s="20">
        <f>ROUND(G11+G15+G20+G25,2)</f>
        <v>31000</v>
      </c>
      <c r="H7" s="13">
        <f>10000+13000+8000</f>
        <v>31000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38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38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21</v>
      </c>
      <c r="C10" s="36"/>
      <c r="D10" s="17">
        <f>6663000-282486.15</f>
        <v>6380513.85</v>
      </c>
      <c r="E10" s="17"/>
      <c r="F10" s="38">
        <f>156000-148.92</f>
        <v>155851.08</v>
      </c>
      <c r="G10" s="17"/>
      <c r="H10" s="18">
        <f>5170.83-272.05+8000</f>
        <v>12898.779999999999</v>
      </c>
      <c r="I10" s="14"/>
    </row>
    <row r="11" spans="1:9" s="1" customFormat="1" ht="12.75">
      <c r="A11" s="19" t="s">
        <v>4</v>
      </c>
      <c r="B11" s="43" t="s">
        <v>22</v>
      </c>
      <c r="C11" s="12">
        <v>20063000</v>
      </c>
      <c r="D11" s="20">
        <f>SUM(D8:D10)</f>
        <v>20063000</v>
      </c>
      <c r="E11" s="20">
        <v>516000</v>
      </c>
      <c r="F11" s="37">
        <f>SUM(F8:F10)</f>
        <v>516000</v>
      </c>
      <c r="G11" s="20">
        <v>31000</v>
      </c>
      <c r="H11" s="21">
        <f>SUM(H8:H10)</f>
        <v>31000</v>
      </c>
      <c r="I11" s="14"/>
    </row>
    <row r="12" spans="1:9" ht="12.75">
      <c r="A12" s="15">
        <v>6</v>
      </c>
      <c r="B12" s="48" t="s">
        <v>23</v>
      </c>
      <c r="C12" s="36"/>
      <c r="D12" s="17"/>
      <c r="E12" s="17"/>
      <c r="F12" s="38"/>
      <c r="G12" s="17"/>
      <c r="H12" s="18"/>
      <c r="I12" s="14"/>
    </row>
    <row r="13" spans="1:9" ht="12.75">
      <c r="A13" s="15">
        <v>7</v>
      </c>
      <c r="B13" s="16" t="s">
        <v>24</v>
      </c>
      <c r="C13" s="36"/>
      <c r="D13" s="17"/>
      <c r="E13" s="17"/>
      <c r="F13" s="38"/>
      <c r="G13" s="17"/>
      <c r="H13" s="18"/>
      <c r="I13" s="14"/>
    </row>
    <row r="14" spans="1:9" s="3" customFormat="1" ht="12.75">
      <c r="A14" s="15">
        <v>8</v>
      </c>
      <c r="B14" s="49" t="s">
        <v>25</v>
      </c>
      <c r="C14" s="50"/>
      <c r="D14" s="17"/>
      <c r="E14" s="17"/>
      <c r="F14" s="38"/>
      <c r="G14" s="17"/>
      <c r="H14" s="18"/>
      <c r="I14" s="14"/>
    </row>
    <row r="15" spans="1:9" ht="12.75">
      <c r="A15" s="51" t="s">
        <v>5</v>
      </c>
      <c r="B15" s="43" t="s">
        <v>26</v>
      </c>
      <c r="C15" s="12"/>
      <c r="D15" s="20">
        <f>SUM(D12:D14)</f>
        <v>0</v>
      </c>
      <c r="E15" s="20"/>
      <c r="F15" s="37">
        <f>SUM(F12:F14)</f>
        <v>0</v>
      </c>
      <c r="G15" s="20">
        <v>0</v>
      </c>
      <c r="H15" s="21">
        <f>SUM(H12:H14)</f>
        <v>0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20063000</v>
      </c>
      <c r="D16" s="20">
        <f t="shared" si="0"/>
        <v>20063000</v>
      </c>
      <c r="E16" s="12">
        <f t="shared" si="0"/>
        <v>516000</v>
      </c>
      <c r="F16" s="37">
        <f t="shared" si="0"/>
        <v>516000</v>
      </c>
      <c r="G16" s="12">
        <f t="shared" si="0"/>
        <v>31000</v>
      </c>
      <c r="H16" s="21">
        <f t="shared" si="0"/>
        <v>31000</v>
      </c>
      <c r="I16" s="14"/>
    </row>
    <row r="17" spans="1:9" ht="12.75">
      <c r="A17" s="15">
        <v>11</v>
      </c>
      <c r="B17" s="16" t="s">
        <v>28</v>
      </c>
      <c r="C17" s="36"/>
      <c r="D17" s="17"/>
      <c r="E17" s="53"/>
      <c r="F17" s="38"/>
      <c r="G17" s="53"/>
      <c r="H17" s="18"/>
      <c r="I17" s="14"/>
    </row>
    <row r="18" spans="1:9" ht="12.75">
      <c r="A18" s="15">
        <v>12</v>
      </c>
      <c r="B18" s="16" t="s">
        <v>29</v>
      </c>
      <c r="C18" s="36"/>
      <c r="D18" s="17"/>
      <c r="E18" s="22"/>
      <c r="F18" s="38"/>
      <c r="G18" s="22"/>
      <c r="H18" s="18"/>
      <c r="I18" s="14"/>
    </row>
    <row r="19" spans="1:9" ht="12.75">
      <c r="A19" s="15">
        <v>13</v>
      </c>
      <c r="B19" s="23" t="s">
        <v>30</v>
      </c>
      <c r="C19" s="22"/>
      <c r="D19" s="17"/>
      <c r="E19" s="24"/>
      <c r="F19" s="38"/>
      <c r="G19" s="24"/>
      <c r="H19" s="18"/>
      <c r="I19" s="14"/>
    </row>
    <row r="20" spans="1:9" s="1" customFormat="1" ht="12.75">
      <c r="A20" s="19" t="s">
        <v>7</v>
      </c>
      <c r="B20" s="52" t="s">
        <v>31</v>
      </c>
      <c r="C20" s="12"/>
      <c r="D20" s="20">
        <f>ROUND(D17+D18+D19,2)</f>
        <v>0</v>
      </c>
      <c r="E20" s="12"/>
      <c r="F20" s="37">
        <f>ROUND(F17+F18+F19,2)</f>
        <v>0</v>
      </c>
      <c r="G20" s="12">
        <v>0</v>
      </c>
      <c r="H20" s="21">
        <f>ROUND(H17+H18+H19,2)</f>
        <v>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20063000</v>
      </c>
      <c r="D21" s="20">
        <f>ROUND(D16+D20,2)</f>
        <v>20063000</v>
      </c>
      <c r="E21" s="12">
        <f>E16+E20</f>
        <v>516000</v>
      </c>
      <c r="F21" s="37">
        <f>ROUND(F16+F20,2)</f>
        <v>516000</v>
      </c>
      <c r="G21" s="12">
        <f>G16+G20</f>
        <v>31000</v>
      </c>
      <c r="H21" s="21">
        <f>ROUND(H16+H20,2)</f>
        <v>31000</v>
      </c>
      <c r="I21" s="14"/>
    </row>
    <row r="22" spans="1:9" ht="12.75">
      <c r="A22" s="15">
        <v>16</v>
      </c>
      <c r="B22" s="54" t="s">
        <v>33</v>
      </c>
      <c r="C22" s="22"/>
      <c r="D22" s="22"/>
      <c r="E22" s="22"/>
      <c r="F22" s="38"/>
      <c r="G22" s="22"/>
      <c r="H22" s="18"/>
      <c r="I22" s="14"/>
    </row>
    <row r="23" spans="1:12" ht="12.75">
      <c r="A23" s="15">
        <v>17</v>
      </c>
      <c r="B23" s="23" t="s">
        <v>34</v>
      </c>
      <c r="C23" s="22"/>
      <c r="D23" s="24"/>
      <c r="E23" s="24"/>
      <c r="F23" s="38"/>
      <c r="G23" s="24"/>
      <c r="H23" s="18"/>
      <c r="I23" s="14"/>
      <c r="L23" s="14"/>
    </row>
    <row r="24" spans="1:9" ht="12.75">
      <c r="A24" s="15">
        <v>18</v>
      </c>
      <c r="B24" s="23" t="s">
        <v>35</v>
      </c>
      <c r="C24" s="22"/>
      <c r="D24" s="22"/>
      <c r="E24" s="22"/>
      <c r="F24" s="38"/>
      <c r="G24" s="22"/>
      <c r="H24" s="18"/>
      <c r="I24" s="14"/>
    </row>
    <row r="25" spans="1:9" ht="12.75">
      <c r="A25" s="19" t="s">
        <v>9</v>
      </c>
      <c r="B25" s="43" t="s">
        <v>36</v>
      </c>
      <c r="C25" s="12"/>
      <c r="D25" s="12">
        <f>D22+D23+D24</f>
        <v>0</v>
      </c>
      <c r="E25" s="12"/>
      <c r="F25" s="47">
        <f>F22+F23+F24</f>
        <v>0</v>
      </c>
      <c r="G25" s="12"/>
      <c r="H25" s="13">
        <f>H22+H23+H24</f>
        <v>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20063000</v>
      </c>
      <c r="D26" s="12">
        <f t="shared" si="1"/>
        <v>20063000</v>
      </c>
      <c r="E26" s="12">
        <f t="shared" si="1"/>
        <v>516000</v>
      </c>
      <c r="F26" s="47">
        <f t="shared" si="1"/>
        <v>516000</v>
      </c>
      <c r="G26" s="12">
        <f t="shared" si="1"/>
        <v>31000</v>
      </c>
      <c r="H26" s="13">
        <f t="shared" si="1"/>
        <v>31000</v>
      </c>
      <c r="I26" s="14"/>
    </row>
    <row r="27" spans="1:9" ht="12.75">
      <c r="A27" s="55" t="s">
        <v>60</v>
      </c>
      <c r="B27" s="27" t="s">
        <v>38</v>
      </c>
      <c r="C27" s="27"/>
      <c r="D27" s="24">
        <f>ROUND(D8+D9,2)</f>
        <v>13682486.15</v>
      </c>
      <c r="E27" s="24"/>
      <c r="F27" s="24">
        <f>ROUND(F8+F9,2)</f>
        <v>360148.92</v>
      </c>
      <c r="G27" s="24"/>
      <c r="H27" s="26">
        <f>ROUND(H8+H9,2)</f>
        <v>18101.22</v>
      </c>
      <c r="I27" s="14"/>
    </row>
    <row r="28" spans="1:9" ht="12.75">
      <c r="A28" s="15" t="s">
        <v>11</v>
      </c>
      <c r="B28" s="25" t="s">
        <v>61</v>
      </c>
      <c r="C28" s="25"/>
      <c r="D28" s="24">
        <f>ROUND(D7-D27,2)</f>
        <v>6380513.85</v>
      </c>
      <c r="E28" s="24"/>
      <c r="F28" s="39">
        <f>ROUND(F7-F27,2)</f>
        <v>155851.08</v>
      </c>
      <c r="G28" s="24"/>
      <c r="H28" s="26">
        <f>ROUND(H7-H27,2)</f>
        <v>12898.78</v>
      </c>
      <c r="I28" s="14"/>
    </row>
    <row r="29" spans="1:9" s="62" customFormat="1" ht="12.75">
      <c r="A29" s="56">
        <v>23</v>
      </c>
      <c r="B29" s="57" t="s">
        <v>62</v>
      </c>
      <c r="C29" s="57"/>
      <c r="D29" s="58">
        <v>0</v>
      </c>
      <c r="E29" s="58"/>
      <c r="F29" s="59">
        <v>0</v>
      </c>
      <c r="G29" s="58"/>
      <c r="H29" s="60">
        <v>0</v>
      </c>
      <c r="I29" s="61"/>
    </row>
    <row r="30" spans="1:9" ht="12.75">
      <c r="A30" s="15">
        <v>24</v>
      </c>
      <c r="B30" s="27" t="s">
        <v>54</v>
      </c>
      <c r="C30" s="27"/>
      <c r="D30" s="22">
        <v>6598595.96</v>
      </c>
      <c r="E30" s="22"/>
      <c r="F30" s="38">
        <v>143100.79</v>
      </c>
      <c r="G30" s="22"/>
      <c r="H30" s="18">
        <v>1190.41</v>
      </c>
      <c r="I30" s="14"/>
    </row>
    <row r="31" spans="1:9" ht="25.5">
      <c r="A31" s="15" t="s">
        <v>42</v>
      </c>
      <c r="B31" s="27" t="s">
        <v>43</v>
      </c>
      <c r="C31" s="27"/>
      <c r="D31" s="22">
        <f>ROUND((D27+D29)/2,2)</f>
        <v>6841243.08</v>
      </c>
      <c r="E31" s="22"/>
      <c r="F31" s="22">
        <f>ROUND((F27+F29)/2,2)</f>
        <v>180074.46</v>
      </c>
      <c r="G31" s="22"/>
      <c r="H31" s="18">
        <f>ROUND((H27+H29)/2,2)</f>
        <v>9050.61</v>
      </c>
      <c r="I31" s="14"/>
    </row>
    <row r="32" spans="1:9" ht="25.5">
      <c r="A32" s="15" t="s">
        <v>44</v>
      </c>
      <c r="B32" s="27" t="s">
        <v>45</v>
      </c>
      <c r="C32" s="27"/>
      <c r="D32" s="28">
        <f>ROUND(D31*12-D7,2)</f>
        <v>62031916.96</v>
      </c>
      <c r="E32" s="28"/>
      <c r="F32" s="40">
        <f>ROUND(F31*12-F7,2)</f>
        <v>1644893.52</v>
      </c>
      <c r="G32" s="28"/>
      <c r="H32" s="29">
        <f>ROUND(H31*12-H7,2)</f>
        <v>77607.32</v>
      </c>
      <c r="I32" s="14"/>
    </row>
    <row r="33" spans="1:8" s="34" customFormat="1" ht="13.5" thickBot="1">
      <c r="A33" s="30" t="s">
        <v>46</v>
      </c>
      <c r="B33" s="31" t="s">
        <v>47</v>
      </c>
      <c r="C33" s="31"/>
      <c r="D33" s="32">
        <f>ROUND(D7+D32,2)</f>
        <v>82094916.96</v>
      </c>
      <c r="E33" s="32"/>
      <c r="F33" s="41">
        <f>ROUND(F7+F32,2)</f>
        <v>2160893.52</v>
      </c>
      <c r="G33" s="32"/>
      <c r="H33" s="33">
        <f>ROUND(H7+H32,2)</f>
        <v>108607.32</v>
      </c>
    </row>
    <row r="34" spans="1:8" ht="8.25" customHeight="1">
      <c r="A34" s="3"/>
      <c r="B34" s="3"/>
      <c r="C34" s="3"/>
      <c r="D34" s="3"/>
      <c r="E34" s="3"/>
      <c r="F34" s="3"/>
      <c r="G34" s="3"/>
      <c r="H34" s="3"/>
    </row>
    <row r="35" spans="2:7" ht="14.25" customHeight="1">
      <c r="B35" s="42"/>
      <c r="C35" s="63"/>
      <c r="E35" s="34"/>
      <c r="G35" s="34"/>
    </row>
    <row r="36" spans="2:8" ht="14.25" customHeight="1">
      <c r="B36" s="42"/>
      <c r="C36" s="42"/>
      <c r="E36" s="34"/>
      <c r="F36" s="35"/>
      <c r="G36" s="34"/>
      <c r="H36" s="35"/>
    </row>
    <row r="37" spans="2:8" ht="18.75" customHeight="1">
      <c r="B37" s="42"/>
      <c r="C37" s="42"/>
      <c r="E37" s="34"/>
      <c r="F37" s="64"/>
      <c r="G37" s="34"/>
      <c r="H37" s="64"/>
    </row>
    <row r="38" ht="14.25">
      <c r="C38" s="65"/>
    </row>
    <row r="39" ht="14.25">
      <c r="C39" s="65"/>
    </row>
    <row r="40" ht="14.25">
      <c r="C40" s="65"/>
    </row>
    <row r="41" ht="14.25">
      <c r="C41" s="65"/>
    </row>
    <row r="42" ht="14.25">
      <c r="C42" s="65"/>
    </row>
  </sheetData>
  <mergeCells count="2">
    <mergeCell ref="A2:H2"/>
    <mergeCell ref="A3:H3"/>
  </mergeCells>
  <printOptions/>
  <pageMargins left="0.4" right="0.17" top="0.17" bottom="0.21" header="0.19" footer="0.19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">
      <selection activeCell="E41" sqref="E41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64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4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47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38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38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38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37">
        <f>SUM(F8:F10)</f>
        <v>516000</v>
      </c>
      <c r="G11" s="20">
        <v>31000</v>
      </c>
      <c r="H11" s="21">
        <f>SUM(H8:H10)</f>
        <v>29631.86</v>
      </c>
      <c r="I11" s="14"/>
    </row>
    <row r="12" spans="1:9" ht="12.75">
      <c r="A12" s="15">
        <v>6</v>
      </c>
      <c r="B12" s="48" t="s">
        <v>23</v>
      </c>
      <c r="C12" s="36"/>
      <c r="D12" s="17">
        <v>6900000</v>
      </c>
      <c r="E12" s="17"/>
      <c r="F12" s="38">
        <v>190000</v>
      </c>
      <c r="G12" s="17"/>
      <c r="H12" s="18">
        <f>32000+1368.14</f>
        <v>33368.14</v>
      </c>
      <c r="I12" s="14"/>
    </row>
    <row r="13" spans="1:9" ht="12.75">
      <c r="A13" s="15">
        <v>7</v>
      </c>
      <c r="B13" s="16" t="s">
        <v>24</v>
      </c>
      <c r="C13" s="36"/>
      <c r="D13" s="17">
        <v>6759000</v>
      </c>
      <c r="E13" s="17"/>
      <c r="F13" s="38">
        <v>200000</v>
      </c>
      <c r="G13" s="17"/>
      <c r="H13" s="18">
        <v>38000</v>
      </c>
      <c r="I13" s="14"/>
    </row>
    <row r="14" spans="1:9" s="3" customFormat="1" ht="12.75">
      <c r="A14" s="15">
        <v>8</v>
      </c>
      <c r="B14" s="49" t="s">
        <v>25</v>
      </c>
      <c r="C14" s="50"/>
      <c r="D14" s="17">
        <v>0</v>
      </c>
      <c r="E14" s="17"/>
      <c r="F14" s="38">
        <v>131000</v>
      </c>
      <c r="G14" s="17"/>
      <c r="H14" s="18">
        <v>42000</v>
      </c>
      <c r="I14" s="14"/>
    </row>
    <row r="15" spans="1:9" ht="12.75">
      <c r="A15" s="51" t="s">
        <v>5</v>
      </c>
      <c r="B15" s="43" t="s">
        <v>26</v>
      </c>
      <c r="C15" s="12">
        <v>13659000</v>
      </c>
      <c r="D15" s="20">
        <f>SUM(D12:D14)</f>
        <v>13659000</v>
      </c>
      <c r="E15" s="20">
        <v>521000</v>
      </c>
      <c r="F15" s="37">
        <f>SUM(F12:F14)</f>
        <v>521000</v>
      </c>
      <c r="G15" s="20">
        <v>112000</v>
      </c>
      <c r="H15" s="21">
        <f>SUM(H12:H14)</f>
        <v>113368.14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34244000</v>
      </c>
      <c r="D16" s="20">
        <f t="shared" si="0"/>
        <v>34244000</v>
      </c>
      <c r="E16" s="12">
        <f t="shared" si="0"/>
        <v>1037000</v>
      </c>
      <c r="F16" s="37">
        <f t="shared" si="0"/>
        <v>1037000</v>
      </c>
      <c r="G16" s="12">
        <f t="shared" si="0"/>
        <v>143000</v>
      </c>
      <c r="H16" s="21">
        <f t="shared" si="0"/>
        <v>143000</v>
      </c>
      <c r="I16" s="14"/>
    </row>
    <row r="17" spans="1:9" ht="12.75">
      <c r="A17" s="15">
        <v>11</v>
      </c>
      <c r="B17" s="16" t="s">
        <v>28</v>
      </c>
      <c r="C17" s="36"/>
      <c r="D17" s="17">
        <v>6900000</v>
      </c>
      <c r="E17" s="53"/>
      <c r="F17" s="38">
        <v>200000</v>
      </c>
      <c r="G17" s="53"/>
      <c r="H17" s="18">
        <v>35000</v>
      </c>
      <c r="I17" s="14"/>
    </row>
    <row r="18" spans="1:9" ht="12.75">
      <c r="A18" s="15">
        <v>12</v>
      </c>
      <c r="B18" s="16" t="s">
        <v>29</v>
      </c>
      <c r="C18" s="36"/>
      <c r="D18" s="17">
        <v>6565000</v>
      </c>
      <c r="E18" s="22"/>
      <c r="F18" s="38">
        <v>200000</v>
      </c>
      <c r="G18" s="22"/>
      <c r="H18" s="18">
        <v>35000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38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v>13465000</v>
      </c>
      <c r="D20" s="20">
        <f>ROUND(D17+D18+D19,2)</f>
        <v>13465000</v>
      </c>
      <c r="E20" s="12">
        <v>523000</v>
      </c>
      <c r="F20" s="37">
        <f>ROUND(F17+F18+F19,2)</f>
        <v>523000</v>
      </c>
      <c r="G20" s="12">
        <v>110000</v>
      </c>
      <c r="H20" s="21">
        <f>ROUND(H17+H18+H19,2)</f>
        <v>110000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47709000</v>
      </c>
      <c r="D21" s="20">
        <f>ROUND(D16+D20,2)</f>
        <v>47709000</v>
      </c>
      <c r="E21" s="12">
        <f>E16+E20</f>
        <v>1560000</v>
      </c>
      <c r="F21" s="37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v>6830000</v>
      </c>
      <c r="E22" s="22"/>
      <c r="F22" s="38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38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38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v>6830000</v>
      </c>
      <c r="D25" s="12">
        <f>D22+D23+D24</f>
        <v>6830000</v>
      </c>
      <c r="E25" s="12">
        <v>147000</v>
      </c>
      <c r="F25" s="47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47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67</v>
      </c>
      <c r="B27" s="27" t="s">
        <v>38</v>
      </c>
      <c r="C27" s="27"/>
      <c r="D27" s="24">
        <f>ROUND(D8+D9+D10,2)</f>
        <v>20585000</v>
      </c>
      <c r="E27" s="24"/>
      <c r="F27" s="24">
        <f>ROUND(F8+F9+F10,2)</f>
        <v>516000</v>
      </c>
      <c r="G27" s="24"/>
      <c r="H27" s="26">
        <f>ROUND(H8+H9+H10,2)</f>
        <v>29631.86</v>
      </c>
      <c r="I27" s="14"/>
    </row>
    <row r="28" spans="1:9" ht="12.75">
      <c r="A28" s="15" t="s">
        <v>11</v>
      </c>
      <c r="B28" s="25" t="s">
        <v>68</v>
      </c>
      <c r="C28" s="25"/>
      <c r="D28" s="24">
        <f>ROUND(D7-D27,2)</f>
        <v>33954000</v>
      </c>
      <c r="E28" s="24"/>
      <c r="F28" s="39">
        <f>ROUND(F7-F27,2)</f>
        <v>1191000</v>
      </c>
      <c r="G28" s="24"/>
      <c r="H28" s="26">
        <f>ROUND(H7-H27,2)</f>
        <v>333368.14</v>
      </c>
      <c r="I28" s="14"/>
    </row>
    <row r="29" spans="1:9" s="72" customFormat="1" ht="12.75">
      <c r="A29" s="66">
        <v>23</v>
      </c>
      <c r="B29" s="67" t="s">
        <v>69</v>
      </c>
      <c r="C29" s="67"/>
      <c r="D29" s="68">
        <v>55496.9</v>
      </c>
      <c r="E29" s="68"/>
      <c r="F29" s="69">
        <v>47856.98</v>
      </c>
      <c r="G29" s="68"/>
      <c r="H29" s="70">
        <v>0</v>
      </c>
      <c r="I29" s="71"/>
    </row>
    <row r="30" spans="1:9" s="1" customFormat="1" ht="12.75">
      <c r="A30" s="73" t="s">
        <v>70</v>
      </c>
      <c r="B30" s="74" t="s">
        <v>71</v>
      </c>
      <c r="C30" s="74"/>
      <c r="D30" s="75">
        <f>ROUND(D7-D26,2)</f>
        <v>0</v>
      </c>
      <c r="E30" s="75"/>
      <c r="F30" s="75">
        <f>ROUND(F7-F26,2)</f>
        <v>0</v>
      </c>
      <c r="G30" s="75"/>
      <c r="H30" s="75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38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ROUND((D27+D29)/3,2)</f>
        <v>6880165.63</v>
      </c>
      <c r="E32" s="22"/>
      <c r="F32" s="22">
        <f>ROUND((F27+F29)/3,2)</f>
        <v>187952.33</v>
      </c>
      <c r="G32" s="22"/>
      <c r="H32" s="18">
        <f>ROUND((H27+H29)/3,2)</f>
        <v>9877.29</v>
      </c>
      <c r="I32" s="14"/>
    </row>
    <row r="33" spans="1:9" ht="25.5">
      <c r="A33" s="15" t="s">
        <v>73</v>
      </c>
      <c r="B33" s="27" t="s">
        <v>45</v>
      </c>
      <c r="C33" s="27"/>
      <c r="D33" s="28">
        <f>ROUND(D32*12-D7,2)</f>
        <v>28022987.56</v>
      </c>
      <c r="E33" s="28"/>
      <c r="F33" s="40">
        <f>ROUND(F32*12-F7,2)</f>
        <v>548427.96</v>
      </c>
      <c r="G33" s="28"/>
      <c r="H33" s="29">
        <f>ROUND(H32*12-H7,2)</f>
        <v>-244472.52</v>
      </c>
      <c r="I33" s="14"/>
    </row>
    <row r="34" spans="1:8" s="34" customFormat="1" ht="13.5" thickBot="1">
      <c r="A34" s="30" t="s">
        <v>74</v>
      </c>
      <c r="B34" s="31" t="s">
        <v>47</v>
      </c>
      <c r="C34" s="31"/>
      <c r="D34" s="32">
        <f>ROUND(D7+D33,2)</f>
        <v>82561987.56</v>
      </c>
      <c r="E34" s="32"/>
      <c r="F34" s="41">
        <f>ROUND(F7+F33,2)</f>
        <v>2255427.96</v>
      </c>
      <c r="G34" s="32"/>
      <c r="H34" s="33">
        <f>ROUND(H7+H33,2)</f>
        <v>118527.48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24" right="0.17" top="0.21" bottom="1" header="0.17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40" sqref="E40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75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12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24</v>
      </c>
      <c r="C13" s="36"/>
      <c r="D13" s="17">
        <f>6759000+398267.09</f>
        <v>7157267.09</v>
      </c>
      <c r="E13" s="17"/>
      <c r="F13" s="22">
        <f>200000-35793.53</f>
        <v>164206.47</v>
      </c>
      <c r="G13" s="17"/>
      <c r="H13" s="18">
        <f>38000+20950.52</f>
        <v>58950.520000000004</v>
      </c>
      <c r="I13" s="14"/>
    </row>
    <row r="14" spans="1:9" s="3" customFormat="1" ht="12.75">
      <c r="A14" s="15">
        <v>8</v>
      </c>
      <c r="B14" s="49" t="s">
        <v>25</v>
      </c>
      <c r="C14" s="50"/>
      <c r="D14" s="17">
        <v>0</v>
      </c>
      <c r="E14" s="17"/>
      <c r="F14" s="22">
        <v>131000</v>
      </c>
      <c r="G14" s="17"/>
      <c r="H14" s="18">
        <v>42000</v>
      </c>
      <c r="I14" s="14"/>
    </row>
    <row r="15" spans="1:9" ht="12.75">
      <c r="A15" s="51" t="s">
        <v>5</v>
      </c>
      <c r="B15" s="43" t="s">
        <v>26</v>
      </c>
      <c r="C15" s="12">
        <v>13659000</v>
      </c>
      <c r="D15" s="20">
        <f>SUM(D12:D14)</f>
        <v>13659000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113368.14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34244000</v>
      </c>
      <c r="D16" s="20">
        <f t="shared" si="0"/>
        <v>34244000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143000</v>
      </c>
      <c r="I16" s="14"/>
    </row>
    <row r="17" spans="1:9" ht="12.75">
      <c r="A17" s="15">
        <v>11</v>
      </c>
      <c r="B17" s="16" t="s">
        <v>28</v>
      </c>
      <c r="C17" s="36"/>
      <c r="D17" s="17">
        <v>6900000</v>
      </c>
      <c r="E17" s="53"/>
      <c r="F17" s="22">
        <v>200000</v>
      </c>
      <c r="G17" s="53"/>
      <c r="H17" s="18">
        <v>35000</v>
      </c>
      <c r="I17" s="14"/>
    </row>
    <row r="18" spans="1:9" ht="12.75">
      <c r="A18" s="15">
        <v>12</v>
      </c>
      <c r="B18" s="16" t="s">
        <v>29</v>
      </c>
      <c r="C18" s="36"/>
      <c r="D18" s="17">
        <v>6565000</v>
      </c>
      <c r="E18" s="22"/>
      <c r="F18" s="22">
        <v>200000</v>
      </c>
      <c r="G18" s="22"/>
      <c r="H18" s="18">
        <v>35000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22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v>13465000</v>
      </c>
      <c r="D20" s="20">
        <f>ROUND(D17+D18+D19,2)</f>
        <v>13465000</v>
      </c>
      <c r="E20" s="12">
        <v>523000</v>
      </c>
      <c r="F20" s="20">
        <f>ROUND(F17+F18+F19,2)</f>
        <v>523000</v>
      </c>
      <c r="G20" s="12">
        <v>110000</v>
      </c>
      <c r="H20" s="21">
        <f>ROUND(H17+H18+H19,2)</f>
        <v>110000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47709000</v>
      </c>
      <c r="D21" s="20">
        <f>ROUND(D16+D20,2)</f>
        <v>47709000</v>
      </c>
      <c r="E21" s="12">
        <f>E16+E20</f>
        <v>1560000</v>
      </c>
      <c r="F21" s="20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v>6830000</v>
      </c>
      <c r="E22" s="22"/>
      <c r="F22" s="22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v>6830000</v>
      </c>
      <c r="D25" s="12">
        <f>D22+D23+D24</f>
        <v>6830000</v>
      </c>
      <c r="E25" s="12">
        <v>147000</v>
      </c>
      <c r="F25" s="12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12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77</v>
      </c>
      <c r="B27" s="27" t="s">
        <v>38</v>
      </c>
      <c r="C27" s="27"/>
      <c r="D27" s="24">
        <f>ROUND(D8+D9+D10+D12,2)</f>
        <v>27086732.91</v>
      </c>
      <c r="E27" s="24"/>
      <c r="F27" s="24">
        <f>ROUND(F8+F9+F10+F12,2)</f>
        <v>741793.53</v>
      </c>
      <c r="G27" s="24"/>
      <c r="H27" s="26">
        <f>ROUND(H8+H9+H10+H12,2)</f>
        <v>42049.48</v>
      </c>
      <c r="I27" s="14"/>
    </row>
    <row r="28" spans="1:9" ht="12.75">
      <c r="A28" s="15" t="s">
        <v>11</v>
      </c>
      <c r="B28" s="25" t="s">
        <v>68</v>
      </c>
      <c r="C28" s="25"/>
      <c r="D28" s="24">
        <f>ROUND(D7-D27,2)</f>
        <v>27452267.09</v>
      </c>
      <c r="E28" s="24"/>
      <c r="F28" s="24">
        <f>ROUND(F7-F27,2)</f>
        <v>965206.47</v>
      </c>
      <c r="G28" s="24"/>
      <c r="H28" s="26">
        <f>ROUND(H7-H27,2)</f>
        <v>320950.52</v>
      </c>
      <c r="I28" s="14"/>
    </row>
    <row r="29" spans="1:9" s="1" customFormat="1" ht="12.75">
      <c r="A29" s="15">
        <v>23</v>
      </c>
      <c r="B29" s="27" t="s">
        <v>78</v>
      </c>
      <c r="C29" s="27"/>
      <c r="D29" s="24">
        <v>0</v>
      </c>
      <c r="E29" s="24"/>
      <c r="F29" s="24">
        <v>0</v>
      </c>
      <c r="G29" s="24"/>
      <c r="H29" s="26">
        <v>0</v>
      </c>
      <c r="I29" s="76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ROUND((D27+D29)/4,2)</f>
        <v>6771683.23</v>
      </c>
      <c r="E32" s="22"/>
      <c r="F32" s="22">
        <f>ROUND((F27+F29)/4,2)</f>
        <v>185448.38</v>
      </c>
      <c r="G32" s="22"/>
      <c r="H32" s="18">
        <f>ROUND((H27+H29)/4,2)</f>
        <v>10512.37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26721198.76</v>
      </c>
      <c r="E33" s="81"/>
      <c r="F33" s="81">
        <f>ROUND(F32*12-F7,2)</f>
        <v>518380.56</v>
      </c>
      <c r="G33" s="81"/>
      <c r="H33" s="82">
        <f>ROUND(H32*12-H7,2)</f>
        <v>-236851.56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81260198.76</v>
      </c>
      <c r="E34" s="85"/>
      <c r="F34" s="85">
        <f>ROUND(F7+F33,2)</f>
        <v>2225380.56</v>
      </c>
      <c r="G34" s="85"/>
      <c r="H34" s="86">
        <f>ROUND(H7+H33,2)</f>
        <v>126148.44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F40" sqref="F40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79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12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24</v>
      </c>
      <c r="C13" s="36"/>
      <c r="D13" s="17">
        <f>6759000+398267.09</f>
        <v>7157267.09</v>
      </c>
      <c r="E13" s="17"/>
      <c r="F13" s="22">
        <f>200000-35793.53</f>
        <v>164206.47</v>
      </c>
      <c r="G13" s="17"/>
      <c r="H13" s="18">
        <f>38000+20950.52</f>
        <v>58950.520000000004</v>
      </c>
      <c r="I13" s="14"/>
    </row>
    <row r="14" spans="1:9" s="3" customFormat="1" ht="12.75">
      <c r="A14" s="15">
        <v>8</v>
      </c>
      <c r="B14" s="49" t="s">
        <v>25</v>
      </c>
      <c r="C14" s="50"/>
      <c r="D14" s="17">
        <v>7041000</v>
      </c>
      <c r="E14" s="17"/>
      <c r="F14" s="22">
        <v>131000</v>
      </c>
      <c r="G14" s="17"/>
      <c r="H14" s="18">
        <v>42000</v>
      </c>
      <c r="I14" s="14"/>
    </row>
    <row r="15" spans="1:9" ht="12.75">
      <c r="A15" s="51" t="s">
        <v>5</v>
      </c>
      <c r="B15" s="43" t="s">
        <v>26</v>
      </c>
      <c r="C15" s="12">
        <f>13659000+7041000</f>
        <v>20700000</v>
      </c>
      <c r="D15" s="20">
        <f>SUM(D12:D14)</f>
        <v>20700000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113368.14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41285000</v>
      </c>
      <c r="D16" s="20">
        <f t="shared" si="0"/>
        <v>41285000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143000</v>
      </c>
      <c r="I16" s="14"/>
    </row>
    <row r="17" spans="1:9" ht="12.75">
      <c r="A17" s="15">
        <v>11</v>
      </c>
      <c r="B17" s="16" t="s">
        <v>28</v>
      </c>
      <c r="C17" s="36"/>
      <c r="D17" s="17">
        <v>6900000</v>
      </c>
      <c r="E17" s="53"/>
      <c r="F17" s="22">
        <v>200000</v>
      </c>
      <c r="G17" s="53"/>
      <c r="H17" s="18">
        <v>35000</v>
      </c>
      <c r="I17" s="14"/>
    </row>
    <row r="18" spans="1:9" ht="12.75">
      <c r="A18" s="15">
        <v>12</v>
      </c>
      <c r="B18" s="16" t="s">
        <v>29</v>
      </c>
      <c r="C18" s="36"/>
      <c r="D18" s="17">
        <f>6565000-211000</f>
        <v>6354000</v>
      </c>
      <c r="E18" s="22"/>
      <c r="F18" s="22">
        <v>200000</v>
      </c>
      <c r="G18" s="22"/>
      <c r="H18" s="18">
        <v>35000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22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f>13465000-211000</f>
        <v>13254000</v>
      </c>
      <c r="D20" s="20">
        <f>ROUND(D17+D18+D19,2)</f>
        <v>13254000</v>
      </c>
      <c r="E20" s="12">
        <v>523000</v>
      </c>
      <c r="F20" s="20">
        <f>ROUND(F17+F18+F19,2)</f>
        <v>523000</v>
      </c>
      <c r="G20" s="12">
        <v>110000</v>
      </c>
      <c r="H20" s="21">
        <f>ROUND(H17+H18+H19,2)</f>
        <v>110000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54539000</v>
      </c>
      <c r="D21" s="20">
        <f>ROUND(D16+D20,2)</f>
        <v>54539000</v>
      </c>
      <c r="E21" s="12">
        <f>E16+E20</f>
        <v>1560000</v>
      </c>
      <c r="F21" s="20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f>6830000-6830000</f>
        <v>0</v>
      </c>
      <c r="E22" s="22"/>
      <c r="F22" s="22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0</v>
      </c>
      <c r="E25" s="12">
        <v>147000</v>
      </c>
      <c r="F25" s="12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12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77</v>
      </c>
      <c r="B27" s="27" t="s">
        <v>38</v>
      </c>
      <c r="C27" s="27"/>
      <c r="D27" s="24">
        <f>ROUND(D8+D9+D10+D12,2)</f>
        <v>27086732.91</v>
      </c>
      <c r="E27" s="24"/>
      <c r="F27" s="24">
        <f>ROUND(F8+F9+F10+F12,2)</f>
        <v>741793.53</v>
      </c>
      <c r="G27" s="24"/>
      <c r="H27" s="26">
        <f>ROUND(H8+H9+H10+H12,2)</f>
        <v>42049.48</v>
      </c>
      <c r="I27" s="14"/>
    </row>
    <row r="28" spans="1:9" ht="12.75">
      <c r="A28" s="15" t="s">
        <v>11</v>
      </c>
      <c r="B28" s="25" t="s">
        <v>80</v>
      </c>
      <c r="C28" s="25"/>
      <c r="D28" s="24">
        <f>ROUND(D7-D27,2)</f>
        <v>27452267.09</v>
      </c>
      <c r="E28" s="24"/>
      <c r="F28" s="24">
        <f>ROUND(F7-F27,2)</f>
        <v>965206.47</v>
      </c>
      <c r="G28" s="24"/>
      <c r="H28" s="26">
        <f>ROUND(H7-H27,2)</f>
        <v>320950.52</v>
      </c>
      <c r="I28" s="14"/>
    </row>
    <row r="29" spans="1:9" s="1" customFormat="1" ht="12.75">
      <c r="A29" s="15">
        <v>23</v>
      </c>
      <c r="B29" s="27" t="s">
        <v>78</v>
      </c>
      <c r="C29" s="27"/>
      <c r="D29" s="24">
        <v>0</v>
      </c>
      <c r="E29" s="24"/>
      <c r="F29" s="24">
        <v>0</v>
      </c>
      <c r="G29" s="24"/>
      <c r="H29" s="26">
        <v>0</v>
      </c>
      <c r="I29" s="76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ROUND((D27+D29)/4,2)</f>
        <v>6771683.23</v>
      </c>
      <c r="E32" s="22"/>
      <c r="F32" s="22">
        <f>ROUND((F27+F29)/4,2)</f>
        <v>185448.38</v>
      </c>
      <c r="G32" s="22"/>
      <c r="H32" s="18">
        <f>ROUND((H27+H29)/4,2)</f>
        <v>10512.37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26721198.76</v>
      </c>
      <c r="E33" s="81"/>
      <c r="F33" s="81">
        <f>ROUND(F32*12-F7,2)</f>
        <v>518380.56</v>
      </c>
      <c r="G33" s="81"/>
      <c r="H33" s="82">
        <f>ROUND(H32*12-H7,2)</f>
        <v>-236851.56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81260198.76</v>
      </c>
      <c r="E34" s="85"/>
      <c r="F34" s="85">
        <f>ROUND(F7+F33,2)</f>
        <v>2225380.56</v>
      </c>
      <c r="G34" s="85"/>
      <c r="H34" s="86">
        <f>ROUND(H7+H33,2)</f>
        <v>126148.44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6">
      <selection activeCell="B37" sqref="B37:G39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3.7109375" style="2" customWidth="1"/>
    <col min="5" max="5" width="14.7109375" style="2" customWidth="1"/>
    <col min="6" max="6" width="18.28125" style="2" customWidth="1"/>
    <col min="7" max="7" width="14.7109375" style="2" customWidth="1"/>
    <col min="8" max="8" width="16.57421875" style="2" customWidth="1"/>
    <col min="9" max="9" width="12.00390625" style="2" customWidth="1"/>
    <col min="10" max="16384" width="9.140625" style="2" customWidth="1"/>
  </cols>
  <sheetData>
    <row r="1" spans="1:8" ht="12.75">
      <c r="A1" s="1" t="s">
        <v>0</v>
      </c>
      <c r="F1" s="44"/>
      <c r="H1" s="44" t="s">
        <v>48</v>
      </c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s="3" customFormat="1" ht="41.25" customHeight="1">
      <c r="A3" s="89" t="s">
        <v>81</v>
      </c>
      <c r="B3" s="89"/>
      <c r="C3" s="89"/>
      <c r="D3" s="89"/>
      <c r="E3" s="89"/>
      <c r="F3" s="89"/>
      <c r="G3" s="89"/>
      <c r="H3" s="89"/>
    </row>
    <row r="4" ht="8.25" customHeight="1" thickBot="1"/>
    <row r="5" spans="1:8" ht="77.25" customHeight="1">
      <c r="A5" s="4" t="s">
        <v>2</v>
      </c>
      <c r="B5" s="5" t="s">
        <v>3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58</v>
      </c>
      <c r="H5" s="6" t="s">
        <v>17</v>
      </c>
    </row>
    <row r="6" spans="1:8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77">
        <v>5</v>
      </c>
      <c r="G6" s="8">
        <v>6</v>
      </c>
      <c r="H6" s="9">
        <v>7</v>
      </c>
    </row>
    <row r="7" spans="1:9" ht="12.75">
      <c r="A7" s="10">
        <v>1</v>
      </c>
      <c r="B7" s="11" t="s">
        <v>18</v>
      </c>
      <c r="C7" s="20">
        <f>ROUND(C11+C15+C20+C25,2)</f>
        <v>54539000</v>
      </c>
      <c r="D7" s="12">
        <f>20063000+34476000</f>
        <v>54539000</v>
      </c>
      <c r="E7" s="20">
        <f>ROUND(E11+E15+E20+E25,2)</f>
        <v>1707000</v>
      </c>
      <c r="F7" s="12">
        <f>516000+1191000</f>
        <v>1707000</v>
      </c>
      <c r="G7" s="20">
        <f>ROUND(G11+G15+G20+G25,2)</f>
        <v>363000</v>
      </c>
      <c r="H7" s="13">
        <f>10000+13000+8000+332000</f>
        <v>363000</v>
      </c>
      <c r="I7" s="14"/>
    </row>
    <row r="8" spans="1:9" ht="12.75">
      <c r="A8" s="15">
        <v>2</v>
      </c>
      <c r="B8" s="16" t="s">
        <v>50</v>
      </c>
      <c r="C8" s="36"/>
      <c r="D8" s="17">
        <f>6700000+405742.58</f>
        <v>7105742.58</v>
      </c>
      <c r="E8" s="17"/>
      <c r="F8" s="22">
        <f>180000+9165.22</f>
        <v>189165.22</v>
      </c>
      <c r="G8" s="17"/>
      <c r="H8" s="18">
        <f>3400+3929.17</f>
        <v>7329.17</v>
      </c>
      <c r="I8" s="14"/>
    </row>
    <row r="9" spans="1:9" ht="12.75">
      <c r="A9" s="15">
        <v>3</v>
      </c>
      <c r="B9" s="16" t="s">
        <v>59</v>
      </c>
      <c r="C9" s="36"/>
      <c r="D9" s="17">
        <f>6700000-405742.58+282486.15</f>
        <v>6576743.57</v>
      </c>
      <c r="E9" s="17"/>
      <c r="F9" s="22">
        <f>180000-9165.22+148.92</f>
        <v>170983.7</v>
      </c>
      <c r="G9" s="17"/>
      <c r="H9" s="18">
        <f>3400-729.17+7829.17+272.05</f>
        <v>10772.05</v>
      </c>
      <c r="I9" s="14"/>
    </row>
    <row r="10" spans="1:9" ht="12.75">
      <c r="A10" s="7">
        <v>4</v>
      </c>
      <c r="B10" s="16" t="s">
        <v>65</v>
      </c>
      <c r="C10" s="36"/>
      <c r="D10" s="17">
        <f>6663000-282486.15+522000</f>
        <v>6902513.85</v>
      </c>
      <c r="E10" s="17"/>
      <c r="F10" s="22">
        <f>156000-148.92</f>
        <v>155851.08</v>
      </c>
      <c r="G10" s="17"/>
      <c r="H10" s="18">
        <f>5170.83-272.05+8000-1368.14</f>
        <v>11530.64</v>
      </c>
      <c r="I10" s="14"/>
    </row>
    <row r="11" spans="1:9" s="1" customFormat="1" ht="12.75">
      <c r="A11" s="19" t="s">
        <v>4</v>
      </c>
      <c r="B11" s="43" t="s">
        <v>66</v>
      </c>
      <c r="C11" s="12">
        <f>20063000+522000</f>
        <v>20585000</v>
      </c>
      <c r="D11" s="20">
        <f>SUM(D8:D10)</f>
        <v>20585000</v>
      </c>
      <c r="E11" s="20">
        <v>516000</v>
      </c>
      <c r="F11" s="20">
        <f>SUM(F8:F10)</f>
        <v>516000</v>
      </c>
      <c r="G11" s="20">
        <v>31000</v>
      </c>
      <c r="H11" s="21">
        <f>SUM(H8:H10)</f>
        <v>29631.86</v>
      </c>
      <c r="I11" s="14"/>
    </row>
    <row r="12" spans="1:9" ht="24">
      <c r="A12" s="15">
        <v>6</v>
      </c>
      <c r="B12" s="78" t="s">
        <v>76</v>
      </c>
      <c r="C12" s="36"/>
      <c r="D12" s="17">
        <f>6900000-398267.09</f>
        <v>6501732.91</v>
      </c>
      <c r="E12" s="17"/>
      <c r="F12" s="22">
        <f>190000+35793.53</f>
        <v>225793.53</v>
      </c>
      <c r="G12" s="17"/>
      <c r="H12" s="18">
        <f>32000+1368.14-20950.52</f>
        <v>12417.619999999999</v>
      </c>
      <c r="I12" s="14"/>
    </row>
    <row r="13" spans="1:9" ht="12.75">
      <c r="A13" s="15">
        <v>7</v>
      </c>
      <c r="B13" s="16" t="s">
        <v>82</v>
      </c>
      <c r="C13" s="36"/>
      <c r="D13" s="17">
        <f>6759000+398267.09-418671.97</f>
        <v>6738595.12</v>
      </c>
      <c r="E13" s="17"/>
      <c r="F13" s="22">
        <f>200000-35793.53+27377.18</f>
        <v>191583.65</v>
      </c>
      <c r="G13" s="17"/>
      <c r="H13" s="18">
        <f>38000+20950.52-44572.21</f>
        <v>14378.310000000005</v>
      </c>
      <c r="I13" s="14"/>
    </row>
    <row r="14" spans="1:9" s="3" customFormat="1" ht="12.75">
      <c r="A14" s="15">
        <v>8</v>
      </c>
      <c r="B14" s="49" t="s">
        <v>25</v>
      </c>
      <c r="C14" s="50"/>
      <c r="D14" s="17">
        <f>7041000+418671.97</f>
        <v>7459671.97</v>
      </c>
      <c r="E14" s="17"/>
      <c r="F14" s="22">
        <f>131000-27377.18</f>
        <v>103622.82</v>
      </c>
      <c r="G14" s="17"/>
      <c r="H14" s="18">
        <f>42000+44572.21</f>
        <v>86572.20999999999</v>
      </c>
      <c r="I14" s="14"/>
    </row>
    <row r="15" spans="1:9" ht="12.75">
      <c r="A15" s="51" t="s">
        <v>5</v>
      </c>
      <c r="B15" s="43" t="s">
        <v>26</v>
      </c>
      <c r="C15" s="12">
        <f>13659000+7041000</f>
        <v>20700000</v>
      </c>
      <c r="D15" s="20">
        <f>SUM(D12:D14)</f>
        <v>20700000</v>
      </c>
      <c r="E15" s="20">
        <v>521000</v>
      </c>
      <c r="F15" s="20">
        <f>SUM(F12:F14)</f>
        <v>521000</v>
      </c>
      <c r="G15" s="20">
        <v>112000</v>
      </c>
      <c r="H15" s="21">
        <f>SUM(H12:H14)</f>
        <v>113368.14</v>
      </c>
      <c r="I15" s="14"/>
    </row>
    <row r="16" spans="1:9" s="1" customFormat="1" ht="12.75">
      <c r="A16" s="19" t="s">
        <v>6</v>
      </c>
      <c r="B16" s="52" t="s">
        <v>27</v>
      </c>
      <c r="C16" s="12">
        <f aca="true" t="shared" si="0" ref="C16:H16">C11+C15</f>
        <v>41285000</v>
      </c>
      <c r="D16" s="20">
        <f t="shared" si="0"/>
        <v>41285000</v>
      </c>
      <c r="E16" s="12">
        <f t="shared" si="0"/>
        <v>1037000</v>
      </c>
      <c r="F16" s="20">
        <f t="shared" si="0"/>
        <v>1037000</v>
      </c>
      <c r="G16" s="12">
        <f t="shared" si="0"/>
        <v>143000</v>
      </c>
      <c r="H16" s="21">
        <f t="shared" si="0"/>
        <v>143000</v>
      </c>
      <c r="I16" s="14"/>
    </row>
    <row r="17" spans="1:9" ht="12.75">
      <c r="A17" s="15">
        <v>11</v>
      </c>
      <c r="B17" s="16" t="s">
        <v>28</v>
      </c>
      <c r="C17" s="36"/>
      <c r="D17" s="17">
        <v>6900000</v>
      </c>
      <c r="E17" s="53"/>
      <c r="F17" s="22">
        <v>200000</v>
      </c>
      <c r="G17" s="53"/>
      <c r="H17" s="18">
        <v>35000</v>
      </c>
      <c r="I17" s="14"/>
    </row>
    <row r="18" spans="1:9" ht="12.75">
      <c r="A18" s="15">
        <v>12</v>
      </c>
      <c r="B18" s="16" t="s">
        <v>29</v>
      </c>
      <c r="C18" s="36"/>
      <c r="D18" s="17">
        <f>6565000-211000</f>
        <v>6354000</v>
      </c>
      <c r="E18" s="22"/>
      <c r="F18" s="22">
        <v>200000</v>
      </c>
      <c r="G18" s="22"/>
      <c r="H18" s="18">
        <v>35000</v>
      </c>
      <c r="I18" s="14"/>
    </row>
    <row r="19" spans="1:9" ht="12.75">
      <c r="A19" s="15">
        <v>13</v>
      </c>
      <c r="B19" s="23" t="s">
        <v>30</v>
      </c>
      <c r="C19" s="22"/>
      <c r="D19" s="17">
        <v>0</v>
      </c>
      <c r="E19" s="24"/>
      <c r="F19" s="22">
        <v>123000</v>
      </c>
      <c r="G19" s="24"/>
      <c r="H19" s="18">
        <v>40000</v>
      </c>
      <c r="I19" s="14"/>
    </row>
    <row r="20" spans="1:9" s="1" customFormat="1" ht="12.75">
      <c r="A20" s="19" t="s">
        <v>7</v>
      </c>
      <c r="B20" s="52" t="s">
        <v>31</v>
      </c>
      <c r="C20" s="12">
        <f>13465000-211000</f>
        <v>13254000</v>
      </c>
      <c r="D20" s="20">
        <f>ROUND(D17+D18+D19,2)</f>
        <v>13254000</v>
      </c>
      <c r="E20" s="12">
        <v>523000</v>
      </c>
      <c r="F20" s="20">
        <f>ROUND(F17+F18+F19,2)</f>
        <v>523000</v>
      </c>
      <c r="G20" s="12">
        <v>110000</v>
      </c>
      <c r="H20" s="21">
        <f>ROUND(H17+H18+H19,2)</f>
        <v>110000</v>
      </c>
      <c r="I20" s="14"/>
    </row>
    <row r="21" spans="1:9" s="1" customFormat="1" ht="12.75">
      <c r="A21" s="19" t="s">
        <v>8</v>
      </c>
      <c r="B21" s="52" t="s">
        <v>32</v>
      </c>
      <c r="C21" s="12">
        <f>C16+C20</f>
        <v>54539000</v>
      </c>
      <c r="D21" s="20">
        <f>ROUND(D16+D20,2)</f>
        <v>54539000</v>
      </c>
      <c r="E21" s="12">
        <f>E16+E20</f>
        <v>1560000</v>
      </c>
      <c r="F21" s="20">
        <f>ROUND(F16+F20,2)</f>
        <v>1560000</v>
      </c>
      <c r="G21" s="12">
        <f>G16+G20</f>
        <v>253000</v>
      </c>
      <c r="H21" s="21">
        <f>ROUND(H16+H20,2)</f>
        <v>253000</v>
      </c>
      <c r="I21" s="14"/>
    </row>
    <row r="22" spans="1:9" ht="12.75">
      <c r="A22" s="15">
        <v>16</v>
      </c>
      <c r="B22" s="54" t="s">
        <v>33</v>
      </c>
      <c r="C22" s="22"/>
      <c r="D22" s="22">
        <f>6830000-6830000</f>
        <v>0</v>
      </c>
      <c r="E22" s="22"/>
      <c r="F22" s="22">
        <v>147000</v>
      </c>
      <c r="G22" s="22"/>
      <c r="H22" s="18">
        <v>35000</v>
      </c>
      <c r="I22" s="14"/>
    </row>
    <row r="23" spans="1:12" ht="12.75">
      <c r="A23" s="15">
        <v>17</v>
      </c>
      <c r="B23" s="23" t="s">
        <v>34</v>
      </c>
      <c r="C23" s="22"/>
      <c r="D23" s="24">
        <v>0</v>
      </c>
      <c r="E23" s="24"/>
      <c r="F23" s="22">
        <v>0</v>
      </c>
      <c r="G23" s="24"/>
      <c r="H23" s="18">
        <v>35000</v>
      </c>
      <c r="I23" s="14"/>
      <c r="L23" s="14"/>
    </row>
    <row r="24" spans="1:9" ht="12.75">
      <c r="A24" s="15">
        <v>18</v>
      </c>
      <c r="B24" s="23" t="s">
        <v>35</v>
      </c>
      <c r="C24" s="22"/>
      <c r="D24" s="22">
        <v>0</v>
      </c>
      <c r="E24" s="22"/>
      <c r="F24" s="22">
        <v>0</v>
      </c>
      <c r="G24" s="22"/>
      <c r="H24" s="18">
        <v>40000</v>
      </c>
      <c r="I24" s="14"/>
    </row>
    <row r="25" spans="1:9" ht="12.75">
      <c r="A25" s="19" t="s">
        <v>9</v>
      </c>
      <c r="B25" s="43" t="s">
        <v>36</v>
      </c>
      <c r="C25" s="12">
        <f>6830000-6830000</f>
        <v>0</v>
      </c>
      <c r="D25" s="12">
        <f>D22+D23+D24</f>
        <v>0</v>
      </c>
      <c r="E25" s="12">
        <v>147000</v>
      </c>
      <c r="F25" s="12">
        <f>F22+F23+F24</f>
        <v>147000</v>
      </c>
      <c r="G25" s="12">
        <v>110000</v>
      </c>
      <c r="H25" s="13">
        <f>H22+H23+H24</f>
        <v>110000</v>
      </c>
      <c r="I25" s="14"/>
    </row>
    <row r="26" spans="1:9" ht="25.5">
      <c r="A26" s="19" t="s">
        <v>10</v>
      </c>
      <c r="B26" s="43" t="s">
        <v>37</v>
      </c>
      <c r="C26" s="12">
        <f aca="true" t="shared" si="1" ref="C26:H26">ROUND(C11+C15+C20+C25,2)</f>
        <v>54539000</v>
      </c>
      <c r="D26" s="12">
        <f t="shared" si="1"/>
        <v>54539000</v>
      </c>
      <c r="E26" s="12">
        <f t="shared" si="1"/>
        <v>1707000</v>
      </c>
      <c r="F26" s="12">
        <f t="shared" si="1"/>
        <v>1707000</v>
      </c>
      <c r="G26" s="12">
        <f t="shared" si="1"/>
        <v>363000</v>
      </c>
      <c r="H26" s="13">
        <f t="shared" si="1"/>
        <v>363000</v>
      </c>
      <c r="I26" s="14"/>
    </row>
    <row r="27" spans="1:9" ht="12.75">
      <c r="A27" s="55" t="s">
        <v>83</v>
      </c>
      <c r="B27" s="27" t="s">
        <v>38</v>
      </c>
      <c r="C27" s="27"/>
      <c r="D27" s="24">
        <f>ROUND(D8+D9+D10+D12+D13,2)</f>
        <v>33825328.03</v>
      </c>
      <c r="E27" s="24"/>
      <c r="F27" s="24">
        <f>ROUND(F8+F9+F10+F12+F13,2)</f>
        <v>933377.18</v>
      </c>
      <c r="G27" s="24"/>
      <c r="H27" s="26">
        <f>ROUND(H8+H9+H10+H12+H13,2)</f>
        <v>56427.79</v>
      </c>
      <c r="I27" s="14"/>
    </row>
    <row r="28" spans="1:9" ht="12.75">
      <c r="A28" s="15" t="s">
        <v>11</v>
      </c>
      <c r="B28" s="25" t="s">
        <v>84</v>
      </c>
      <c r="C28" s="25"/>
      <c r="D28" s="24">
        <f>ROUND(D7-D27,2)</f>
        <v>20713671.97</v>
      </c>
      <c r="E28" s="24"/>
      <c r="F28" s="24">
        <f>ROUND(F7-F27,2)</f>
        <v>773622.82</v>
      </c>
      <c r="G28" s="24"/>
      <c r="H28" s="26">
        <f>ROUND(H7-H27,2)</f>
        <v>306572.21</v>
      </c>
      <c r="I28" s="14"/>
    </row>
    <row r="29" spans="1:9" s="1" customFormat="1" ht="12.75">
      <c r="A29" s="15">
        <v>23</v>
      </c>
      <c r="B29" s="27" t="s">
        <v>85</v>
      </c>
      <c r="C29" s="27"/>
      <c r="D29" s="24">
        <v>0</v>
      </c>
      <c r="E29" s="24"/>
      <c r="F29" s="24">
        <v>0</v>
      </c>
      <c r="G29" s="24"/>
      <c r="H29" s="26">
        <v>0</v>
      </c>
      <c r="I29" s="76"/>
    </row>
    <row r="30" spans="1:9" s="1" customFormat="1" ht="12.75">
      <c r="A30" s="15" t="s">
        <v>70</v>
      </c>
      <c r="B30" s="27" t="s">
        <v>71</v>
      </c>
      <c r="C30" s="27"/>
      <c r="D30" s="24">
        <f>ROUND(D7-D26,2)</f>
        <v>0</v>
      </c>
      <c r="E30" s="24"/>
      <c r="F30" s="24">
        <f>ROUND(F7-F26,2)</f>
        <v>0</v>
      </c>
      <c r="G30" s="24"/>
      <c r="H30" s="26">
        <f>ROUND(H7-H26,2)</f>
        <v>0</v>
      </c>
      <c r="I30" s="76"/>
    </row>
    <row r="31" spans="1:9" ht="12.75">
      <c r="A31" s="15">
        <v>25</v>
      </c>
      <c r="B31" s="27" t="s">
        <v>54</v>
      </c>
      <c r="C31" s="27"/>
      <c r="D31" s="22">
        <v>6598595.96</v>
      </c>
      <c r="E31" s="22"/>
      <c r="F31" s="22">
        <v>143100.79</v>
      </c>
      <c r="G31" s="22"/>
      <c r="H31" s="18">
        <v>1190.41</v>
      </c>
      <c r="I31" s="14"/>
    </row>
    <row r="32" spans="1:9" ht="25.5">
      <c r="A32" s="15" t="s">
        <v>72</v>
      </c>
      <c r="B32" s="27" t="s">
        <v>43</v>
      </c>
      <c r="C32" s="27"/>
      <c r="D32" s="22">
        <f>ROUND((D27+D29)/5,2)</f>
        <v>6765065.61</v>
      </c>
      <c r="E32" s="22"/>
      <c r="F32" s="22">
        <f>ROUND((F27+F29)/5,2)</f>
        <v>186675.44</v>
      </c>
      <c r="G32" s="22"/>
      <c r="H32" s="18">
        <f>ROUND((H27+H29)/5,2)</f>
        <v>11285.56</v>
      </c>
      <c r="I32" s="14"/>
    </row>
    <row r="33" spans="1:9" ht="26.25" thickBot="1">
      <c r="A33" s="79" t="s">
        <v>73</v>
      </c>
      <c r="B33" s="80" t="s">
        <v>45</v>
      </c>
      <c r="C33" s="80"/>
      <c r="D33" s="81">
        <f>ROUND(D32*12-D7,2)</f>
        <v>26641787.32</v>
      </c>
      <c r="E33" s="81"/>
      <c r="F33" s="81">
        <f>ROUND(F32*12-F7,2)</f>
        <v>533105.28</v>
      </c>
      <c r="G33" s="81"/>
      <c r="H33" s="82">
        <f>ROUND(H32*12-H7,2)</f>
        <v>-227573.28</v>
      </c>
      <c r="I33" s="14"/>
    </row>
    <row r="34" spans="1:8" s="34" customFormat="1" ht="13.5" thickBot="1">
      <c r="A34" s="83" t="s">
        <v>74</v>
      </c>
      <c r="B34" s="84" t="s">
        <v>47</v>
      </c>
      <c r="C34" s="84"/>
      <c r="D34" s="85">
        <f>ROUND(D7+D33,2)</f>
        <v>81180787.32</v>
      </c>
      <c r="E34" s="85"/>
      <c r="F34" s="85">
        <f>ROUND(F7+F33,2)</f>
        <v>2240105.28</v>
      </c>
      <c r="G34" s="85"/>
      <c r="H34" s="86">
        <f>ROUND(H7+H33,2)</f>
        <v>135426.72</v>
      </c>
    </row>
    <row r="35" spans="1:8" ht="8.25" customHeight="1">
      <c r="A35" s="3"/>
      <c r="B35" s="3"/>
      <c r="C35" s="3"/>
      <c r="D35" s="3"/>
      <c r="E35" s="3"/>
      <c r="F35" s="3"/>
      <c r="G35" s="3"/>
      <c r="H35" s="3"/>
    </row>
    <row r="36" spans="2:7" ht="14.25" customHeight="1">
      <c r="B36" s="42"/>
      <c r="C36" s="63"/>
      <c r="E36" s="34"/>
      <c r="G36" s="34"/>
    </row>
    <row r="37" spans="2:8" ht="14.25" customHeight="1">
      <c r="B37" s="42"/>
      <c r="C37" s="42"/>
      <c r="E37" s="34"/>
      <c r="F37" s="35"/>
      <c r="G37" s="34"/>
      <c r="H37" s="35"/>
    </row>
    <row r="38" spans="2:8" ht="18.75" customHeight="1">
      <c r="B38" s="42"/>
      <c r="C38" s="42"/>
      <c r="E38" s="34"/>
      <c r="F38" s="64"/>
      <c r="G38" s="34"/>
      <c r="H38" s="64"/>
    </row>
    <row r="39" ht="14.25">
      <c r="C39" s="65"/>
    </row>
    <row r="40" ht="14.25">
      <c r="C40" s="65"/>
    </row>
    <row r="41" ht="14.25">
      <c r="C41" s="65"/>
    </row>
    <row r="42" ht="14.25">
      <c r="C42" s="65"/>
    </row>
    <row r="43" ht="14.25">
      <c r="C43" s="65"/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2019-01-22T09:57:07Z</cp:lastPrinted>
  <dcterms:created xsi:type="dcterms:W3CDTF">2016-04-27T06:22:10Z</dcterms:created>
  <dcterms:modified xsi:type="dcterms:W3CDTF">2019-01-22T09:57:09Z</dcterms:modified>
  <cp:category/>
  <cp:version/>
  <cp:contentType/>
  <cp:contentStatus/>
</cp:coreProperties>
</file>