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firstSheet="19" activeTab="21"/>
  </bookViews>
  <sheets>
    <sheet name="1-TRIM. I 2018" sheetId="1" r:id="rId1"/>
    <sheet name="2- CONSUM IAN 2018" sheetId="2" r:id="rId2"/>
    <sheet name="3- CONSUM FEBR 2018" sheetId="3" r:id="rId3"/>
    <sheet name="4-SUPLIMENT TRIM I " sheetId="4" r:id="rId4"/>
    <sheet name="5 - AN 2018" sheetId="5" r:id="rId5"/>
    <sheet name="6- SUPLIM CV+VIRARE" sheetId="6" r:id="rId6"/>
    <sheet name="7-CONSUM APR 2018" sheetId="7" r:id="rId7"/>
    <sheet name="8-SUPLIM MUCOV.ADULTI" sheetId="8" r:id="rId8"/>
    <sheet name="9-CONSUM MAI 2018" sheetId="9" r:id="rId9"/>
    <sheet name="10-CONSUM IUNIE 2018" sheetId="10" r:id="rId10"/>
    <sheet name="11-SUPLIMENTARE RV6000" sheetId="11" r:id="rId11"/>
    <sheet name="12-CONSUM IULIE 2018" sheetId="12" r:id="rId12"/>
    <sheet name="13-CONSUM AUGUST 2018+ SUPLIM" sheetId="13" r:id="rId13"/>
    <sheet name="14-CONSUM SEPTEMBRIE 2018" sheetId="14" r:id="rId14"/>
    <sheet name="15- SUPLIMENTARE TRIM IV RV7331" sheetId="15" r:id="rId15"/>
    <sheet name="16-SUPLIMENTARE TRIM IV RV7483" sheetId="16" r:id="rId16"/>
    <sheet name="17-CONSUM OCTOMBRIE 2018" sheetId="17" r:id="rId17"/>
    <sheet name="18-SUPLIMENTARE TRIM IV RV7900" sheetId="18" r:id="rId18"/>
    <sheet name="19-SUPLIMENTARE TRIM IV RV7978" sheetId="19" r:id="rId19"/>
    <sheet name="20- SUPLIM TRIM IV RV8221" sheetId="20" r:id="rId20"/>
    <sheet name="21- CONSUM NOV. 2018" sheetId="21" r:id="rId21"/>
    <sheet name="22- CONSUM DECEMBRIE FINAL AN" sheetId="22" r:id="rId22"/>
  </sheets>
  <definedNames/>
  <calcPr fullCalcOnLoad="1"/>
</workbook>
</file>

<file path=xl/sharedStrings.xml><?xml version="1.0" encoding="utf-8"?>
<sst xmlns="http://schemas.openxmlformats.org/spreadsheetml/2006/main" count="1403" uniqueCount="154">
  <si>
    <t>CASA DE ASIGURARI DE SANATATE OLT</t>
  </si>
  <si>
    <t>SITUATIA</t>
  </si>
  <si>
    <t>Nr. crt.</t>
  </si>
  <si>
    <t>7=5+6</t>
  </si>
  <si>
    <t>5=2+3+4</t>
  </si>
  <si>
    <t>9=6+7+8</t>
  </si>
  <si>
    <t>10=5+9</t>
  </si>
  <si>
    <t>19=16+17+18</t>
  </si>
  <si>
    <t>ANEXA</t>
  </si>
  <si>
    <t>14=11+12+13</t>
  </si>
  <si>
    <t>15=10+14</t>
  </si>
  <si>
    <t>20=5+9+14+ 19</t>
  </si>
  <si>
    <t>22=1-21</t>
  </si>
  <si>
    <t>REPARTIZARII LUNARE A CREDITELOR DE ANGAJAMENT APROBATE PENTRU DERULAREA PNS PRIN FARMACII CU CIRCUIT DESCHIS PENTRU TRIM I 2018, CONFORM CREDITELOR DE ANGAJAMENT APROBATE DE CNAS PRIN ADRESA NR. LM11290/29.12.2017</t>
  </si>
  <si>
    <t>Luna/an 2018</t>
  </si>
  <si>
    <t xml:space="preserve">P3 - ONCOLOGIE ACTIVITATE CURENTA </t>
  </si>
  <si>
    <t>P3 - ONCOLOGIE COST VOLUM</t>
  </si>
  <si>
    <t>P5 - DIABET ZAHARAT (medicamente)</t>
  </si>
  <si>
    <t>P5 - DIABET TESTE ADULŢI</t>
  </si>
  <si>
    <t>P5 - DIABET TESTE COPII</t>
  </si>
  <si>
    <t>P5 - TOTAL TESTE</t>
  </si>
  <si>
    <t>P6.4 - MUCOV. COPII</t>
  </si>
  <si>
    <t>P6.5.2 - SCLEROZĂ LATERALĂ AMIOTROFICA</t>
  </si>
  <si>
    <t>P6.20 - FIBROZA PULMONARA IDIOPATICA</t>
  </si>
  <si>
    <t>P6.22 - ANGIOEDEM EREDITAR</t>
  </si>
  <si>
    <t>P9 - STARE POSTTRANSPLANT</t>
  </si>
  <si>
    <t>TOTAL MEDICAMENTE 2018</t>
  </si>
  <si>
    <t>TOTAL PNS AN 2018</t>
  </si>
  <si>
    <t>13=2+3+4+8+9+ 10+11+12</t>
  </si>
  <si>
    <t>14=7+13</t>
  </si>
  <si>
    <t>Credite angajament aprobate AN 2018, din care:</t>
  </si>
  <si>
    <t xml:space="preserve">ianuarie 2018  </t>
  </si>
  <si>
    <t xml:space="preserve">februarie 2018  </t>
  </si>
  <si>
    <t>martie 2018</t>
  </si>
  <si>
    <t>Trim. I 2018</t>
  </si>
  <si>
    <t>aprilie 2018</t>
  </si>
  <si>
    <t>mai 2018</t>
  </si>
  <si>
    <t>iunie 2018</t>
  </si>
  <si>
    <t xml:space="preserve">Trim. II 2018 </t>
  </si>
  <si>
    <t>Total sem. I 2018</t>
  </si>
  <si>
    <t>iulie 2018</t>
  </si>
  <si>
    <t>august 2018</t>
  </si>
  <si>
    <t>septembrie 2018</t>
  </si>
  <si>
    <t>Total trim. III 2018</t>
  </si>
  <si>
    <t>Total 9 luni 2018</t>
  </si>
  <si>
    <t>octombrie 2018</t>
  </si>
  <si>
    <t xml:space="preserve">noiembrie 2018 </t>
  </si>
  <si>
    <t>decembrie 2018</t>
  </si>
  <si>
    <t>Total trim. IV 2018</t>
  </si>
  <si>
    <t>TOTAL AN 2018</t>
  </si>
  <si>
    <t>Consum 2018 inregistrat in limita credite angajament AN 2018</t>
  </si>
  <si>
    <t>Credite neconsumate la 01.01.2018</t>
  </si>
  <si>
    <t>Depășire la data de 01.01.2018 (consum nevalidat 2018)</t>
  </si>
  <si>
    <t>Consum mediu lunar înregistrat 01.01-30.11.2017</t>
  </si>
  <si>
    <t>25=(21+23)/ nr. luni</t>
  </si>
  <si>
    <t>Consum mediu lunar an 2018</t>
  </si>
  <si>
    <t>26=25  x 12 luni - 1</t>
  </si>
  <si>
    <t>Necesar suplimentar 2018 stabilit la nivelul consumului mediu lunar/2018</t>
  </si>
  <si>
    <t>27=1+26</t>
  </si>
  <si>
    <t>TOTAL CREDITE ANGAJAMENT NECESARE AN 2018</t>
  </si>
  <si>
    <t>MODIFICĂRII REPARTIZARII LUNARE A CREDITELOR DE ANGAJAMENT APROBATE PENTRU DERULAREA PNS PRIN FARMACII CU CIRCUIT DESCHIS PENTRU TRIM I 2018, CA URMARE A REDISTRIBUIRII CREDITELOR DE ANGAJAMENT IN CADRUL PROGRAMULUI ONCOLOGIE COST VOLUM CATRE SPITALUL CARACAL SI REPARTIZARII VALORII ORIENTATIVE PTR. TRIM. I 2018 IN CADRUL PROGRAMULUI ANGIOEDEM EREDITAR, IN LIMITA CREDITELOR DE ANGAJAMENT APROBATE DE CNAS PRIN ADRESELE NR. LM631/25.01.2018 ȘI NR. LM806/31.01.2018</t>
  </si>
  <si>
    <t>ianuarie 2018  - consum realizat</t>
  </si>
  <si>
    <t>21=2</t>
  </si>
  <si>
    <t>Credite neconsumate la 31.01.2018</t>
  </si>
  <si>
    <t>Depășire la data de 31.03.2018 (consum nevalidat 2018)</t>
  </si>
  <si>
    <t>24=1-5</t>
  </si>
  <si>
    <t>CREDITE RAMASE DE ANGAJAT PTR TRIM II - IV 2018</t>
  </si>
  <si>
    <t>Consum mediu lunar înregistrat AN 2017</t>
  </si>
  <si>
    <t>26=(21+ 23)/ nr. luni</t>
  </si>
  <si>
    <t>27=26  x 12 luni - 1</t>
  </si>
  <si>
    <t>28=1+ 27</t>
  </si>
  <si>
    <t>MODIFICĂRII REPARTIZARII LUNARE A CREDITELOR DE ANGAJAMENT APROBATE PENTRU DERULAREA PNS PRIN FARMACII CU CIRCUIT DESCHIS PENTRU TRIM I 2018, CA URMARE A VALIDĂRII CONSUMULUI RAPORTAT PENTRU LUNA FEBRUARIE 2018 IN LIMITA CREDITELOR DE ANGAJAMENT APROBATE DE CNAS CONFORM ADRESEI CNAS NR. RV1802/06.03.2018</t>
  </si>
  <si>
    <t>ianuarie 2018 - consum realizat</t>
  </si>
  <si>
    <t>februarie 2018 - consum realizat</t>
  </si>
  <si>
    <t>21=2+3</t>
  </si>
  <si>
    <t>22=20-21</t>
  </si>
  <si>
    <t>Credite neconsumate la 28.02.2018</t>
  </si>
  <si>
    <t>MODIFICĂRII REPARTIZARII LUNARE A CREDITELOR DE ANGAJAMENT APROBATE PENTRU DERULAREA PNS PRIN FARMACII CU CIRCUIT DESCHIS PENTRU TRIM I 2018, CA URMARE A SUPLIMENTĂRII CREDITELOR DE ANGAJAMENT APROBATE DE CNAS CONFORM ADRESELOR CNAS NR. RV2005/13.03.2018 SI REPARTIZARII TRIMESTRIALE NR. RV2093/15.03.2018</t>
  </si>
  <si>
    <t>P6.4 - MUCOV. ADULTI</t>
  </si>
  <si>
    <t>14=2+3+4+8+9+ 10+11+12+13</t>
  </si>
  <si>
    <t>MODIFICĂRII REPARTIZARII LUNARE A CREDITELOR DE ANGAJAMENT APROBATE PENTRU DERULAREA PNS PRIN FARMACII CU CIRCUIT DESCHIS, CA URMARE A REPARTIZARII CREDITELOR DE ANGAJAMENT PENTRU PERIOADA MAI - DECEMBRIE 2018, CU RESPECTAREA LIMITELOR TRIMESTRIALE APROBATE DE CNAS PRIN ADRESA NR. RV2704/12.04.2018</t>
  </si>
  <si>
    <t>martie 2018 - consum realizat</t>
  </si>
  <si>
    <t>Trim. I 2018 - consum realizat</t>
  </si>
  <si>
    <t>21=2+3+ 4</t>
  </si>
  <si>
    <t>Credite neconsumate la 31.03.2018</t>
  </si>
  <si>
    <t>Depășire la data de 31.03.2018 (consum nevalidat TRIM. I 2018)</t>
  </si>
  <si>
    <t>24=1-20</t>
  </si>
  <si>
    <t>CREDITE RAMASE DE ANGAJAT PTR MAI - DECEMB. 2018</t>
  </si>
  <si>
    <t>MODIFICĂRII REPARTIZARII LUNARE A CREDITELOR DE ANGAJAMENT APROBATE PENTRU DERULAREA PNS PRIN FARMACII CU CIRCUIT DESCHIS, CA URMARE A SUPLIMENTARII CREDITELOR PENTRU P3 - ONCOLOGIE COST VOLUM, CONFORM ADRESEI CNAS NR. RV3168/03.05.2018 ȘI MODIFICĂRII REPARTIZĂRII TRIMESTRIALE A CREDITELOR DE ANGAJAMENT APROBATE, CONFORM ADRESEI CNAS NR. RV3702/08.05.2018</t>
  </si>
  <si>
    <t>DIRECTOR DRC,</t>
  </si>
  <si>
    <t>INTOCMIT,</t>
  </si>
  <si>
    <t>ec. Sorina - Daniela OANCEA</t>
  </si>
  <si>
    <t>ec. Adriana POPA</t>
  </si>
  <si>
    <t>MODIFICĂRII REPARTIZARII LUNARE A CREDITELOR DE ANGAJAMENT APROBATE PENTRU DERULAREA PNS PRIN FARMACII CU CIRCUIT DESCHIS, CA URMARE A VALIDĂRII CONSUMULUI LUNII APRILIE 2018, CU RESPECTAREA LIMITELOR TRIMESTRIALE APROBATE DE CNAS PRIN ADRESA NR. RV3702/08.05.2018</t>
  </si>
  <si>
    <t>aprilie 2018 - consum realizat</t>
  </si>
  <si>
    <t>21=5+6</t>
  </si>
  <si>
    <t>Credite neconsumate la 30.04.2018</t>
  </si>
  <si>
    <t>Depășire la data de 30.04.2018 (consum nevalidat TRIM. I 2018)</t>
  </si>
  <si>
    <t>MODIFICĂRII REPARTIZARII LUNARE A CREDITELOR DE ANGAJAMENT APROBATE PENTRU DERULAREA PNS PRIN FARMACII CU CIRCUIT DESCHIS, CA URMARE A SUPLIMENTARII CREDITELOR DE ANGAJAMENT APROBATE IN CADRUL SUBPROGRAMULUI MUCOVISCIDOZA ADULTI CONFORM ADRESEI CNAS NR. DG2304/24.05.2018, CU RESPECTAREA LIMITELOR TRIMESTRIALE APROBATE DE CNAS PRIN ADRESA NR. DG2303/24.05.2018</t>
  </si>
  <si>
    <t>MODIFICĂRII REPARTIZARII LUNARE A CREDITELOR DE ANGAJAMENT APROBATE PENTRU DERULAREA PNS PRIN FARMACII CU CIRCUIT DESCHIS, CA URMARE A VALIDĂRII CONSUMULUI RAPORTAT PENTRU LUNA MAI 2018 IN LIMITA CREDITELOR DE ANGAJAMENT APROBATE PENTRU SEM. I 2018, CONFORM ADRESEI CNAS NR. RV4556/12.06.2018</t>
  </si>
  <si>
    <t>mai 2018 - consum realizat</t>
  </si>
  <si>
    <t>21=5+6+ 7</t>
  </si>
  <si>
    <t>Credite neconsumate la 31.05.2018</t>
  </si>
  <si>
    <t>Depășire la data de 31.05.2018 (consum nevalidat TRIM. I 2018)</t>
  </si>
  <si>
    <t>MODIFICĂRII REPARTIZARII LUNARE A CREDITELOR DE ANGAJAMENT APROBATE PENTRU DERULAREA PNS PRIN FARMACII CU CIRCUIT DESCHIS, CA URMARE A VALIDĂRII CONSUMULUI RAPORTAT PENTRU LUNA IUNIE 2018 IN LIMITA CREDITELOR DE ANGAJAMENT APROBATE PENTRU SEM. I 2018 - SUPLIMENTATE CU 50 MII IN CADRUL P9- STARE POSTTRANSPLANT PRIN VIRARE DIN TRIM. III 2018, CONFORM ADRESEI CNAS NR. RV5226/09.07.2018</t>
  </si>
  <si>
    <t>iunie 2018 - consum validat in limita credite/ sem. I 2018</t>
  </si>
  <si>
    <t>Trim. II 2018  - consum validat in limita credite/ sem. I 2018</t>
  </si>
  <si>
    <t>Total sem. I 2018 - consum validat in limita credite/ sem. I 2018</t>
  </si>
  <si>
    <t>21=10</t>
  </si>
  <si>
    <t>Credite neconsumate la 30.06.2018</t>
  </si>
  <si>
    <t>Depășire la data de 30.06.2018 (consum nevalidat SEM. I 2018)</t>
  </si>
  <si>
    <t>REPARTIZARII LUNARE A CREDITELOR DE ANGAJAMENT APROBATE PENTRU DERULAREA PNS PRIN FARMACII CU CIRCUIT DESCHIS, CA URMARE A SUPLIMENTARII CREDITELOR DE ANGAJAMENT PENTRU TRIM. III 2018 IN CADRUL PROGRAMELOR DIABET ZAHARAT - MEDICAMENTE, STARE POSTTRANSPLANT, MUCOVISCIDOZA ADULTI, CONFORM FILEI DE BUGET CNAS NR. RV6000/08.08.2018, IN LIMITA CREDITELOR DE ANGAJAMENT TRIMESTRIALE APROBATE PRIN FILA DE BUGET CNAS NR. RV6102/10.08.2018</t>
  </si>
  <si>
    <t>MODIFICARII REPARTIZARII LUNARE A CREDITELOR DE ANGAJAMENT APROBATE PENTRU DERULAREA PNS PRIN FARMACII CU CIRCUIT DESCHIS, CA URMARE A VALIDĂRII CONSUMULUI RAPORTAT PENTRU LUNA IULIE 2018 IN LIMITA CREDITELOR DE ANGAJAMENT APROBATE PENTRU 9 LUNI 2018, CONFORM ADRESEI CNAS NR. RV6102/10.08.2018</t>
  </si>
  <si>
    <t>iulie 2018 - consum realizat (+Diferenta P5 medic iunie = 29730,39)</t>
  </si>
  <si>
    <t>21=10+ 11</t>
  </si>
  <si>
    <t>Credite neconsumate la 31.07.2018</t>
  </si>
  <si>
    <t>Depășire la data de 31.07.2018 (consum nevalidat 2018)</t>
  </si>
  <si>
    <t>MODIFICARII REPARTIZARII LUNARE A CREDITELOR DE ANGAJAMENT APROBATE PENTRU DERULAREA PNS PRIN FARMACII CU CIRCUIT DESCHIS, CA URMARE A SUPLIMENTARII CREDITELOR DE ANGAJAMENT APROBATE PENTRU TRIM. III-IV 2018, CONFORM ADRESELOR CNAS NR. RV6657/17.09.2018, DG4117/18.09.2018- TRIMESTRIALIZARE</t>
  </si>
  <si>
    <t>august 2018 - consum realizat</t>
  </si>
  <si>
    <t>21=10+ 11+12</t>
  </si>
  <si>
    <t>Credite neconsumate la 31.08.2018</t>
  </si>
  <si>
    <t>Depășire la data de 31.08.2018 (consum nevalidat 2018)</t>
  </si>
  <si>
    <t>MODIFICARII REPARTIZARII LUNARE A CREDITELOR DE ANGAJAMENT APROBATE PENTRU DERULAREA PNS PRIN FARMACII CU CIRCUIT DESCHIS, CA URMARE A VALIDARII CONSUMULUI RAPORTAT PENTRU LUNA SEPTEMBRIE 2018 IN LIMITA CREDITELOR DE ANGAJAMENT APROBATE PENTRU 9 LUNI 2018, CONFORM ADRESEI CNAS NR. RV6879/28.09.2018 SI VIRARII SUMEI DE 100 MII IN CADRUL PROGRAMULUI P3-ONCOLOGIE LA SPITALUL MUNICIPAL CARACAL</t>
  </si>
  <si>
    <t>septembrie 2018- consum realizat</t>
  </si>
  <si>
    <t>Total trim. III 2018 - consum realizat validat integral</t>
  </si>
  <si>
    <t>Total 9 luni 2018- consum realizat validat integral</t>
  </si>
  <si>
    <t>21=15</t>
  </si>
  <si>
    <t>Credite neconsumate la 30.09.2018</t>
  </si>
  <si>
    <t>Depășire la data de 30.09.2018 (consum nevalidat 2018)</t>
  </si>
  <si>
    <t>MODIFICARII REPARTIZARII LUNARE A CREDITELOR DE ANGAJAMENT APROBATE PENTRU DERULAREA PNS PRIN FARMACII CU CIRCUIT DESCHIS, CA URMARE A SUPLIMENTARII/ DIMINUARII CREDITELOR DE ANGAJAMENT APROBATE PENTRU TRIM. IV 2018, CONFORM ADRESEI CNAS NR. RV7331/22.10.2018</t>
  </si>
  <si>
    <t>15=7+14</t>
  </si>
  <si>
    <t>MODIFICARII CREDITELOR DE ANGAJAMENT APROBATE PENTRU DERULAREA PNS PRIN FARMACII CU CIRCUIT DESCHIS, CA URMARE A SUPLIMENTARII CREDITELOR DE ANGAJAMENT PENTRU TRIM. IV 2018 IN CADRUL PROGRAMULUI DIABET ZAHARAT, CONFORM ADRESEI CNAS NR. RV7483/31.10.2018</t>
  </si>
  <si>
    <t>CREDITE RAMASE DE ANGAJAT PTR TRIM. IV 2018</t>
  </si>
  <si>
    <t>MODIFICARII CREDITELOR DE ANGAJAMENT APROBATE PENTRU DERULAREA PNS PRIN FARMACII CU CIRCUIT DESCHIS, CA URMARE A VALIDARII CONSUMULUI RAPORTAT PENTRU LUNA OCTOMBRIE 2018 , IN LIMITA CREDITELOR DE ANGAJAMENT APROBATE CONFORM ADRESEI CNAS NR. RV7892/13.11.2018</t>
  </si>
  <si>
    <t>octombrie 2018- consum realizat</t>
  </si>
  <si>
    <t>21=15+ 16</t>
  </si>
  <si>
    <t>Credite neconsumate la 31.10.2018</t>
  </si>
  <si>
    <t>Depășire la data de 31.10.2018 (consum nevalidat 2018)</t>
  </si>
  <si>
    <t>MODIFICARII CREDITELOR DE ANGAJAMENT APROBATE PENTRU DERULAREA PNS PRIN FARMACII CU CIRCUIT DESCHIS, CA URMARE A SUPLIMENTARII CREDITELOR DE ANGAJAMENT IN CADRUL PROGRAMELOR MUCOVISCIDOZA COPII, FIBROZA PULMONARA IDIOPATICA, CONFORM ADRESEI CNAS NR. RV7900/14.11.2018</t>
  </si>
  <si>
    <t>MODIFICARII REPARTIZĂRII LUNARE A CREDITELOR DE ANGAJAMENT APROBATE PENTRU DERULAREA PNS PRIN FARMACII CU CIRCUIT DESCHIS, CA URMARE A SUPLIMENTARII CREDITELOR DE ANGAJAMENT IN CADRUL PROGRAMELOR ONCOLOGIE- ACTIVITATE CURENTA, DIABET ZAHARAT MEDICAMENTE ȘI DIMINUARII CREDITELOR ONCOLOGIE COST VOLUM, CONFORM ADRESEI CNAS NR. RV7978/16.11.2018</t>
  </si>
  <si>
    <t>MODIFICARII REPARTIZĂRII LUNARE A CREDITELOR DE ANGAJAMENT APROBATE PENTRU DERULAREA PNS PRIN FARMACII CU CIRCUIT DESCHIS, CA URMARE A SUPLIMENTARII CREDITELOR DE ANGAJAMENT IN CADRUL PROGRAMELOR ONCOLOGIE- ACTIVITATE CURENTA, DIABET ZAHARAT MEDICAMENTE, STARE POSTTRANSPLANT, MUCOVISCIDOZA COPII, CONFORM ADRESEI CNAS NR. RV8221/28.11.2018</t>
  </si>
  <si>
    <t>MODIFICARII REPARTIZĂRII LUNARE A CREDITELOR DE ANGAJAMENT APROBATE PENTRU DERULAREA PNS PRIN FARMACII CU CIRCUIT DESCHIS, CA URMARE A VALIDARII CONSUMULUI RAPORTAT PENTRU LUNA NOIEMBRIE 2018 SI DIMINUĂRII CREDITELOR DE ANGAJAMENT PENTRU UNELE BOLI RARE- SCLEROZA LATERALA AMIOTROFICA SI ANGIOEDEM EREDITAR, CONFORM ADRESEI CNAS NR. RV8706/19.12.2018</t>
  </si>
  <si>
    <t>noiembrie 2018 - consum realizat</t>
  </si>
  <si>
    <t>21=15+ 16+17</t>
  </si>
  <si>
    <t>Credite neconsumate la 30.11.2018</t>
  </si>
  <si>
    <t>Depășire la data de 30.11.2018 (consum nevalidat 2018)</t>
  </si>
  <si>
    <t>MODIFICARII REPARTIZĂRII LUNARE A CREDITELOR DE ANGAJAMENT APROBATE PENTRU DERULAREA PNS PRIN FARMACII CU CIRCUIT DESCHIS, CA URMARE A VALIDARII CONSUMULUI RAPORTAT PENTRU LUNA DECEMBRIE 2018 SI SUPLIMENTARII CREDITELOR DE ANGAJAMENT PENTRU ONCOLOGIE - ACTIVITATE CURENTA PRIN TRANSFER DE LA SPITALE, CU INCADRARE IN CREDITELE DE ANGAJAMENT APROBATE PENTRU ANUL 2018 CONFORM ADRESEI CNAS NR. RV8706/19.12.2018</t>
  </si>
  <si>
    <t>decembrie 2018- consum realizat</t>
  </si>
  <si>
    <t>Total trim. IV 2018- consum realizat validat integral</t>
  </si>
  <si>
    <t>TOTAL AN 2018- consum realizat validat integral</t>
  </si>
  <si>
    <t>21=15+ 19</t>
  </si>
  <si>
    <t>Credite neconsumate la 31.12.2018</t>
  </si>
  <si>
    <t>Depășire la data de 31.12.2018 (consum nevalidat)</t>
  </si>
  <si>
    <t>25=(21+ 23)/ 12 luni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</si>
</sst>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3" fillId="2" borderId="4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 vertical="top"/>
    </xf>
    <xf numFmtId="4" fontId="6" fillId="0" borderId="4" xfId="0" applyNumberFormat="1" applyFont="1" applyFill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" fontId="3" fillId="2" borderId="4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>
      <alignment vertical="top" wrapText="1"/>
    </xf>
    <xf numFmtId="4" fontId="6" fillId="0" borderId="0" xfId="0" applyNumberFormat="1" applyFont="1" applyAlignment="1">
      <alignment vertical="top"/>
    </xf>
    <xf numFmtId="0" fontId="6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" fontId="3" fillId="2" borderId="4" xfId="0" applyNumberFormat="1" applyFont="1" applyFill="1" applyBorder="1" applyAlignment="1">
      <alignment vertical="top"/>
    </xf>
    <xf numFmtId="0" fontId="6" fillId="0" borderId="4" xfId="0" applyFont="1" applyBorder="1" applyAlignment="1">
      <alignment vertical="top" wrapText="1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vertical="top"/>
    </xf>
    <xf numFmtId="4" fontId="6" fillId="0" borderId="4" xfId="0" applyNumberFormat="1" applyFont="1" applyFill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4" fontId="6" fillId="0" borderId="4" xfId="0" applyNumberFormat="1" applyFont="1" applyBorder="1" applyAlignment="1">
      <alignment/>
    </xf>
    <xf numFmtId="4" fontId="3" fillId="2" borderId="4" xfId="0" applyNumberFormat="1" applyFont="1" applyFill="1" applyBorder="1" applyAlignment="1">
      <alignment vertical="top" wrapText="1"/>
    </xf>
    <xf numFmtId="49" fontId="6" fillId="0" borderId="4" xfId="0" applyNumberFormat="1" applyFont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vertical="top"/>
    </xf>
    <xf numFmtId="4" fontId="3" fillId="3" borderId="4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horizontal="right" vertical="top"/>
    </xf>
    <xf numFmtId="4" fontId="3" fillId="3" borderId="5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4" fontId="7" fillId="0" borderId="4" xfId="0" applyNumberFormat="1" applyFont="1" applyBorder="1" applyAlignment="1">
      <alignment vertical="top"/>
    </xf>
    <xf numFmtId="4" fontId="7" fillId="2" borderId="4" xfId="0" applyNumberFormat="1" applyFont="1" applyFill="1" applyBorder="1" applyAlignment="1">
      <alignment vertical="top"/>
    </xf>
    <xf numFmtId="4" fontId="7" fillId="2" borderId="5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vertical="top"/>
    </xf>
    <xf numFmtId="4" fontId="3" fillId="2" borderId="4" xfId="0" applyNumberFormat="1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4" fontId="3" fillId="2" borderId="8" xfId="0" applyNumberFormat="1" applyFont="1" applyFill="1" applyBorder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" fontId="3" fillId="0" borderId="4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4" fontId="6" fillId="4" borderId="4" xfId="0" applyNumberFormat="1" applyFont="1" applyFill="1" applyBorder="1" applyAlignment="1">
      <alignment vertical="top"/>
    </xf>
    <xf numFmtId="4" fontId="3" fillId="2" borderId="8" xfId="0" applyNumberFormat="1" applyFont="1" applyFill="1" applyBorder="1" applyAlignment="1">
      <alignment horizontal="right" vertical="top"/>
    </xf>
    <xf numFmtId="4" fontId="13" fillId="0" borderId="4" xfId="0" applyNumberFormat="1" applyFont="1" applyBorder="1" applyAlignment="1">
      <alignment vertical="top"/>
    </xf>
    <xf numFmtId="4" fontId="6" fillId="3" borderId="4" xfId="0" applyNumberFormat="1" applyFont="1" applyFill="1" applyBorder="1" applyAlignment="1">
      <alignment vertical="top" wrapText="1"/>
    </xf>
    <xf numFmtId="4" fontId="6" fillId="3" borderId="4" xfId="0" applyNumberFormat="1" applyFont="1" applyFill="1" applyBorder="1" applyAlignment="1">
      <alignment vertical="top"/>
    </xf>
    <xf numFmtId="4" fontId="6" fillId="3" borderId="4" xfId="0" applyNumberFormat="1" applyFont="1" applyFill="1" applyBorder="1" applyAlignment="1">
      <alignment vertical="top"/>
    </xf>
    <xf numFmtId="4" fontId="6" fillId="3" borderId="4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 vertical="top"/>
    </xf>
    <xf numFmtId="4" fontId="14" fillId="5" borderId="4" xfId="0" applyNumberFormat="1" applyFont="1" applyFill="1" applyBorder="1" applyAlignment="1">
      <alignment/>
    </xf>
    <xf numFmtId="4" fontId="14" fillId="5" borderId="4" xfId="0" applyNumberFormat="1" applyFont="1" applyFill="1" applyBorder="1" applyAlignment="1">
      <alignment vertical="top"/>
    </xf>
    <xf numFmtId="4" fontId="6" fillId="5" borderId="4" xfId="0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/>
    </xf>
    <xf numFmtId="4" fontId="14" fillId="4" borderId="4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49" fontId="3" fillId="3" borderId="4" xfId="0" applyNumberFormat="1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4" fontId="6" fillId="0" borderId="8" xfId="0" applyNumberFormat="1" applyFont="1" applyBorder="1" applyAlignment="1">
      <alignment vertical="top"/>
    </xf>
    <xf numFmtId="4" fontId="3" fillId="2" borderId="9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C35" sqref="C35:J36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6.8515625" style="1" customWidth="1"/>
    <col min="4" max="4" width="13.421875" style="1" customWidth="1"/>
    <col min="5" max="5" width="12.421875" style="1" customWidth="1"/>
    <col min="6" max="6" width="11.00390625" style="1" customWidth="1"/>
    <col min="7" max="7" width="10.57421875" style="1" customWidth="1"/>
    <col min="8" max="8" width="10.00390625" style="1" customWidth="1"/>
    <col min="9" max="9" width="11.7109375" style="1" customWidth="1"/>
    <col min="10" max="10" width="13.57421875" style="1" customWidth="1"/>
    <col min="11" max="11" width="11.57421875" style="1" customWidth="1"/>
    <col min="12" max="12" width="11.7109375" style="1" customWidth="1"/>
    <col min="13" max="13" width="11.8515625" style="1" customWidth="1"/>
    <col min="14" max="14" width="13.140625" style="1" customWidth="1"/>
    <col min="15" max="15" width="13.8515625" style="1" customWidth="1"/>
    <col min="16" max="16" width="15.28125" style="1" customWidth="1"/>
    <col min="17" max="17" width="10.8515625" style="1" bestFit="1" customWidth="1"/>
    <col min="18" max="16384" width="9.140625" style="1" customWidth="1"/>
  </cols>
  <sheetData>
    <row r="1" spans="1:15" ht="15.75">
      <c r="A1" s="44" t="s">
        <v>0</v>
      </c>
      <c r="C1" s="2"/>
      <c r="D1" s="2"/>
      <c r="M1" s="3"/>
      <c r="N1" s="3"/>
      <c r="O1" s="3" t="s">
        <v>8</v>
      </c>
    </row>
    <row r="2" spans="1:16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4"/>
    </row>
    <row r="3" spans="1:16" s="6" customFormat="1" ht="38.25" customHeight="1">
      <c r="A3" s="104" t="s">
        <v>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5"/>
    </row>
    <row r="4" ht="14.25" customHeight="1" thickBot="1"/>
    <row r="5" spans="1:15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45" t="s">
        <v>23</v>
      </c>
      <c r="L5" s="8" t="s">
        <v>24</v>
      </c>
      <c r="M5" s="8" t="s">
        <v>25</v>
      </c>
      <c r="N5" s="8" t="s">
        <v>26</v>
      </c>
      <c r="O5" s="9" t="s">
        <v>27</v>
      </c>
    </row>
    <row r="6" spans="1:15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 t="s">
        <v>28</v>
      </c>
      <c r="O6" s="48" t="s">
        <v>29</v>
      </c>
    </row>
    <row r="7" spans="1:15" s="13" customFormat="1" ht="25.5">
      <c r="A7" s="50">
        <v>1</v>
      </c>
      <c r="B7" s="51" t="s">
        <v>30</v>
      </c>
      <c r="C7" s="11">
        <v>1530000</v>
      </c>
      <c r="D7" s="11">
        <v>300000</v>
      </c>
      <c r="E7" s="11">
        <v>3775060</v>
      </c>
      <c r="F7" s="11">
        <v>373810</v>
      </c>
      <c r="G7" s="11">
        <v>22060</v>
      </c>
      <c r="H7" s="11">
        <f>ROUND(F7+G7,2)</f>
        <v>395870</v>
      </c>
      <c r="I7" s="11">
        <v>52900</v>
      </c>
      <c r="J7" s="11">
        <v>16340</v>
      </c>
      <c r="K7" s="11">
        <f>26070+26070-52140</f>
        <v>0</v>
      </c>
      <c r="L7" s="11">
        <v>0</v>
      </c>
      <c r="M7" s="11">
        <v>176150</v>
      </c>
      <c r="N7" s="11">
        <f>ROUND(C7+D7+E7+I7+J7+M7+K7+L7,2)</f>
        <v>5850450</v>
      </c>
      <c r="O7" s="12">
        <f>ROUND(H7+N7,2)</f>
        <v>6246320</v>
      </c>
    </row>
    <row r="8" spans="1:15" s="19" customFormat="1" ht="12.75">
      <c r="A8" s="14">
        <v>2</v>
      </c>
      <c r="B8" s="15" t="s">
        <v>31</v>
      </c>
      <c r="C8" s="16">
        <v>510000</v>
      </c>
      <c r="D8" s="16">
        <v>100000</v>
      </c>
      <c r="E8" s="17">
        <v>1300000</v>
      </c>
      <c r="F8" s="17">
        <v>125000</v>
      </c>
      <c r="G8" s="17">
        <v>8000</v>
      </c>
      <c r="H8" s="18">
        <f aca="true" t="shared" si="0" ref="H8:H31">ROUND(F8+G8,2)</f>
        <v>133000</v>
      </c>
      <c r="I8" s="17">
        <v>18000</v>
      </c>
      <c r="J8" s="17">
        <v>6000</v>
      </c>
      <c r="K8" s="17">
        <v>0</v>
      </c>
      <c r="L8" s="17">
        <v>0</v>
      </c>
      <c r="M8" s="17">
        <v>60000</v>
      </c>
      <c r="N8" s="11">
        <f aca="true" t="shared" si="1" ref="N8:N32">ROUND(C8+D8+E8+I8+J8+M8+K8+L8,2)</f>
        <v>1994000</v>
      </c>
      <c r="O8" s="12">
        <f aca="true" t="shared" si="2" ref="O8:O32">ROUND(H8+N8,2)</f>
        <v>2127000</v>
      </c>
    </row>
    <row r="9" spans="1:15" s="19" customFormat="1" ht="12.75">
      <c r="A9" s="14">
        <v>3</v>
      </c>
      <c r="B9" s="15" t="s">
        <v>32</v>
      </c>
      <c r="C9" s="16">
        <v>510000</v>
      </c>
      <c r="D9" s="16">
        <v>100000</v>
      </c>
      <c r="E9" s="16">
        <v>1300000</v>
      </c>
      <c r="F9" s="16">
        <v>125000</v>
      </c>
      <c r="G9" s="16">
        <v>8000</v>
      </c>
      <c r="H9" s="18">
        <f t="shared" si="0"/>
        <v>133000</v>
      </c>
      <c r="I9" s="16">
        <v>18000</v>
      </c>
      <c r="J9" s="16">
        <v>6000</v>
      </c>
      <c r="K9" s="16">
        <v>0</v>
      </c>
      <c r="L9" s="16">
        <v>0</v>
      </c>
      <c r="M9" s="16">
        <v>60000</v>
      </c>
      <c r="N9" s="11">
        <f t="shared" si="1"/>
        <v>1994000</v>
      </c>
      <c r="O9" s="12">
        <f t="shared" si="2"/>
        <v>2127000</v>
      </c>
    </row>
    <row r="10" spans="1:15" s="19" customFormat="1" ht="33" customHeight="1">
      <c r="A10" s="52">
        <v>4</v>
      </c>
      <c r="B10" s="15" t="s">
        <v>33</v>
      </c>
      <c r="C10" s="16">
        <v>510000</v>
      </c>
      <c r="D10" s="16">
        <v>100000</v>
      </c>
      <c r="E10" s="17">
        <v>1175060</v>
      </c>
      <c r="F10" s="17">
        <v>123810</v>
      </c>
      <c r="G10" s="17">
        <v>6060</v>
      </c>
      <c r="H10" s="18">
        <f t="shared" si="0"/>
        <v>129870</v>
      </c>
      <c r="I10" s="17">
        <v>16900</v>
      </c>
      <c r="J10" s="17">
        <v>4340</v>
      </c>
      <c r="K10" s="17">
        <v>0</v>
      </c>
      <c r="L10" s="17">
        <v>0</v>
      </c>
      <c r="M10" s="17">
        <v>56150</v>
      </c>
      <c r="N10" s="11">
        <f t="shared" si="1"/>
        <v>1862450</v>
      </c>
      <c r="O10" s="12">
        <f t="shared" si="2"/>
        <v>1992320</v>
      </c>
    </row>
    <row r="11" spans="1:15" s="20" customFormat="1" ht="25.5">
      <c r="A11" s="53" t="s">
        <v>4</v>
      </c>
      <c r="B11" s="54" t="s">
        <v>34</v>
      </c>
      <c r="C11" s="18">
        <f>SUM(C8:C10)</f>
        <v>1530000</v>
      </c>
      <c r="D11" s="18">
        <f aca="true" t="shared" si="3" ref="D11:M11">SUM(D8:D10)</f>
        <v>300000</v>
      </c>
      <c r="E11" s="18">
        <f t="shared" si="3"/>
        <v>3775060</v>
      </c>
      <c r="F11" s="18">
        <f t="shared" si="3"/>
        <v>373810</v>
      </c>
      <c r="G11" s="18">
        <f t="shared" si="3"/>
        <v>22060</v>
      </c>
      <c r="H11" s="18">
        <f t="shared" si="3"/>
        <v>395870</v>
      </c>
      <c r="I11" s="18">
        <f t="shared" si="3"/>
        <v>52900</v>
      </c>
      <c r="J11" s="18">
        <f t="shared" si="3"/>
        <v>16340</v>
      </c>
      <c r="K11" s="18">
        <f t="shared" si="3"/>
        <v>0</v>
      </c>
      <c r="L11" s="18">
        <f t="shared" si="3"/>
        <v>0</v>
      </c>
      <c r="M11" s="18">
        <f t="shared" si="3"/>
        <v>176150</v>
      </c>
      <c r="N11" s="11">
        <f t="shared" si="1"/>
        <v>5850450</v>
      </c>
      <c r="O11" s="12">
        <f t="shared" si="2"/>
        <v>6246320</v>
      </c>
    </row>
    <row r="12" spans="1:15" s="19" customFormat="1" ht="12.75">
      <c r="A12" s="14">
        <v>6</v>
      </c>
      <c r="B12" s="55" t="s">
        <v>35</v>
      </c>
      <c r="C12" s="16"/>
      <c r="D12" s="16"/>
      <c r="E12" s="17"/>
      <c r="F12" s="17"/>
      <c r="G12" s="17"/>
      <c r="H12" s="18">
        <f t="shared" si="0"/>
        <v>0</v>
      </c>
      <c r="I12" s="17"/>
      <c r="J12" s="17"/>
      <c r="K12" s="17"/>
      <c r="L12" s="17"/>
      <c r="M12" s="17"/>
      <c r="N12" s="11">
        <f t="shared" si="1"/>
        <v>0</v>
      </c>
      <c r="O12" s="12">
        <f t="shared" si="2"/>
        <v>0</v>
      </c>
    </row>
    <row r="13" spans="1:15" s="19" customFormat="1" ht="12.75">
      <c r="A13" s="14">
        <v>7</v>
      </c>
      <c r="B13" s="15" t="s">
        <v>36</v>
      </c>
      <c r="C13" s="16"/>
      <c r="D13" s="16"/>
      <c r="E13" s="17"/>
      <c r="F13" s="17"/>
      <c r="G13" s="17"/>
      <c r="H13" s="18">
        <f t="shared" si="0"/>
        <v>0</v>
      </c>
      <c r="I13" s="17"/>
      <c r="J13" s="17"/>
      <c r="K13" s="17"/>
      <c r="L13" s="17"/>
      <c r="M13" s="17"/>
      <c r="N13" s="11">
        <f t="shared" si="1"/>
        <v>0</v>
      </c>
      <c r="O13" s="12">
        <f t="shared" si="2"/>
        <v>0</v>
      </c>
    </row>
    <row r="14" spans="1:15" s="13" customFormat="1" ht="12.75">
      <c r="A14" s="14">
        <v>8</v>
      </c>
      <c r="B14" s="56" t="s">
        <v>37</v>
      </c>
      <c r="C14" s="16"/>
      <c r="D14" s="16"/>
      <c r="E14" s="17"/>
      <c r="F14" s="17"/>
      <c r="G14" s="17"/>
      <c r="H14" s="18">
        <f t="shared" si="0"/>
        <v>0</v>
      </c>
      <c r="I14" s="17"/>
      <c r="J14" s="17"/>
      <c r="K14" s="17"/>
      <c r="L14" s="17"/>
      <c r="M14" s="17"/>
      <c r="N14" s="11">
        <f t="shared" si="1"/>
        <v>0</v>
      </c>
      <c r="O14" s="12">
        <f t="shared" si="2"/>
        <v>0</v>
      </c>
    </row>
    <row r="15" spans="1:15" s="19" customFormat="1" ht="25.5">
      <c r="A15" s="57" t="s">
        <v>5</v>
      </c>
      <c r="B15" s="54" t="s">
        <v>38</v>
      </c>
      <c r="C15" s="18">
        <f aca="true" t="shared" si="4" ref="C15:M15">SUM(C12:C14)</f>
        <v>0</v>
      </c>
      <c r="D15" s="18">
        <f t="shared" si="4"/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1">
        <f t="shared" si="1"/>
        <v>0</v>
      </c>
      <c r="O15" s="12">
        <f t="shared" si="2"/>
        <v>0</v>
      </c>
    </row>
    <row r="16" spans="1:15" s="20" customFormat="1" ht="12.75">
      <c r="A16" s="53" t="s">
        <v>6</v>
      </c>
      <c r="B16" s="58" t="s">
        <v>39</v>
      </c>
      <c r="C16" s="18">
        <f aca="true" t="shared" si="5" ref="C16:M16">C11+C15</f>
        <v>1530000</v>
      </c>
      <c r="D16" s="18">
        <f t="shared" si="5"/>
        <v>300000</v>
      </c>
      <c r="E16" s="18">
        <f t="shared" si="5"/>
        <v>3775060</v>
      </c>
      <c r="F16" s="18">
        <f t="shared" si="5"/>
        <v>373810</v>
      </c>
      <c r="G16" s="18">
        <f t="shared" si="5"/>
        <v>22060</v>
      </c>
      <c r="H16" s="18">
        <f t="shared" si="5"/>
        <v>395870</v>
      </c>
      <c r="I16" s="18">
        <f t="shared" si="5"/>
        <v>52900</v>
      </c>
      <c r="J16" s="18">
        <f t="shared" si="5"/>
        <v>16340</v>
      </c>
      <c r="K16" s="18">
        <f t="shared" si="5"/>
        <v>0</v>
      </c>
      <c r="L16" s="18">
        <f t="shared" si="5"/>
        <v>0</v>
      </c>
      <c r="M16" s="18">
        <f t="shared" si="5"/>
        <v>176150</v>
      </c>
      <c r="N16" s="11">
        <f t="shared" si="1"/>
        <v>5850450</v>
      </c>
      <c r="O16" s="12">
        <f t="shared" si="2"/>
        <v>6246320</v>
      </c>
    </row>
    <row r="17" spans="1:15" s="13" customFormat="1" ht="12.75">
      <c r="A17" s="14">
        <v>11</v>
      </c>
      <c r="B17" s="15" t="s">
        <v>40</v>
      </c>
      <c r="C17" s="16"/>
      <c r="D17" s="16"/>
      <c r="E17" s="59"/>
      <c r="F17" s="17"/>
      <c r="G17" s="17"/>
      <c r="H17" s="18">
        <f t="shared" si="0"/>
        <v>0</v>
      </c>
      <c r="I17" s="60"/>
      <c r="J17" s="17"/>
      <c r="K17" s="17"/>
      <c r="L17" s="17"/>
      <c r="M17" s="17"/>
      <c r="N17" s="11">
        <f t="shared" si="1"/>
        <v>0</v>
      </c>
      <c r="O17" s="12">
        <f t="shared" si="2"/>
        <v>0</v>
      </c>
    </row>
    <row r="18" spans="1:15" s="19" customFormat="1" ht="12.75">
      <c r="A18" s="14">
        <v>12</v>
      </c>
      <c r="B18" s="15" t="s">
        <v>41</v>
      </c>
      <c r="C18" s="16"/>
      <c r="D18" s="38"/>
      <c r="E18" s="39"/>
      <c r="F18" s="39"/>
      <c r="G18" s="39"/>
      <c r="H18" s="18">
        <f t="shared" si="0"/>
        <v>0</v>
      </c>
      <c r="I18" s="17"/>
      <c r="J18" s="17"/>
      <c r="K18" s="17"/>
      <c r="L18" s="17"/>
      <c r="M18" s="39"/>
      <c r="N18" s="11">
        <f t="shared" si="1"/>
        <v>0</v>
      </c>
      <c r="O18" s="12">
        <f t="shared" si="2"/>
        <v>0</v>
      </c>
    </row>
    <row r="19" spans="1:15" s="21" customFormat="1" ht="12.75">
      <c r="A19" s="14">
        <v>13</v>
      </c>
      <c r="B19" s="43" t="s">
        <v>42</v>
      </c>
      <c r="C19" s="16"/>
      <c r="D19" s="38"/>
      <c r="E19" s="61"/>
      <c r="F19" s="39"/>
      <c r="G19" s="38"/>
      <c r="H19" s="18">
        <f t="shared" si="0"/>
        <v>0</v>
      </c>
      <c r="I19" s="40"/>
      <c r="J19" s="17"/>
      <c r="K19" s="17"/>
      <c r="L19" s="17"/>
      <c r="M19" s="39"/>
      <c r="N19" s="11">
        <f t="shared" si="1"/>
        <v>0</v>
      </c>
      <c r="O19" s="12">
        <f t="shared" si="2"/>
        <v>0</v>
      </c>
    </row>
    <row r="20" spans="1:15" s="22" customFormat="1" ht="25.5">
      <c r="A20" s="53" t="s">
        <v>9</v>
      </c>
      <c r="B20" s="58" t="s">
        <v>43</v>
      </c>
      <c r="C20" s="62">
        <f>ROUND(C17+C18+C19,2)</f>
        <v>0</v>
      </c>
      <c r="D20" s="62">
        <f aca="true" t="shared" si="6" ref="D20:M20">ROUND(D17+D18+D19,2)</f>
        <v>0</v>
      </c>
      <c r="E20" s="62">
        <f t="shared" si="6"/>
        <v>0</v>
      </c>
      <c r="F20" s="62">
        <f t="shared" si="6"/>
        <v>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6"/>
        <v>0</v>
      </c>
      <c r="K20" s="62">
        <f t="shared" si="6"/>
        <v>0</v>
      </c>
      <c r="L20" s="62">
        <f t="shared" si="6"/>
        <v>0</v>
      </c>
      <c r="M20" s="62">
        <f t="shared" si="6"/>
        <v>0</v>
      </c>
      <c r="N20" s="11">
        <f t="shared" si="1"/>
        <v>0</v>
      </c>
      <c r="O20" s="12">
        <f t="shared" si="2"/>
        <v>0</v>
      </c>
    </row>
    <row r="21" spans="1:15" s="22" customFormat="1" ht="25.5">
      <c r="A21" s="53" t="s">
        <v>10</v>
      </c>
      <c r="B21" s="58" t="s">
        <v>44</v>
      </c>
      <c r="C21" s="62">
        <f>ROUND(C16+C20,2)</f>
        <v>1530000</v>
      </c>
      <c r="D21" s="62">
        <f aca="true" t="shared" si="7" ref="D21:M21">ROUND(D16+D20,2)</f>
        <v>300000</v>
      </c>
      <c r="E21" s="62">
        <f t="shared" si="7"/>
        <v>3775060</v>
      </c>
      <c r="F21" s="62">
        <f t="shared" si="7"/>
        <v>373810</v>
      </c>
      <c r="G21" s="62">
        <f t="shared" si="7"/>
        <v>22060</v>
      </c>
      <c r="H21" s="62">
        <f t="shared" si="7"/>
        <v>395870</v>
      </c>
      <c r="I21" s="62">
        <f t="shared" si="7"/>
        <v>52900</v>
      </c>
      <c r="J21" s="62">
        <f t="shared" si="7"/>
        <v>16340</v>
      </c>
      <c r="K21" s="62">
        <f t="shared" si="7"/>
        <v>0</v>
      </c>
      <c r="L21" s="62">
        <f t="shared" si="7"/>
        <v>0</v>
      </c>
      <c r="M21" s="62">
        <f t="shared" si="7"/>
        <v>176150</v>
      </c>
      <c r="N21" s="11">
        <f t="shared" si="1"/>
        <v>5850450</v>
      </c>
      <c r="O21" s="12">
        <f t="shared" si="2"/>
        <v>6246320</v>
      </c>
    </row>
    <row r="22" spans="1:15" s="21" customFormat="1" ht="12.75">
      <c r="A22" s="14">
        <v>16</v>
      </c>
      <c r="B22" s="63" t="s">
        <v>45</v>
      </c>
      <c r="C22" s="16"/>
      <c r="D22" s="38"/>
      <c r="E22" s="41"/>
      <c r="F22" s="39"/>
      <c r="G22" s="38"/>
      <c r="H22" s="18">
        <f t="shared" si="0"/>
        <v>0</v>
      </c>
      <c r="I22" s="40"/>
      <c r="J22" s="39"/>
      <c r="K22" s="39"/>
      <c r="L22" s="39"/>
      <c r="M22" s="39"/>
      <c r="N22" s="11">
        <f t="shared" si="1"/>
        <v>0</v>
      </c>
      <c r="O22" s="12">
        <f t="shared" si="2"/>
        <v>0</v>
      </c>
    </row>
    <row r="23" spans="1:15" s="21" customFormat="1" ht="12.75">
      <c r="A23" s="14">
        <v>17</v>
      </c>
      <c r="B23" s="43" t="s">
        <v>46</v>
      </c>
      <c r="C23" s="61"/>
      <c r="D23" s="40"/>
      <c r="E23" s="40"/>
      <c r="F23" s="41"/>
      <c r="G23" s="38"/>
      <c r="H23" s="18">
        <f t="shared" si="0"/>
        <v>0</v>
      </c>
      <c r="I23" s="40"/>
      <c r="J23" s="39"/>
      <c r="K23" s="39"/>
      <c r="L23" s="39"/>
      <c r="M23" s="39"/>
      <c r="N23" s="11">
        <f t="shared" si="1"/>
        <v>0</v>
      </c>
      <c r="O23" s="12">
        <f t="shared" si="2"/>
        <v>0</v>
      </c>
    </row>
    <row r="24" spans="1:15" s="21" customFormat="1" ht="12.75">
      <c r="A24" s="14">
        <v>18</v>
      </c>
      <c r="B24" s="43" t="s">
        <v>47</v>
      </c>
      <c r="C24" s="61"/>
      <c r="D24" s="40"/>
      <c r="E24" s="40"/>
      <c r="F24" s="41"/>
      <c r="G24" s="38"/>
      <c r="H24" s="18">
        <f t="shared" si="0"/>
        <v>0</v>
      </c>
      <c r="I24" s="40"/>
      <c r="J24" s="40"/>
      <c r="K24" s="40"/>
      <c r="L24" s="40"/>
      <c r="M24" s="61"/>
      <c r="N24" s="11">
        <f t="shared" si="1"/>
        <v>0</v>
      </c>
      <c r="O24" s="12">
        <f t="shared" si="2"/>
        <v>0</v>
      </c>
    </row>
    <row r="25" spans="1:15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M25">ROUND(D22+D23+D24,2)</f>
        <v>0</v>
      </c>
      <c r="E25" s="62">
        <f t="shared" si="8"/>
        <v>0</v>
      </c>
      <c r="F25" s="62">
        <f t="shared" si="8"/>
        <v>0</v>
      </c>
      <c r="G25" s="62">
        <f t="shared" si="8"/>
        <v>0</v>
      </c>
      <c r="H25" s="62">
        <f t="shared" si="8"/>
        <v>0</v>
      </c>
      <c r="I25" s="62">
        <f t="shared" si="8"/>
        <v>0</v>
      </c>
      <c r="J25" s="62">
        <f t="shared" si="8"/>
        <v>0</v>
      </c>
      <c r="K25" s="62">
        <f t="shared" si="8"/>
        <v>0</v>
      </c>
      <c r="L25" s="62">
        <f t="shared" si="8"/>
        <v>0</v>
      </c>
      <c r="M25" s="62">
        <f t="shared" si="8"/>
        <v>0</v>
      </c>
      <c r="N25" s="11">
        <f t="shared" si="1"/>
        <v>0</v>
      </c>
      <c r="O25" s="12">
        <f t="shared" si="2"/>
        <v>0</v>
      </c>
    </row>
    <row r="26" spans="1:15" s="22" customFormat="1" ht="38.25">
      <c r="A26" s="64" t="s">
        <v>11</v>
      </c>
      <c r="B26" s="65" t="s">
        <v>49</v>
      </c>
      <c r="C26" s="66">
        <f>ROUND(C11+C15+C20+C25,2)</f>
        <v>1530000</v>
      </c>
      <c r="D26" s="66">
        <f aca="true" t="shared" si="9" ref="D26:M26">ROUND(D11+D15+D20+D25,2)</f>
        <v>300000</v>
      </c>
      <c r="E26" s="66">
        <f t="shared" si="9"/>
        <v>3775060</v>
      </c>
      <c r="F26" s="66">
        <f t="shared" si="9"/>
        <v>373810</v>
      </c>
      <c r="G26" s="66">
        <f t="shared" si="9"/>
        <v>22060</v>
      </c>
      <c r="H26" s="66">
        <f t="shared" si="9"/>
        <v>395870</v>
      </c>
      <c r="I26" s="66">
        <f t="shared" si="9"/>
        <v>52900</v>
      </c>
      <c r="J26" s="66">
        <f t="shared" si="9"/>
        <v>16340</v>
      </c>
      <c r="K26" s="66">
        <f t="shared" si="9"/>
        <v>0</v>
      </c>
      <c r="L26" s="66">
        <f t="shared" si="9"/>
        <v>0</v>
      </c>
      <c r="M26" s="66">
        <f t="shared" si="9"/>
        <v>176150</v>
      </c>
      <c r="N26" s="67">
        <f t="shared" si="1"/>
        <v>5850450</v>
      </c>
      <c r="O26" s="68">
        <f t="shared" si="2"/>
        <v>6246320</v>
      </c>
    </row>
    <row r="27" spans="1:16" s="19" customFormat="1" ht="39.75" customHeight="1">
      <c r="A27" s="69">
        <v>21</v>
      </c>
      <c r="B27" s="27" t="s">
        <v>50</v>
      </c>
      <c r="C27" s="17"/>
      <c r="D27" s="17"/>
      <c r="E27" s="17"/>
      <c r="F27" s="17"/>
      <c r="G27" s="17"/>
      <c r="H27" s="18">
        <f t="shared" si="0"/>
        <v>0</v>
      </c>
      <c r="I27" s="17"/>
      <c r="J27" s="17"/>
      <c r="K27" s="17"/>
      <c r="L27" s="17"/>
      <c r="M27" s="17"/>
      <c r="N27" s="11">
        <f t="shared" si="1"/>
        <v>0</v>
      </c>
      <c r="O27" s="12">
        <f t="shared" si="2"/>
        <v>0</v>
      </c>
      <c r="P27" s="23"/>
    </row>
    <row r="28" spans="1:16" s="25" customFormat="1" ht="19.5" customHeight="1">
      <c r="A28" s="14" t="s">
        <v>12</v>
      </c>
      <c r="B28" s="24" t="s">
        <v>51</v>
      </c>
      <c r="C28" s="17">
        <f>ROUND(C26-C27,2)</f>
        <v>1530000</v>
      </c>
      <c r="D28" s="17">
        <f>ROUND(D26-D27,2)</f>
        <v>300000</v>
      </c>
      <c r="E28" s="17">
        <f>ROUND(E26-E27,2)</f>
        <v>3775060</v>
      </c>
      <c r="F28" s="17">
        <f>ROUND(F26-F27,2)</f>
        <v>373810</v>
      </c>
      <c r="G28" s="17">
        <f>ROUND(G26-G27,2)</f>
        <v>22060</v>
      </c>
      <c r="H28" s="18">
        <f t="shared" si="0"/>
        <v>395870</v>
      </c>
      <c r="I28" s="17">
        <f>ROUND(I26-I27,2)</f>
        <v>52900</v>
      </c>
      <c r="J28" s="17">
        <f>ROUND(J26-J27,2)</f>
        <v>16340</v>
      </c>
      <c r="K28" s="17">
        <f>ROUND(K26-K27,2)</f>
        <v>0</v>
      </c>
      <c r="L28" s="17">
        <f>ROUND(L26-L27,2)</f>
        <v>0</v>
      </c>
      <c r="M28" s="17">
        <f>ROUND(M26-M27,2)</f>
        <v>176150</v>
      </c>
      <c r="N28" s="11">
        <f t="shared" si="1"/>
        <v>5850450</v>
      </c>
      <c r="O28" s="12">
        <f t="shared" si="2"/>
        <v>6246320</v>
      </c>
      <c r="P28" s="23"/>
    </row>
    <row r="29" spans="1:16" s="25" customFormat="1" ht="26.25" customHeight="1">
      <c r="A29" s="70">
        <v>23</v>
      </c>
      <c r="B29" s="71" t="s">
        <v>52</v>
      </c>
      <c r="C29" s="17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11">
        <f t="shared" si="1"/>
        <v>0</v>
      </c>
      <c r="O29" s="74">
        <f>ROUND(H29+N29,2)</f>
        <v>0</v>
      </c>
      <c r="P29" s="75"/>
    </row>
    <row r="30" spans="1:16" s="13" customFormat="1" ht="25.5">
      <c r="A30" s="14">
        <v>24</v>
      </c>
      <c r="B30" s="27" t="s">
        <v>53</v>
      </c>
      <c r="C30" s="17">
        <v>493732.06</v>
      </c>
      <c r="D30" s="17">
        <v>51332.8</v>
      </c>
      <c r="E30" s="17">
        <v>1253514.49</v>
      </c>
      <c r="F30" s="17">
        <v>123839.13</v>
      </c>
      <c r="G30" s="17">
        <v>7287.27</v>
      </c>
      <c r="H30" s="26">
        <f t="shared" si="0"/>
        <v>131126.4</v>
      </c>
      <c r="I30" s="17">
        <v>16736.07</v>
      </c>
      <c r="J30" s="17">
        <v>5237.61</v>
      </c>
      <c r="K30" s="17">
        <v>0</v>
      </c>
      <c r="L30" s="17">
        <v>0</v>
      </c>
      <c r="M30" s="17">
        <v>58366.97</v>
      </c>
      <c r="N30" s="11">
        <f t="shared" si="1"/>
        <v>1878920</v>
      </c>
      <c r="O30" s="12">
        <f t="shared" si="2"/>
        <v>2010046.4</v>
      </c>
      <c r="P30" s="23"/>
    </row>
    <row r="31" spans="1:16" s="13" customFormat="1" ht="38.25">
      <c r="A31" s="14" t="s">
        <v>54</v>
      </c>
      <c r="B31" s="27" t="s">
        <v>55</v>
      </c>
      <c r="C31" s="17">
        <f>ROUND((C27)/11,2)</f>
        <v>0</v>
      </c>
      <c r="D31" s="17">
        <f aca="true" t="shared" si="10" ref="D31:M31">ROUND((D27)/11,2)</f>
        <v>0</v>
      </c>
      <c r="E31" s="17">
        <f t="shared" si="10"/>
        <v>0</v>
      </c>
      <c r="F31" s="17">
        <f t="shared" si="10"/>
        <v>0</v>
      </c>
      <c r="G31" s="17">
        <f t="shared" si="10"/>
        <v>0</v>
      </c>
      <c r="H31" s="26">
        <f t="shared" si="0"/>
        <v>0</v>
      </c>
      <c r="I31" s="17">
        <f t="shared" si="10"/>
        <v>0</v>
      </c>
      <c r="J31" s="17">
        <f t="shared" si="10"/>
        <v>0</v>
      </c>
      <c r="K31" s="17">
        <f t="shared" si="10"/>
        <v>0</v>
      </c>
      <c r="L31" s="17">
        <f t="shared" si="10"/>
        <v>0</v>
      </c>
      <c r="M31" s="17">
        <f t="shared" si="10"/>
        <v>0</v>
      </c>
      <c r="N31" s="11">
        <f t="shared" si="1"/>
        <v>0</v>
      </c>
      <c r="O31" s="12">
        <f t="shared" si="2"/>
        <v>0</v>
      </c>
      <c r="P31" s="23"/>
    </row>
    <row r="32" spans="1:16" s="13" customFormat="1" ht="39" customHeight="1">
      <c r="A32" s="14" t="s">
        <v>56</v>
      </c>
      <c r="B32" s="27" t="s">
        <v>57</v>
      </c>
      <c r="C32" s="60">
        <f aca="true" t="shared" si="11" ref="C32:K32">ROUND(C31*12-C7,2)</f>
        <v>-1530000</v>
      </c>
      <c r="D32" s="60">
        <f t="shared" si="11"/>
        <v>-300000</v>
      </c>
      <c r="E32" s="60">
        <f t="shared" si="11"/>
        <v>-3775060</v>
      </c>
      <c r="F32" s="60">
        <f t="shared" si="11"/>
        <v>-373810</v>
      </c>
      <c r="G32" s="60">
        <f t="shared" si="11"/>
        <v>-22060</v>
      </c>
      <c r="H32" s="76">
        <f t="shared" si="11"/>
        <v>-395870</v>
      </c>
      <c r="I32" s="60">
        <f t="shared" si="11"/>
        <v>-52900</v>
      </c>
      <c r="J32" s="60">
        <f t="shared" si="11"/>
        <v>-16340</v>
      </c>
      <c r="K32" s="60">
        <f t="shared" si="11"/>
        <v>0</v>
      </c>
      <c r="L32" s="60">
        <f>ROUND(L31*12-L7,2)</f>
        <v>0</v>
      </c>
      <c r="M32" s="60">
        <f>ROUND(M31*12-M7,2)</f>
        <v>-176150</v>
      </c>
      <c r="N32" s="11">
        <f t="shared" si="1"/>
        <v>-5850450</v>
      </c>
      <c r="O32" s="12">
        <f t="shared" si="2"/>
        <v>-6246320</v>
      </c>
      <c r="P32" s="23"/>
    </row>
    <row r="33" spans="1:16" s="29" customFormat="1" ht="26.25" thickBot="1">
      <c r="A33" s="77" t="s">
        <v>58</v>
      </c>
      <c r="B33" s="78" t="s">
        <v>59</v>
      </c>
      <c r="C33" s="79">
        <f aca="true" t="shared" si="12" ref="C33:O33">ROUND(C7+C32,2)</f>
        <v>0</v>
      </c>
      <c r="D33" s="80">
        <f t="shared" si="12"/>
        <v>0</v>
      </c>
      <c r="E33" s="80">
        <f t="shared" si="12"/>
        <v>0</v>
      </c>
      <c r="F33" s="80">
        <f t="shared" si="12"/>
        <v>0</v>
      </c>
      <c r="G33" s="80">
        <f t="shared" si="12"/>
        <v>0</v>
      </c>
      <c r="H33" s="81">
        <f t="shared" si="12"/>
        <v>0</v>
      </c>
      <c r="I33" s="80">
        <f t="shared" si="12"/>
        <v>0</v>
      </c>
      <c r="J33" s="80">
        <f t="shared" si="12"/>
        <v>0</v>
      </c>
      <c r="K33" s="80">
        <f t="shared" si="12"/>
        <v>0</v>
      </c>
      <c r="L33" s="80">
        <f t="shared" si="12"/>
        <v>0</v>
      </c>
      <c r="M33" s="80">
        <f t="shared" si="12"/>
        <v>0</v>
      </c>
      <c r="N33" s="81">
        <f t="shared" si="12"/>
        <v>0</v>
      </c>
      <c r="O33" s="82">
        <f t="shared" si="12"/>
        <v>0</v>
      </c>
      <c r="P33" s="28"/>
    </row>
    <row r="34" spans="1:16" s="29" customFormat="1" ht="12.75">
      <c r="A34" s="30"/>
      <c r="B34" s="31"/>
      <c r="C34" s="8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28"/>
    </row>
    <row r="35" spans="3:12" ht="15.75">
      <c r="C35" s="84"/>
      <c r="D35" s="37"/>
      <c r="E35" s="19"/>
      <c r="G35" s="35"/>
      <c r="H35" s="35"/>
      <c r="I35" s="34"/>
      <c r="J35" s="42"/>
      <c r="K35" s="42"/>
      <c r="L35" s="42"/>
    </row>
    <row r="36" spans="3:12" ht="15.75">
      <c r="C36" s="84"/>
      <c r="D36" s="37"/>
      <c r="E36" s="19"/>
      <c r="J36" s="42"/>
      <c r="K36" s="42"/>
      <c r="L36" s="42"/>
    </row>
    <row r="37" spans="3:16" ht="15.75">
      <c r="C37" s="36"/>
      <c r="D37" s="36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3:16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3:16" ht="15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</sheetData>
  <mergeCells count="2">
    <mergeCell ref="A2:O2"/>
    <mergeCell ref="A3:O3"/>
  </mergeCells>
  <printOptions/>
  <pageMargins left="0.14" right="0.14" top="0.2" bottom="0.34" header="0.22" footer="0.14"/>
  <pageSetup horizontalDpi="600" verticalDpi="600" orientation="landscape" scale="67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2">
      <selection activeCell="D37" sqref="D37"/>
    </sheetView>
  </sheetViews>
  <sheetFormatPr defaultColWidth="9.140625" defaultRowHeight="12.75"/>
  <cols>
    <col min="1" max="1" width="7.140625" style="1" customWidth="1"/>
    <col min="2" max="2" width="35.8515625" style="1" customWidth="1"/>
    <col min="3" max="3" width="14.57421875" style="1" customWidth="1"/>
    <col min="4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300000-80000+1270000-30000-440000+68000</f>
        <v>1088000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f>11180+4820</f>
        <v>16000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</f>
        <v>519650</v>
      </c>
      <c r="O7" s="11">
        <f>ROUND(C7+D7+E7+I7+J7+K7+N7+L7+M7,2)</f>
        <v>16427510</v>
      </c>
      <c r="P7" s="12">
        <f>ROUND(H7+O7,2)</f>
        <v>18010960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0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1"/>
        <v>2262730.49</v>
      </c>
      <c r="P13" s="12">
        <f t="shared" si="2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91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0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1"/>
        <v>2199955.15</v>
      </c>
      <c r="P14" s="12">
        <f t="shared" si="2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1"/>
        <v>6492921.15</v>
      </c>
      <c r="P15" s="12">
        <f t="shared" si="2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1"/>
        <v>12655200.79</v>
      </c>
      <c r="P16" s="12">
        <f t="shared" si="2"/>
        <v>13473168.79</v>
      </c>
    </row>
    <row r="17" spans="1:16" s="13" customFormat="1" ht="12.75">
      <c r="A17" s="14">
        <v>11</v>
      </c>
      <c r="B17" s="15" t="s">
        <v>40</v>
      </c>
      <c r="C17" s="16">
        <f>470000+403538.91</f>
        <v>873538.9099999999</v>
      </c>
      <c r="D17" s="16">
        <f>100000+53270.73</f>
        <v>153270.73</v>
      </c>
      <c r="E17" s="59">
        <f>1527910-516670</f>
        <v>1011240</v>
      </c>
      <c r="F17" s="17">
        <f>130000+25812</f>
        <v>155812</v>
      </c>
      <c r="G17" s="17">
        <f>10000+6570</f>
        <v>16570</v>
      </c>
      <c r="H17" s="18">
        <f t="shared" si="0"/>
        <v>172382</v>
      </c>
      <c r="I17" s="60">
        <f>19380+6796.26</f>
        <v>26176.260000000002</v>
      </c>
      <c r="J17" s="60">
        <v>16000</v>
      </c>
      <c r="K17" s="17">
        <f>4500+28412.35</f>
        <v>32912.35</v>
      </c>
      <c r="L17" s="17">
        <v>0</v>
      </c>
      <c r="M17" s="17">
        <v>38945.02</v>
      </c>
      <c r="N17" s="17">
        <f>60000+35395.94</f>
        <v>95395.94</v>
      </c>
      <c r="O17" s="11">
        <f t="shared" si="1"/>
        <v>2247479.21</v>
      </c>
      <c r="P17" s="12">
        <f t="shared" si="2"/>
        <v>2419861.21</v>
      </c>
    </row>
    <row r="18" spans="1:16" s="19" customFormat="1" ht="12.75">
      <c r="A18" s="14">
        <v>12</v>
      </c>
      <c r="B18" s="15" t="s">
        <v>41</v>
      </c>
      <c r="C18" s="16">
        <v>470000</v>
      </c>
      <c r="D18" s="38">
        <v>100000</v>
      </c>
      <c r="E18" s="39">
        <v>0</v>
      </c>
      <c r="F18" s="39">
        <v>130000</v>
      </c>
      <c r="G18" s="39">
        <v>10000</v>
      </c>
      <c r="H18" s="18">
        <f t="shared" si="0"/>
        <v>140000</v>
      </c>
      <c r="I18" s="17">
        <v>19000</v>
      </c>
      <c r="J18" s="17">
        <v>0</v>
      </c>
      <c r="K18" s="17">
        <v>5440</v>
      </c>
      <c r="L18" s="17">
        <v>0</v>
      </c>
      <c r="M18" s="17">
        <v>0</v>
      </c>
      <c r="N18" s="39">
        <f>60000-6500</f>
        <v>53500</v>
      </c>
      <c r="O18" s="11">
        <f t="shared" si="1"/>
        <v>647940</v>
      </c>
      <c r="P18" s="12">
        <f t="shared" si="2"/>
        <v>787940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61">
        <v>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40">
        <v>0</v>
      </c>
      <c r="K19" s="17">
        <v>0</v>
      </c>
      <c r="L19" s="17">
        <v>0</v>
      </c>
      <c r="M19" s="17">
        <v>0</v>
      </c>
      <c r="N19" s="39">
        <f>43500-43500</f>
        <v>0</v>
      </c>
      <c r="O19" s="11">
        <f t="shared" si="1"/>
        <v>601890</v>
      </c>
      <c r="P19" s="12">
        <f t="shared" si="2"/>
        <v>741890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1826428.91</v>
      </c>
      <c r="D20" s="62">
        <f aca="true" t="shared" si="6" ref="D20:N20">ROUND(D17+D18+D19,2)</f>
        <v>353270.73</v>
      </c>
      <c r="E20" s="62">
        <f t="shared" si="6"/>
        <v>1011240</v>
      </c>
      <c r="F20" s="62">
        <f t="shared" si="6"/>
        <v>415812</v>
      </c>
      <c r="G20" s="62">
        <f t="shared" si="6"/>
        <v>36570</v>
      </c>
      <c r="H20" s="62">
        <f t="shared" si="6"/>
        <v>452382</v>
      </c>
      <c r="I20" s="62">
        <f t="shared" si="6"/>
        <v>64176.26</v>
      </c>
      <c r="J20" s="62">
        <f>ROUND(J17+J18+J19,2)</f>
        <v>16000</v>
      </c>
      <c r="K20" s="62">
        <f>ROUND(K17+K18+K19,2)</f>
        <v>38352.35</v>
      </c>
      <c r="L20" s="62">
        <f t="shared" si="6"/>
        <v>0</v>
      </c>
      <c r="M20" s="62">
        <f t="shared" si="6"/>
        <v>38945.02</v>
      </c>
      <c r="N20" s="62">
        <f t="shared" si="6"/>
        <v>148895.94</v>
      </c>
      <c r="O20" s="11">
        <f t="shared" si="1"/>
        <v>3497309.21</v>
      </c>
      <c r="P20" s="12">
        <f t="shared" si="2"/>
        <v>3949691.21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10003910</v>
      </c>
      <c r="F21" s="62">
        <f t="shared" si="7"/>
        <v>1185600</v>
      </c>
      <c r="G21" s="62">
        <f t="shared" si="7"/>
        <v>84750</v>
      </c>
      <c r="H21" s="62">
        <f t="shared" si="7"/>
        <v>1270350</v>
      </c>
      <c r="I21" s="62">
        <f t="shared" si="7"/>
        <v>169280</v>
      </c>
      <c r="J21" s="62">
        <f>ROUND(J16+J20,2)</f>
        <v>16000</v>
      </c>
      <c r="K21" s="62">
        <f>ROUND(K16+K20,2)</f>
        <v>59940</v>
      </c>
      <c r="L21" s="62">
        <f t="shared" si="7"/>
        <v>0</v>
      </c>
      <c r="M21" s="62">
        <f t="shared" si="7"/>
        <v>82840</v>
      </c>
      <c r="N21" s="62">
        <f t="shared" si="7"/>
        <v>519650</v>
      </c>
      <c r="O21" s="11">
        <f t="shared" si="1"/>
        <v>16152510</v>
      </c>
      <c r="P21" s="12">
        <f t="shared" si="2"/>
        <v>17422860</v>
      </c>
    </row>
    <row r="22" spans="1:16" s="21" customFormat="1" ht="12.75">
      <c r="A22" s="14">
        <v>16</v>
      </c>
      <c r="B22" s="63" t="s">
        <v>45</v>
      </c>
      <c r="C22" s="16">
        <f>430000-430000</f>
        <v>0</v>
      </c>
      <c r="D22" s="38">
        <v>90000</v>
      </c>
      <c r="E22" s="41">
        <f>1333330-1333330</f>
        <v>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f>60000-60000</f>
        <v>0</v>
      </c>
      <c r="O22" s="11">
        <f t="shared" si="1"/>
        <v>95000</v>
      </c>
      <c r="P22" s="12">
        <f t="shared" si="2"/>
        <v>245050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270000</v>
      </c>
      <c r="E25" s="62">
        <f t="shared" si="8"/>
        <v>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0</v>
      </c>
      <c r="O25" s="11">
        <f t="shared" si="1"/>
        <v>275000</v>
      </c>
      <c r="P25" s="12">
        <f t="shared" si="2"/>
        <v>588100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1088000</v>
      </c>
      <c r="E26" s="66">
        <f t="shared" si="9"/>
        <v>10003910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16000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519650</v>
      </c>
      <c r="O26" s="67">
        <f t="shared" si="1"/>
        <v>16427510</v>
      </c>
      <c r="P26" s="68">
        <f t="shared" si="2"/>
        <v>18010960</v>
      </c>
    </row>
    <row r="27" spans="1:17" s="19" customFormat="1" ht="25.5">
      <c r="A27" s="69" t="s">
        <v>108</v>
      </c>
      <c r="B27" s="27" t="s">
        <v>50</v>
      </c>
      <c r="C27" s="17">
        <f>ROUND(C8+C9+C10+C12+C13+C14,2)</f>
        <v>2656461.09</v>
      </c>
      <c r="D27" s="17">
        <f aca="true" t="shared" si="10" ref="D27:N27">ROUND(D8+D9+D10+D12+D13+D14,2)</f>
        <v>464729.27</v>
      </c>
      <c r="E27" s="17">
        <f t="shared" si="10"/>
        <v>8992670</v>
      </c>
      <c r="F27" s="17">
        <f t="shared" si="10"/>
        <v>769788</v>
      </c>
      <c r="G27" s="17">
        <f t="shared" si="10"/>
        <v>48180</v>
      </c>
      <c r="H27" s="18">
        <f t="shared" si="0"/>
        <v>817968</v>
      </c>
      <c r="I27" s="17">
        <f t="shared" si="10"/>
        <v>105103.74</v>
      </c>
      <c r="J27" s="17">
        <f t="shared" si="10"/>
        <v>0</v>
      </c>
      <c r="K27" s="17">
        <f t="shared" si="10"/>
        <v>21587.65</v>
      </c>
      <c r="L27" s="17">
        <f t="shared" si="10"/>
        <v>0</v>
      </c>
      <c r="M27" s="17">
        <f t="shared" si="10"/>
        <v>43894.98</v>
      </c>
      <c r="N27" s="17">
        <f t="shared" si="10"/>
        <v>370754.06</v>
      </c>
      <c r="O27" s="11">
        <f t="shared" si="1"/>
        <v>12655200.79</v>
      </c>
      <c r="P27" s="12">
        <f t="shared" si="2"/>
        <v>13473168.79</v>
      </c>
      <c r="Q27" s="23"/>
    </row>
    <row r="28" spans="1:17" s="25" customFormat="1" ht="25.5">
      <c r="A28" s="14" t="s">
        <v>75</v>
      </c>
      <c r="B28" s="24" t="s">
        <v>109</v>
      </c>
      <c r="C28" s="17">
        <f>ROUND(C26-C27,2)</f>
        <v>1826428.91</v>
      </c>
      <c r="D28" s="17">
        <f>ROUND(D26-D27,2)</f>
        <v>623270.73</v>
      </c>
      <c r="E28" s="17">
        <f>ROUND(E26-E27,2)</f>
        <v>1011240</v>
      </c>
      <c r="F28" s="17">
        <f>ROUND(F26-F27,2)</f>
        <v>725432</v>
      </c>
      <c r="G28" s="17">
        <f>ROUND(G26-G27,2)</f>
        <v>40050</v>
      </c>
      <c r="H28" s="18">
        <f t="shared" si="0"/>
        <v>765482</v>
      </c>
      <c r="I28" s="17">
        <f aca="true" t="shared" si="11" ref="I28:N28">ROUND(I26-I27,2)</f>
        <v>64176.26</v>
      </c>
      <c r="J28" s="17">
        <f t="shared" si="11"/>
        <v>16000</v>
      </c>
      <c r="K28" s="17">
        <f t="shared" si="11"/>
        <v>38352.35</v>
      </c>
      <c r="L28" s="17">
        <f t="shared" si="11"/>
        <v>0</v>
      </c>
      <c r="M28" s="17">
        <f t="shared" si="11"/>
        <v>43945.02</v>
      </c>
      <c r="N28" s="17">
        <f t="shared" si="11"/>
        <v>148895.94</v>
      </c>
      <c r="O28" s="11">
        <f t="shared" si="1"/>
        <v>3772309.21</v>
      </c>
      <c r="P28" s="12">
        <f t="shared" si="2"/>
        <v>4537791.21</v>
      </c>
      <c r="Q28" s="23"/>
    </row>
    <row r="29" spans="1:17" s="25" customFormat="1" ht="26.25" customHeight="1">
      <c r="A29" s="70">
        <v>23</v>
      </c>
      <c r="B29" s="71" t="s">
        <v>110</v>
      </c>
      <c r="C29" s="72">
        <v>0</v>
      </c>
      <c r="D29" s="72">
        <v>0</v>
      </c>
      <c r="E29" s="72">
        <v>29730.39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29730.39</v>
      </c>
      <c r="P29" s="12">
        <f>ROUND(H29+O29,2)</f>
        <v>29730.39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ROUND((C27+C29)/6,2)</f>
        <v>442743.52</v>
      </c>
      <c r="D32" s="17">
        <f aca="true" t="shared" si="13" ref="D32:N32">ROUND((D27+D29)/6,2)</f>
        <v>77454.88</v>
      </c>
      <c r="E32" s="17">
        <f t="shared" si="13"/>
        <v>1503733.4</v>
      </c>
      <c r="F32" s="17">
        <f t="shared" si="13"/>
        <v>128298</v>
      </c>
      <c r="G32" s="17">
        <f t="shared" si="13"/>
        <v>8030</v>
      </c>
      <c r="H32" s="26">
        <f t="shared" si="0"/>
        <v>136328</v>
      </c>
      <c r="I32" s="17">
        <f t="shared" si="13"/>
        <v>17517.29</v>
      </c>
      <c r="J32" s="17">
        <f t="shared" si="13"/>
        <v>0</v>
      </c>
      <c r="K32" s="17">
        <f t="shared" si="13"/>
        <v>3597.94</v>
      </c>
      <c r="L32" s="17">
        <f t="shared" si="13"/>
        <v>0</v>
      </c>
      <c r="M32" s="17">
        <f t="shared" si="13"/>
        <v>7315.83</v>
      </c>
      <c r="N32" s="17">
        <f t="shared" si="13"/>
        <v>61792.34</v>
      </c>
      <c r="O32" s="11">
        <f t="shared" si="1"/>
        <v>2114155.2</v>
      </c>
      <c r="P32" s="12">
        <f t="shared" si="2"/>
        <v>2250483.2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830032.24</v>
      </c>
      <c r="D33" s="60">
        <f t="shared" si="14"/>
        <v>-158541.44</v>
      </c>
      <c r="E33" s="60">
        <f t="shared" si="14"/>
        <v>8040890.8</v>
      </c>
      <c r="F33" s="60">
        <f t="shared" si="14"/>
        <v>44356</v>
      </c>
      <c r="G33" s="60">
        <f t="shared" si="14"/>
        <v>8130</v>
      </c>
      <c r="H33" s="76">
        <f t="shared" si="14"/>
        <v>52486</v>
      </c>
      <c r="I33" s="60">
        <f t="shared" si="14"/>
        <v>40927.48</v>
      </c>
      <c r="J33" s="60">
        <f t="shared" si="14"/>
        <v>-16000</v>
      </c>
      <c r="K33" s="60">
        <f t="shared" si="14"/>
        <v>-16764.72</v>
      </c>
      <c r="L33" s="60">
        <f t="shared" si="14"/>
        <v>0</v>
      </c>
      <c r="M33" s="60">
        <f>ROUND(M32*12-M7,2)</f>
        <v>-50.04</v>
      </c>
      <c r="N33" s="60">
        <f>ROUND(N32*12-N7,2)</f>
        <v>221858.08</v>
      </c>
      <c r="O33" s="11">
        <f t="shared" si="1"/>
        <v>8942352.4</v>
      </c>
      <c r="P33" s="12">
        <f t="shared" si="2"/>
        <v>8994838.4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5312922.24</v>
      </c>
      <c r="D34" s="80">
        <f t="shared" si="15"/>
        <v>929458.56</v>
      </c>
      <c r="E34" s="80">
        <f t="shared" si="15"/>
        <v>18044800.8</v>
      </c>
      <c r="F34" s="80">
        <f t="shared" si="15"/>
        <v>1539576</v>
      </c>
      <c r="G34" s="80">
        <f t="shared" si="15"/>
        <v>96360</v>
      </c>
      <c r="H34" s="81">
        <f t="shared" si="15"/>
        <v>1635936</v>
      </c>
      <c r="I34" s="80">
        <f t="shared" si="15"/>
        <v>210207.48</v>
      </c>
      <c r="J34" s="80">
        <f t="shared" si="15"/>
        <v>0</v>
      </c>
      <c r="K34" s="80">
        <f t="shared" si="15"/>
        <v>43175.28</v>
      </c>
      <c r="L34" s="80">
        <f t="shared" si="15"/>
        <v>0</v>
      </c>
      <c r="M34" s="80">
        <f t="shared" si="15"/>
        <v>87789.96</v>
      </c>
      <c r="N34" s="80">
        <f t="shared" si="15"/>
        <v>741508.08</v>
      </c>
      <c r="O34" s="90">
        <f t="shared" si="1"/>
        <v>25369862.4</v>
      </c>
      <c r="P34" s="82">
        <f t="shared" si="15"/>
        <v>27005798.4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17" right="0.17" top="0.17" bottom="0.16" header="0.17" footer="0.16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3" sqref="A3:P3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300000-80000+1270000-30000-440000+68000</f>
        <v>1088000</v>
      </c>
      <c r="E7" s="11">
        <f>3775060+6228850+3938220</f>
        <v>13942130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f>11180+4820+16000</f>
        <v>32000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176150+343500+145430</f>
        <v>665080</v>
      </c>
      <c r="O7" s="11">
        <f>ROUND(C7+D7+E7+I7+J7+K7+N7+L7+M7,2)</f>
        <v>20527160</v>
      </c>
      <c r="P7" s="12">
        <f>ROUND(H7+O7,2)</f>
        <v>22110610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0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1"/>
        <v>2262730.49</v>
      </c>
      <c r="P13" s="12">
        <f t="shared" si="2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0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1"/>
        <v>2199955.15</v>
      </c>
      <c r="P14" s="12">
        <f t="shared" si="2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1"/>
        <v>6492921.15</v>
      </c>
      <c r="P15" s="12">
        <f t="shared" si="2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1"/>
        <v>12655200.79</v>
      </c>
      <c r="P16" s="12">
        <f t="shared" si="2"/>
        <v>13473168.79</v>
      </c>
    </row>
    <row r="17" spans="1:16" s="13" customFormat="1" ht="12.75">
      <c r="A17" s="14">
        <v>11</v>
      </c>
      <c r="B17" s="15" t="s">
        <v>40</v>
      </c>
      <c r="C17" s="16">
        <f>470000+403538.91</f>
        <v>873538.9099999999</v>
      </c>
      <c r="D17" s="16">
        <f>100000+53270.73</f>
        <v>153270.73</v>
      </c>
      <c r="E17" s="92">
        <f>1527910-516670+607000</f>
        <v>1618240</v>
      </c>
      <c r="F17" s="17">
        <f>130000+25812</f>
        <v>155812</v>
      </c>
      <c r="G17" s="17">
        <f>10000+6570</f>
        <v>16570</v>
      </c>
      <c r="H17" s="18">
        <f t="shared" si="0"/>
        <v>172382</v>
      </c>
      <c r="I17" s="60">
        <f>19380+6796.26</f>
        <v>26176.260000000002</v>
      </c>
      <c r="J17" s="60">
        <v>16000</v>
      </c>
      <c r="K17" s="17">
        <f>4500+28412.35</f>
        <v>32912.35</v>
      </c>
      <c r="L17" s="17">
        <v>0</v>
      </c>
      <c r="M17" s="17">
        <v>38945.02</v>
      </c>
      <c r="N17" s="17">
        <f>60000+35395.94</f>
        <v>95395.94</v>
      </c>
      <c r="O17" s="11">
        <f t="shared" si="1"/>
        <v>2854479.21</v>
      </c>
      <c r="P17" s="12">
        <f t="shared" si="2"/>
        <v>3026861.21</v>
      </c>
    </row>
    <row r="18" spans="1:16" s="19" customFormat="1" ht="12.75">
      <c r="A18" s="14">
        <v>12</v>
      </c>
      <c r="B18" s="15" t="s">
        <v>41</v>
      </c>
      <c r="C18" s="16">
        <v>470000</v>
      </c>
      <c r="D18" s="38">
        <v>100000</v>
      </c>
      <c r="E18" s="93">
        <v>1666000</v>
      </c>
      <c r="F18" s="39">
        <v>130000</v>
      </c>
      <c r="G18" s="39">
        <v>10000</v>
      </c>
      <c r="H18" s="18">
        <f t="shared" si="0"/>
        <v>140000</v>
      </c>
      <c r="I18" s="17">
        <v>19000</v>
      </c>
      <c r="J18" s="94">
        <v>8000</v>
      </c>
      <c r="K18" s="17">
        <v>5440</v>
      </c>
      <c r="L18" s="17">
        <v>0</v>
      </c>
      <c r="M18" s="17">
        <v>0</v>
      </c>
      <c r="N18" s="93">
        <f>60000-6500+72000</f>
        <v>125500</v>
      </c>
      <c r="O18" s="11">
        <f t="shared" si="1"/>
        <v>2393940</v>
      </c>
      <c r="P18" s="12">
        <f t="shared" si="2"/>
        <v>2533940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95">
        <v>1665220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96">
        <v>8000</v>
      </c>
      <c r="K19" s="17">
        <v>0</v>
      </c>
      <c r="L19" s="17">
        <v>0</v>
      </c>
      <c r="M19" s="17">
        <v>0</v>
      </c>
      <c r="N19" s="93">
        <v>73430</v>
      </c>
      <c r="O19" s="11">
        <f t="shared" si="1"/>
        <v>2348540</v>
      </c>
      <c r="P19" s="12">
        <f t="shared" si="2"/>
        <v>2488540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1826428.91</v>
      </c>
      <c r="D20" s="62">
        <f aca="true" t="shared" si="6" ref="D20:N20">ROUND(D17+D18+D19,2)</f>
        <v>353270.73</v>
      </c>
      <c r="E20" s="62">
        <f t="shared" si="6"/>
        <v>4949460</v>
      </c>
      <c r="F20" s="62">
        <f t="shared" si="6"/>
        <v>415812</v>
      </c>
      <c r="G20" s="62">
        <f t="shared" si="6"/>
        <v>36570</v>
      </c>
      <c r="H20" s="62">
        <f t="shared" si="6"/>
        <v>452382</v>
      </c>
      <c r="I20" s="62">
        <f t="shared" si="6"/>
        <v>64176.26</v>
      </c>
      <c r="J20" s="62">
        <f>ROUND(J17+J18+J19,2)</f>
        <v>32000</v>
      </c>
      <c r="K20" s="62">
        <f>ROUND(K17+K18+K19,2)</f>
        <v>38352.35</v>
      </c>
      <c r="L20" s="62">
        <f t="shared" si="6"/>
        <v>0</v>
      </c>
      <c r="M20" s="62">
        <f t="shared" si="6"/>
        <v>38945.02</v>
      </c>
      <c r="N20" s="62">
        <f t="shared" si="6"/>
        <v>294325.94</v>
      </c>
      <c r="O20" s="11">
        <f t="shared" si="1"/>
        <v>7596959.21</v>
      </c>
      <c r="P20" s="12">
        <f t="shared" si="2"/>
        <v>8049341.21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13942130</v>
      </c>
      <c r="F21" s="62">
        <f t="shared" si="7"/>
        <v>1185600</v>
      </c>
      <c r="G21" s="62">
        <f t="shared" si="7"/>
        <v>84750</v>
      </c>
      <c r="H21" s="62">
        <f t="shared" si="7"/>
        <v>1270350</v>
      </c>
      <c r="I21" s="62">
        <f t="shared" si="7"/>
        <v>169280</v>
      </c>
      <c r="J21" s="62">
        <f>ROUND(J16+J20,2)</f>
        <v>32000</v>
      </c>
      <c r="K21" s="62">
        <f>ROUND(K16+K20,2)</f>
        <v>59940</v>
      </c>
      <c r="L21" s="62">
        <f t="shared" si="7"/>
        <v>0</v>
      </c>
      <c r="M21" s="62">
        <f t="shared" si="7"/>
        <v>82840</v>
      </c>
      <c r="N21" s="62">
        <f t="shared" si="7"/>
        <v>665080</v>
      </c>
      <c r="O21" s="11">
        <f t="shared" si="1"/>
        <v>20252160</v>
      </c>
      <c r="P21" s="12">
        <f t="shared" si="2"/>
        <v>21522510</v>
      </c>
    </row>
    <row r="22" spans="1:16" s="21" customFormat="1" ht="12.75">
      <c r="A22" s="14">
        <v>16</v>
      </c>
      <c r="B22" s="63" t="s">
        <v>45</v>
      </c>
      <c r="C22" s="16">
        <f>430000-430000</f>
        <v>0</v>
      </c>
      <c r="D22" s="38">
        <v>90000</v>
      </c>
      <c r="E22" s="41">
        <f>1333330-1333330</f>
        <v>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f>60000-60000</f>
        <v>0</v>
      </c>
      <c r="O22" s="11">
        <f t="shared" si="1"/>
        <v>95000</v>
      </c>
      <c r="P22" s="12">
        <f t="shared" si="2"/>
        <v>245050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270000</v>
      </c>
      <c r="E25" s="62">
        <f t="shared" si="8"/>
        <v>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0</v>
      </c>
      <c r="O25" s="11">
        <f t="shared" si="1"/>
        <v>275000</v>
      </c>
      <c r="P25" s="12">
        <f t="shared" si="2"/>
        <v>588100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1088000</v>
      </c>
      <c r="E26" s="66">
        <f t="shared" si="9"/>
        <v>13942130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32000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665080</v>
      </c>
      <c r="O26" s="67">
        <f t="shared" si="1"/>
        <v>20527160</v>
      </c>
      <c r="P26" s="68">
        <f t="shared" si="2"/>
        <v>22110610</v>
      </c>
    </row>
    <row r="27" spans="1:17" s="19" customFormat="1" ht="25.5">
      <c r="A27" s="69" t="s">
        <v>108</v>
      </c>
      <c r="B27" s="27" t="s">
        <v>50</v>
      </c>
      <c r="C27" s="17">
        <f>ROUND(C8+C9+C10+C12+C13+C14,2)</f>
        <v>2656461.09</v>
      </c>
      <c r="D27" s="17">
        <f aca="true" t="shared" si="10" ref="D27:N27">ROUND(D8+D9+D10+D12+D13+D14,2)</f>
        <v>464729.27</v>
      </c>
      <c r="E27" s="17">
        <f t="shared" si="10"/>
        <v>8992670</v>
      </c>
      <c r="F27" s="17">
        <f t="shared" si="10"/>
        <v>769788</v>
      </c>
      <c r="G27" s="17">
        <f t="shared" si="10"/>
        <v>48180</v>
      </c>
      <c r="H27" s="18">
        <f t="shared" si="0"/>
        <v>817968</v>
      </c>
      <c r="I27" s="17">
        <f t="shared" si="10"/>
        <v>105103.74</v>
      </c>
      <c r="J27" s="17">
        <f t="shared" si="10"/>
        <v>0</v>
      </c>
      <c r="K27" s="17">
        <f t="shared" si="10"/>
        <v>21587.65</v>
      </c>
      <c r="L27" s="17">
        <f t="shared" si="10"/>
        <v>0</v>
      </c>
      <c r="M27" s="17">
        <f t="shared" si="10"/>
        <v>43894.98</v>
      </c>
      <c r="N27" s="17">
        <f t="shared" si="10"/>
        <v>370754.06</v>
      </c>
      <c r="O27" s="11">
        <f t="shared" si="1"/>
        <v>12655200.79</v>
      </c>
      <c r="P27" s="12">
        <f t="shared" si="2"/>
        <v>13473168.79</v>
      </c>
      <c r="Q27" s="23"/>
    </row>
    <row r="28" spans="1:17" s="25" customFormat="1" ht="25.5">
      <c r="A28" s="14" t="s">
        <v>75</v>
      </c>
      <c r="B28" s="24" t="s">
        <v>109</v>
      </c>
      <c r="C28" s="17">
        <f>ROUND(C26-C27,2)</f>
        <v>1826428.91</v>
      </c>
      <c r="D28" s="17">
        <f>ROUND(D26-D27,2)</f>
        <v>623270.73</v>
      </c>
      <c r="E28" s="17">
        <f>ROUND(E26-E27,2)</f>
        <v>4949460</v>
      </c>
      <c r="F28" s="17">
        <f>ROUND(F26-F27,2)</f>
        <v>725432</v>
      </c>
      <c r="G28" s="17">
        <f>ROUND(G26-G27,2)</f>
        <v>40050</v>
      </c>
      <c r="H28" s="18">
        <f t="shared" si="0"/>
        <v>765482</v>
      </c>
      <c r="I28" s="17">
        <f aca="true" t="shared" si="11" ref="I28:N28">ROUND(I26-I27,2)</f>
        <v>64176.26</v>
      </c>
      <c r="J28" s="17">
        <f t="shared" si="11"/>
        <v>32000</v>
      </c>
      <c r="K28" s="17">
        <f t="shared" si="11"/>
        <v>38352.35</v>
      </c>
      <c r="L28" s="17">
        <f t="shared" si="11"/>
        <v>0</v>
      </c>
      <c r="M28" s="17">
        <f t="shared" si="11"/>
        <v>43945.02</v>
      </c>
      <c r="N28" s="17">
        <f t="shared" si="11"/>
        <v>294325.94</v>
      </c>
      <c r="O28" s="11">
        <f t="shared" si="1"/>
        <v>7871959.21</v>
      </c>
      <c r="P28" s="12">
        <f t="shared" si="2"/>
        <v>8637441.21</v>
      </c>
      <c r="Q28" s="23"/>
    </row>
    <row r="29" spans="1:17" s="25" customFormat="1" ht="26.25" customHeight="1">
      <c r="A29" s="70">
        <v>23</v>
      </c>
      <c r="B29" s="71" t="s">
        <v>110</v>
      </c>
      <c r="C29" s="72">
        <v>0</v>
      </c>
      <c r="D29" s="72">
        <v>0</v>
      </c>
      <c r="E29" s="72">
        <v>29730.39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29730.39</v>
      </c>
      <c r="P29" s="12">
        <f>ROUND(H29+O29,2)</f>
        <v>29730.39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ROUND((C27+C29)/6,2)</f>
        <v>442743.52</v>
      </c>
      <c r="D32" s="17">
        <f aca="true" t="shared" si="13" ref="D32:N32">ROUND((D27+D29)/6,2)</f>
        <v>77454.88</v>
      </c>
      <c r="E32" s="17">
        <f t="shared" si="13"/>
        <v>1503733.4</v>
      </c>
      <c r="F32" s="17">
        <f t="shared" si="13"/>
        <v>128298</v>
      </c>
      <c r="G32" s="17">
        <f t="shared" si="13"/>
        <v>8030</v>
      </c>
      <c r="H32" s="26">
        <f t="shared" si="0"/>
        <v>136328</v>
      </c>
      <c r="I32" s="17">
        <f t="shared" si="13"/>
        <v>17517.29</v>
      </c>
      <c r="J32" s="17">
        <f t="shared" si="13"/>
        <v>0</v>
      </c>
      <c r="K32" s="17">
        <f t="shared" si="13"/>
        <v>3597.94</v>
      </c>
      <c r="L32" s="17">
        <f t="shared" si="13"/>
        <v>0</v>
      </c>
      <c r="M32" s="17">
        <f t="shared" si="13"/>
        <v>7315.83</v>
      </c>
      <c r="N32" s="17">
        <f t="shared" si="13"/>
        <v>61792.34</v>
      </c>
      <c r="O32" s="11">
        <f t="shared" si="1"/>
        <v>2114155.2</v>
      </c>
      <c r="P32" s="12">
        <f t="shared" si="2"/>
        <v>2250483.2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830032.24</v>
      </c>
      <c r="D33" s="60">
        <f t="shared" si="14"/>
        <v>-158541.44</v>
      </c>
      <c r="E33" s="60">
        <f t="shared" si="14"/>
        <v>4102670.8</v>
      </c>
      <c r="F33" s="60">
        <f t="shared" si="14"/>
        <v>44356</v>
      </c>
      <c r="G33" s="60">
        <f t="shared" si="14"/>
        <v>8130</v>
      </c>
      <c r="H33" s="76">
        <f t="shared" si="14"/>
        <v>52486</v>
      </c>
      <c r="I33" s="60">
        <f t="shared" si="14"/>
        <v>40927.48</v>
      </c>
      <c r="J33" s="60">
        <f t="shared" si="14"/>
        <v>-32000</v>
      </c>
      <c r="K33" s="60">
        <f t="shared" si="14"/>
        <v>-16764.72</v>
      </c>
      <c r="L33" s="60">
        <f t="shared" si="14"/>
        <v>0</v>
      </c>
      <c r="M33" s="60">
        <f>ROUND(M32*12-M7,2)</f>
        <v>-50.04</v>
      </c>
      <c r="N33" s="60">
        <f>ROUND(N32*12-N7,2)</f>
        <v>76428.08</v>
      </c>
      <c r="O33" s="11">
        <f t="shared" si="1"/>
        <v>4842702.4</v>
      </c>
      <c r="P33" s="12">
        <f t="shared" si="2"/>
        <v>4895188.4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5312922.24</v>
      </c>
      <c r="D34" s="80">
        <f t="shared" si="15"/>
        <v>929458.56</v>
      </c>
      <c r="E34" s="80">
        <f t="shared" si="15"/>
        <v>18044800.8</v>
      </c>
      <c r="F34" s="80">
        <f t="shared" si="15"/>
        <v>1539576</v>
      </c>
      <c r="G34" s="80">
        <f t="shared" si="15"/>
        <v>96360</v>
      </c>
      <c r="H34" s="81">
        <f t="shared" si="15"/>
        <v>1635936</v>
      </c>
      <c r="I34" s="80">
        <f t="shared" si="15"/>
        <v>210207.48</v>
      </c>
      <c r="J34" s="80">
        <f t="shared" si="15"/>
        <v>0</v>
      </c>
      <c r="K34" s="80">
        <f t="shared" si="15"/>
        <v>43175.28</v>
      </c>
      <c r="L34" s="80">
        <f t="shared" si="15"/>
        <v>0</v>
      </c>
      <c r="M34" s="80">
        <f t="shared" si="15"/>
        <v>87789.96</v>
      </c>
      <c r="N34" s="80">
        <f t="shared" si="15"/>
        <v>741508.08</v>
      </c>
      <c r="O34" s="90">
        <f t="shared" si="1"/>
        <v>25369862.4</v>
      </c>
      <c r="P34" s="82">
        <f t="shared" si="15"/>
        <v>27005798.4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 t="s">
        <v>89</v>
      </c>
      <c r="D36" s="37"/>
      <c r="E36" s="19"/>
      <c r="G36" s="35"/>
      <c r="H36" s="35"/>
      <c r="I36" s="34"/>
      <c r="J36" s="34"/>
      <c r="K36" s="42" t="s">
        <v>90</v>
      </c>
      <c r="L36" s="42"/>
      <c r="M36" s="42"/>
    </row>
    <row r="37" spans="3:13" ht="15.75">
      <c r="C37" s="84" t="s">
        <v>91</v>
      </c>
      <c r="D37" s="37"/>
      <c r="E37" s="19"/>
      <c r="K37" s="42" t="s">
        <v>92</v>
      </c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E1">
      <selection activeCell="Q6" sqref="Q6"/>
    </sheetView>
  </sheetViews>
  <sheetFormatPr defaultColWidth="9.140625" defaultRowHeight="12.75"/>
  <cols>
    <col min="1" max="1" width="7.140625" style="1" customWidth="1"/>
    <col min="2" max="2" width="36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2.42187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/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300000-80000+1270000-30000-440000+68000</f>
        <v>1088000</v>
      </c>
      <c r="E7" s="11">
        <f>3775060+6228850+3938220</f>
        <v>13942130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f>11180+4820+16000</f>
        <v>32000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176150+343500+145430</f>
        <v>665080</v>
      </c>
      <c r="O7" s="11">
        <f>ROUND(C7+D7+E7+I7+J7+K7+N7+L7+M7,2)</f>
        <v>20527160</v>
      </c>
      <c r="P7" s="12">
        <f>ROUND(H7+O7,2)</f>
        <v>22110610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0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1"/>
        <v>2262730.49</v>
      </c>
      <c r="P13" s="12">
        <f t="shared" si="2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0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1"/>
        <v>2199955.15</v>
      </c>
      <c r="P14" s="12">
        <f t="shared" si="2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1"/>
        <v>6492921.15</v>
      </c>
      <c r="P15" s="12">
        <f t="shared" si="2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1"/>
        <v>12655200.79</v>
      </c>
      <c r="P16" s="12">
        <f t="shared" si="2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0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1"/>
        <v>2227384.51</v>
      </c>
      <c r="P17" s="12">
        <f t="shared" si="2"/>
        <v>2359744.51</v>
      </c>
    </row>
    <row r="18" spans="1:16" s="19" customFormat="1" ht="12.75">
      <c r="A18" s="14">
        <v>12</v>
      </c>
      <c r="B18" s="15" t="s">
        <v>41</v>
      </c>
      <c r="C18" s="16">
        <f>470000+434463.31</f>
        <v>904463.31</v>
      </c>
      <c r="D18" s="38">
        <f>100000+76962.23</f>
        <v>176962.22999999998</v>
      </c>
      <c r="E18" s="38">
        <f>1666000+1126.68</f>
        <v>1667126.68</v>
      </c>
      <c r="F18" s="39">
        <f>130000+30172</f>
        <v>160172</v>
      </c>
      <c r="G18" s="39">
        <f>10000+9850</f>
        <v>19850</v>
      </c>
      <c r="H18" s="18">
        <f t="shared" si="0"/>
        <v>180022</v>
      </c>
      <c r="I18" s="17">
        <f>19000+12133.36</f>
        <v>31133.36</v>
      </c>
      <c r="J18" s="16">
        <f>8000+13017.77</f>
        <v>21017.77</v>
      </c>
      <c r="K18" s="17">
        <f>5440+29548.04</f>
        <v>34988.04</v>
      </c>
      <c r="L18" s="17">
        <v>0</v>
      </c>
      <c r="M18" s="17">
        <v>38945.02</v>
      </c>
      <c r="N18" s="38">
        <f>60000-6500+72000+20898.29</f>
        <v>146398.29</v>
      </c>
      <c r="O18" s="11">
        <f t="shared" si="1"/>
        <v>3021034.7</v>
      </c>
      <c r="P18" s="12">
        <f t="shared" si="2"/>
        <v>3201056.7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97">
        <v>1665220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41">
        <v>8000</v>
      </c>
      <c r="K19" s="17">
        <v>0</v>
      </c>
      <c r="L19" s="17">
        <v>0</v>
      </c>
      <c r="M19" s="17">
        <v>0</v>
      </c>
      <c r="N19" s="38">
        <v>73430</v>
      </c>
      <c r="O19" s="11">
        <f t="shared" si="1"/>
        <v>2348540</v>
      </c>
      <c r="P19" s="12">
        <f t="shared" si="2"/>
        <v>2488540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1826428.91</v>
      </c>
      <c r="D20" s="62">
        <f aca="true" t="shared" si="6" ref="D20:N20">ROUND(D17+D18+D19,2)</f>
        <v>353270.73</v>
      </c>
      <c r="E20" s="62">
        <f t="shared" si="6"/>
        <v>4949460</v>
      </c>
      <c r="F20" s="62">
        <f t="shared" si="6"/>
        <v>415812</v>
      </c>
      <c r="G20" s="62">
        <f t="shared" si="6"/>
        <v>36570</v>
      </c>
      <c r="H20" s="62">
        <f t="shared" si="6"/>
        <v>452382</v>
      </c>
      <c r="I20" s="62">
        <f t="shared" si="6"/>
        <v>64176.26</v>
      </c>
      <c r="J20" s="62">
        <f>ROUND(J17+J18+J19,2)</f>
        <v>32000</v>
      </c>
      <c r="K20" s="62">
        <f>ROUND(K17+K18+K19,2)</f>
        <v>38352.35</v>
      </c>
      <c r="L20" s="62">
        <f t="shared" si="6"/>
        <v>0</v>
      </c>
      <c r="M20" s="62">
        <f t="shared" si="6"/>
        <v>38945.02</v>
      </c>
      <c r="N20" s="62">
        <f t="shared" si="6"/>
        <v>294325.94</v>
      </c>
      <c r="O20" s="11">
        <f t="shared" si="1"/>
        <v>7596959.21</v>
      </c>
      <c r="P20" s="12">
        <f t="shared" si="2"/>
        <v>8049341.21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13942130</v>
      </c>
      <c r="F21" s="62">
        <f t="shared" si="7"/>
        <v>1185600</v>
      </c>
      <c r="G21" s="62">
        <f t="shared" si="7"/>
        <v>84750</v>
      </c>
      <c r="H21" s="62">
        <f t="shared" si="7"/>
        <v>1270350</v>
      </c>
      <c r="I21" s="62">
        <f t="shared" si="7"/>
        <v>169280</v>
      </c>
      <c r="J21" s="62">
        <f>ROUND(J16+J20,2)</f>
        <v>32000</v>
      </c>
      <c r="K21" s="62">
        <f>ROUND(K16+K20,2)</f>
        <v>59940</v>
      </c>
      <c r="L21" s="62">
        <f t="shared" si="7"/>
        <v>0</v>
      </c>
      <c r="M21" s="62">
        <f t="shared" si="7"/>
        <v>82840</v>
      </c>
      <c r="N21" s="62">
        <f t="shared" si="7"/>
        <v>665080</v>
      </c>
      <c r="O21" s="11">
        <f t="shared" si="1"/>
        <v>20252160</v>
      </c>
      <c r="P21" s="12">
        <f t="shared" si="2"/>
        <v>21522510</v>
      </c>
    </row>
    <row r="22" spans="1:16" s="21" customFormat="1" ht="12.75">
      <c r="A22" s="14">
        <v>16</v>
      </c>
      <c r="B22" s="63" t="s">
        <v>45</v>
      </c>
      <c r="C22" s="16">
        <f>430000-430000</f>
        <v>0</v>
      </c>
      <c r="D22" s="38">
        <v>90000</v>
      </c>
      <c r="E22" s="41">
        <f>1333330-1333330</f>
        <v>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f>60000-60000</f>
        <v>0</v>
      </c>
      <c r="O22" s="11">
        <f t="shared" si="1"/>
        <v>95000</v>
      </c>
      <c r="P22" s="12">
        <f t="shared" si="2"/>
        <v>245050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270000</v>
      </c>
      <c r="E25" s="62">
        <f t="shared" si="8"/>
        <v>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0</v>
      </c>
      <c r="O25" s="11">
        <f t="shared" si="1"/>
        <v>275000</v>
      </c>
      <c r="P25" s="12">
        <f t="shared" si="2"/>
        <v>588100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1088000</v>
      </c>
      <c r="E26" s="66">
        <f t="shared" si="9"/>
        <v>13942130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32000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665080</v>
      </c>
      <c r="O26" s="67">
        <f t="shared" si="1"/>
        <v>20527160</v>
      </c>
      <c r="P26" s="68">
        <f t="shared" si="2"/>
        <v>22110610</v>
      </c>
    </row>
    <row r="27" spans="1:17" s="19" customFormat="1" ht="25.5">
      <c r="A27" s="69" t="s">
        <v>114</v>
      </c>
      <c r="B27" s="27" t="s">
        <v>50</v>
      </c>
      <c r="C27" s="17">
        <f>ROUND(C8+C9+C10+C12+C13+C14+C17,2)</f>
        <v>3095536.69</v>
      </c>
      <c r="D27" s="17">
        <f aca="true" t="shared" si="10" ref="D27:N27">ROUND(D8+D9+D10+D12+D13+D14+D17,2)</f>
        <v>541037.77</v>
      </c>
      <c r="E27" s="17">
        <f t="shared" si="10"/>
        <v>10609783.32</v>
      </c>
      <c r="F27" s="17">
        <f t="shared" si="10"/>
        <v>895428</v>
      </c>
      <c r="G27" s="17">
        <f t="shared" si="10"/>
        <v>54900</v>
      </c>
      <c r="H27" s="18">
        <f t="shared" si="0"/>
        <v>950328</v>
      </c>
      <c r="I27" s="17">
        <f t="shared" si="10"/>
        <v>119146.64</v>
      </c>
      <c r="J27" s="17">
        <f t="shared" si="10"/>
        <v>2982.23</v>
      </c>
      <c r="K27" s="17">
        <f t="shared" si="10"/>
        <v>24951.96</v>
      </c>
      <c r="L27" s="17">
        <f t="shared" si="10"/>
        <v>0</v>
      </c>
      <c r="M27" s="17">
        <f t="shared" si="10"/>
        <v>43894.98</v>
      </c>
      <c r="N27" s="17">
        <f t="shared" si="10"/>
        <v>445251.71</v>
      </c>
      <c r="O27" s="11">
        <f t="shared" si="1"/>
        <v>14882585.3</v>
      </c>
      <c r="P27" s="12">
        <f t="shared" si="2"/>
        <v>15832913.3</v>
      </c>
      <c r="Q27" s="23"/>
    </row>
    <row r="28" spans="1:17" s="25" customFormat="1" ht="25.5">
      <c r="A28" s="14" t="s">
        <v>75</v>
      </c>
      <c r="B28" s="24" t="s">
        <v>115</v>
      </c>
      <c r="C28" s="17">
        <f>ROUND(C26-C27,2)</f>
        <v>1387353.31</v>
      </c>
      <c r="D28" s="17">
        <f>ROUND(D26-D27,2)</f>
        <v>546962.23</v>
      </c>
      <c r="E28" s="17">
        <f>ROUND(E26-E27,2)</f>
        <v>3332346.68</v>
      </c>
      <c r="F28" s="17">
        <f>ROUND(F26-F27,2)</f>
        <v>599792</v>
      </c>
      <c r="G28" s="17">
        <f>ROUND(G26-G27,2)</f>
        <v>33330</v>
      </c>
      <c r="H28" s="18">
        <f t="shared" si="0"/>
        <v>633122</v>
      </c>
      <c r="I28" s="17">
        <f aca="true" t="shared" si="11" ref="I28:N28">ROUND(I26-I27,2)</f>
        <v>50133.36</v>
      </c>
      <c r="J28" s="17">
        <f t="shared" si="11"/>
        <v>29017.77</v>
      </c>
      <c r="K28" s="17">
        <f t="shared" si="11"/>
        <v>34988.04</v>
      </c>
      <c r="L28" s="17">
        <f t="shared" si="11"/>
        <v>0</v>
      </c>
      <c r="M28" s="17">
        <f t="shared" si="11"/>
        <v>43945.02</v>
      </c>
      <c r="N28" s="17">
        <f t="shared" si="11"/>
        <v>219828.29</v>
      </c>
      <c r="O28" s="11">
        <f t="shared" si="1"/>
        <v>5644574.7</v>
      </c>
      <c r="P28" s="12">
        <f t="shared" si="2"/>
        <v>6277696.7</v>
      </c>
      <c r="Q28" s="23"/>
    </row>
    <row r="29" spans="1:17" s="25" customFormat="1" ht="26.25" customHeight="1">
      <c r="A29" s="70">
        <v>23</v>
      </c>
      <c r="B29" s="71" t="s">
        <v>116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ROUND((C27+C29)/7,2)</f>
        <v>442219.53</v>
      </c>
      <c r="D32" s="17">
        <f aca="true" t="shared" si="13" ref="D32:N32">ROUND((D27+D29)/7,2)</f>
        <v>77291.11</v>
      </c>
      <c r="E32" s="17">
        <f t="shared" si="13"/>
        <v>1515683.33</v>
      </c>
      <c r="F32" s="17">
        <f t="shared" si="13"/>
        <v>127918.29</v>
      </c>
      <c r="G32" s="17">
        <f t="shared" si="13"/>
        <v>7842.86</v>
      </c>
      <c r="H32" s="26">
        <f t="shared" si="0"/>
        <v>135761.15</v>
      </c>
      <c r="I32" s="17">
        <f t="shared" si="13"/>
        <v>17020.95</v>
      </c>
      <c r="J32" s="17">
        <f t="shared" si="13"/>
        <v>426.03</v>
      </c>
      <c r="K32" s="17">
        <f t="shared" si="13"/>
        <v>3564.57</v>
      </c>
      <c r="L32" s="17">
        <f t="shared" si="13"/>
        <v>0</v>
      </c>
      <c r="M32" s="17">
        <f t="shared" si="13"/>
        <v>6270.71</v>
      </c>
      <c r="N32" s="17">
        <f t="shared" si="13"/>
        <v>63607.39</v>
      </c>
      <c r="O32" s="11">
        <f t="shared" si="1"/>
        <v>2126083.62</v>
      </c>
      <c r="P32" s="12">
        <f t="shared" si="2"/>
        <v>2261844.77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823744.36</v>
      </c>
      <c r="D33" s="60">
        <f t="shared" si="14"/>
        <v>-160506.68</v>
      </c>
      <c r="E33" s="60">
        <f t="shared" si="14"/>
        <v>4246069.96</v>
      </c>
      <c r="F33" s="60">
        <f t="shared" si="14"/>
        <v>39799.48</v>
      </c>
      <c r="G33" s="60">
        <f t="shared" si="14"/>
        <v>5884.32</v>
      </c>
      <c r="H33" s="76">
        <f t="shared" si="14"/>
        <v>45683.8</v>
      </c>
      <c r="I33" s="60">
        <f t="shared" si="14"/>
        <v>34971.4</v>
      </c>
      <c r="J33" s="60">
        <f t="shared" si="14"/>
        <v>-26887.64</v>
      </c>
      <c r="K33" s="60">
        <f t="shared" si="14"/>
        <v>-17165.16</v>
      </c>
      <c r="L33" s="60">
        <f t="shared" si="14"/>
        <v>0</v>
      </c>
      <c r="M33" s="60">
        <f>ROUND(M32*12-M7,2)</f>
        <v>-12591.48</v>
      </c>
      <c r="N33" s="60">
        <f>ROUND(N32*12-N7,2)</f>
        <v>98208.68</v>
      </c>
      <c r="O33" s="11">
        <f t="shared" si="1"/>
        <v>4985843.44</v>
      </c>
      <c r="P33" s="12">
        <f t="shared" si="2"/>
        <v>5031527.24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5306634.36</v>
      </c>
      <c r="D34" s="80">
        <f t="shared" si="15"/>
        <v>927493.32</v>
      </c>
      <c r="E34" s="80">
        <f t="shared" si="15"/>
        <v>18188199.96</v>
      </c>
      <c r="F34" s="80">
        <f t="shared" si="15"/>
        <v>1535019.48</v>
      </c>
      <c r="G34" s="80">
        <f t="shared" si="15"/>
        <v>94114.32</v>
      </c>
      <c r="H34" s="81">
        <f t="shared" si="15"/>
        <v>1629133.8</v>
      </c>
      <c r="I34" s="80">
        <f t="shared" si="15"/>
        <v>204251.4</v>
      </c>
      <c r="J34" s="80">
        <f t="shared" si="15"/>
        <v>5112.36</v>
      </c>
      <c r="K34" s="80">
        <f t="shared" si="15"/>
        <v>42774.84</v>
      </c>
      <c r="L34" s="80">
        <f t="shared" si="15"/>
        <v>0</v>
      </c>
      <c r="M34" s="80">
        <f t="shared" si="15"/>
        <v>75248.52</v>
      </c>
      <c r="N34" s="80">
        <f t="shared" si="15"/>
        <v>763288.68</v>
      </c>
      <c r="O34" s="90">
        <f t="shared" si="1"/>
        <v>25513003.44</v>
      </c>
      <c r="P34" s="82">
        <f t="shared" si="15"/>
        <v>27142137.24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17" right="0.17" top="0.46" bottom="0.24" header="0.5" footer="0.28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3" sqref="A3:P3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117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1530000+2952890+450000</f>
        <v>4932890</v>
      </c>
      <c r="D7" s="11">
        <f>300000-80000+1270000-30000-440000+68000</f>
        <v>1088000</v>
      </c>
      <c r="E7" s="11">
        <f>3775060+6228850+3938220+1530000</f>
        <v>15472130</v>
      </c>
      <c r="F7" s="11">
        <f>373810+1121410+44360</f>
        <v>1539580</v>
      </c>
      <c r="G7" s="11">
        <f>22060+66170+8130</f>
        <v>96360</v>
      </c>
      <c r="H7" s="11">
        <f>ROUND(F7+G7,2)</f>
        <v>1635940</v>
      </c>
      <c r="I7" s="11">
        <f>52900+116380</f>
        <v>169280</v>
      </c>
      <c r="J7" s="11">
        <f>11180+4820+16000+4000</f>
        <v>36000</v>
      </c>
      <c r="K7" s="11">
        <f>16340+35940+7660</f>
        <v>59940</v>
      </c>
      <c r="L7" s="11">
        <f>26070+26070-52140</f>
        <v>0</v>
      </c>
      <c r="M7" s="11">
        <f>43920+43920+38890</f>
        <v>126730</v>
      </c>
      <c r="N7" s="11">
        <f>176150+343500+145430+54360</f>
        <v>719440</v>
      </c>
      <c r="O7" s="11">
        <f>ROUND(C7+D7+E7+I7+J7+K7+N7+L7+M7,2)</f>
        <v>22604410</v>
      </c>
      <c r="P7" s="12">
        <f>ROUND(H7+O7,2)</f>
        <v>24240350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0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1"/>
        <v>2262730.49</v>
      </c>
      <c r="P13" s="12">
        <f t="shared" si="2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0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1"/>
        <v>2199955.15</v>
      </c>
      <c r="P14" s="12">
        <f t="shared" si="2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1"/>
        <v>6492921.15</v>
      </c>
      <c r="P15" s="12">
        <f t="shared" si="2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1"/>
        <v>12655200.79</v>
      </c>
      <c r="P16" s="12">
        <f t="shared" si="2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0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1"/>
        <v>2227384.51</v>
      </c>
      <c r="P17" s="12">
        <f t="shared" si="2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0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1"/>
        <v>2190753.7</v>
      </c>
      <c r="P18" s="12">
        <f t="shared" si="2"/>
        <v>2329960.1</v>
      </c>
    </row>
    <row r="19" spans="1:16" s="21" customFormat="1" ht="12.75">
      <c r="A19" s="14">
        <v>13</v>
      </c>
      <c r="B19" s="43" t="s">
        <v>42</v>
      </c>
      <c r="C19" s="16">
        <f>482890+501252.77</f>
        <v>984142.77</v>
      </c>
      <c r="D19" s="38">
        <f>100000+101821.17</f>
        <v>201821.16999999998</v>
      </c>
      <c r="E19" s="97">
        <f>1665220+23938.56</f>
        <v>1689158.56</v>
      </c>
      <c r="F19" s="39">
        <f>130000+27685.6+44360</f>
        <v>202045.6</v>
      </c>
      <c r="G19" s="98">
        <f>10000+13130+8130</f>
        <v>31260</v>
      </c>
      <c r="H19" s="18">
        <f t="shared" si="0"/>
        <v>233305.6</v>
      </c>
      <c r="I19" s="40">
        <f>19000+18391.66</f>
        <v>37391.66</v>
      </c>
      <c r="J19" s="41">
        <f>8000+13735.45+4000</f>
        <v>25735.45</v>
      </c>
      <c r="K19" s="17">
        <v>32044.27</v>
      </c>
      <c r="L19" s="17">
        <v>0</v>
      </c>
      <c r="M19" s="17">
        <f>38945.02+38890</f>
        <v>77835.01999999999</v>
      </c>
      <c r="N19" s="38">
        <f>73430+100152.1</f>
        <v>173582.1</v>
      </c>
      <c r="O19" s="11">
        <f t="shared" si="1"/>
        <v>3221711</v>
      </c>
      <c r="P19" s="12">
        <f t="shared" si="2"/>
        <v>3455016.6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1826428.91</v>
      </c>
      <c r="D20" s="62">
        <f aca="true" t="shared" si="6" ref="D20:N20">ROUND(D17+D18+D19,2)</f>
        <v>353270.73</v>
      </c>
      <c r="E20" s="62">
        <f t="shared" si="6"/>
        <v>4949460</v>
      </c>
      <c r="F20" s="62">
        <f t="shared" si="6"/>
        <v>460172</v>
      </c>
      <c r="G20" s="62">
        <f t="shared" si="6"/>
        <v>44700</v>
      </c>
      <c r="H20" s="62">
        <f t="shared" si="6"/>
        <v>504872</v>
      </c>
      <c r="I20" s="62">
        <f t="shared" si="6"/>
        <v>64176.26</v>
      </c>
      <c r="J20" s="62">
        <f>ROUND(J17+J18+J19,2)</f>
        <v>36000</v>
      </c>
      <c r="K20" s="62">
        <f>ROUND(K17+K18+K19,2)</f>
        <v>38352.35</v>
      </c>
      <c r="L20" s="62">
        <f t="shared" si="6"/>
        <v>0</v>
      </c>
      <c r="M20" s="62">
        <f t="shared" si="6"/>
        <v>77835.02</v>
      </c>
      <c r="N20" s="62">
        <f t="shared" si="6"/>
        <v>294325.94</v>
      </c>
      <c r="O20" s="11">
        <f t="shared" si="1"/>
        <v>7639849.21</v>
      </c>
      <c r="P20" s="12">
        <f t="shared" si="2"/>
        <v>8144721.21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13942130</v>
      </c>
      <c r="F21" s="62">
        <f t="shared" si="7"/>
        <v>1229960</v>
      </c>
      <c r="G21" s="62">
        <f t="shared" si="7"/>
        <v>92880</v>
      </c>
      <c r="H21" s="62">
        <f t="shared" si="7"/>
        <v>1322840</v>
      </c>
      <c r="I21" s="62">
        <f t="shared" si="7"/>
        <v>169280</v>
      </c>
      <c r="J21" s="62">
        <f>ROUND(J16+J20,2)</f>
        <v>36000</v>
      </c>
      <c r="K21" s="62">
        <f>ROUND(K16+K20,2)</f>
        <v>59940</v>
      </c>
      <c r="L21" s="62">
        <f t="shared" si="7"/>
        <v>0</v>
      </c>
      <c r="M21" s="62">
        <f t="shared" si="7"/>
        <v>121730</v>
      </c>
      <c r="N21" s="62">
        <f t="shared" si="7"/>
        <v>665080</v>
      </c>
      <c r="O21" s="11">
        <f t="shared" si="1"/>
        <v>20295050</v>
      </c>
      <c r="P21" s="12">
        <f t="shared" si="2"/>
        <v>21617890</v>
      </c>
    </row>
    <row r="22" spans="1:16" s="21" customFormat="1" ht="12.75">
      <c r="A22" s="14">
        <v>16</v>
      </c>
      <c r="B22" s="63" t="s">
        <v>45</v>
      </c>
      <c r="C22" s="16">
        <v>450000</v>
      </c>
      <c r="D22" s="38">
        <v>90000</v>
      </c>
      <c r="E22" s="41">
        <v>1530000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v>54360</v>
      </c>
      <c r="O22" s="11">
        <f t="shared" si="1"/>
        <v>2129360</v>
      </c>
      <c r="P22" s="12">
        <f t="shared" si="2"/>
        <v>2279410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450000</v>
      </c>
      <c r="D25" s="62">
        <f aca="true" t="shared" si="8" ref="D25:N25">ROUND(D22+D23+D24,2)</f>
        <v>270000</v>
      </c>
      <c r="E25" s="62">
        <f t="shared" si="8"/>
        <v>1530000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54360</v>
      </c>
      <c r="O25" s="11">
        <f t="shared" si="1"/>
        <v>2309360</v>
      </c>
      <c r="P25" s="12">
        <f t="shared" si="2"/>
        <v>2622460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4932890</v>
      </c>
      <c r="D26" s="66">
        <f aca="true" t="shared" si="9" ref="D26:N26">ROUND(D11+D15+D20+D25,2)</f>
        <v>1088000</v>
      </c>
      <c r="E26" s="66">
        <f t="shared" si="9"/>
        <v>15472130</v>
      </c>
      <c r="F26" s="66">
        <f t="shared" si="9"/>
        <v>1539580</v>
      </c>
      <c r="G26" s="66">
        <f t="shared" si="9"/>
        <v>96360</v>
      </c>
      <c r="H26" s="66">
        <f t="shared" si="9"/>
        <v>1635940</v>
      </c>
      <c r="I26" s="66">
        <f t="shared" si="9"/>
        <v>169280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0</v>
      </c>
      <c r="M26" s="66">
        <f t="shared" si="9"/>
        <v>126730</v>
      </c>
      <c r="N26" s="66">
        <f t="shared" si="9"/>
        <v>719440</v>
      </c>
      <c r="O26" s="67">
        <f t="shared" si="1"/>
        <v>22604410</v>
      </c>
      <c r="P26" s="68">
        <f t="shared" si="2"/>
        <v>24240350</v>
      </c>
    </row>
    <row r="27" spans="1:17" s="19" customFormat="1" ht="25.5">
      <c r="A27" s="69" t="s">
        <v>119</v>
      </c>
      <c r="B27" s="27" t="s">
        <v>50</v>
      </c>
      <c r="C27" s="17">
        <f>ROUND(C8+C9+C10+C12+C13+C14+C17+C18,2)</f>
        <v>3498747.23</v>
      </c>
      <c r="D27" s="17">
        <f aca="true" t="shared" si="10" ref="D27:N27">ROUND(D8+D9+D10+D12+D13+D14+D17+D18,2)</f>
        <v>616178.83</v>
      </c>
      <c r="E27" s="17">
        <f t="shared" si="10"/>
        <v>12252971.44</v>
      </c>
      <c r="F27" s="17">
        <f t="shared" si="10"/>
        <v>1027914.4</v>
      </c>
      <c r="G27" s="17">
        <f t="shared" si="10"/>
        <v>61620</v>
      </c>
      <c r="H27" s="18">
        <f t="shared" si="0"/>
        <v>1089534.4</v>
      </c>
      <c r="I27" s="17">
        <f t="shared" si="10"/>
        <v>131888.34</v>
      </c>
      <c r="J27" s="17">
        <f t="shared" si="10"/>
        <v>10264.55</v>
      </c>
      <c r="K27" s="17">
        <f t="shared" si="10"/>
        <v>27895.73</v>
      </c>
      <c r="L27" s="17">
        <f t="shared" si="10"/>
        <v>0</v>
      </c>
      <c r="M27" s="17">
        <f t="shared" si="10"/>
        <v>43894.98</v>
      </c>
      <c r="N27" s="17">
        <f t="shared" si="10"/>
        <v>491497.9</v>
      </c>
      <c r="O27" s="11">
        <f t="shared" si="1"/>
        <v>17073339</v>
      </c>
      <c r="P27" s="12">
        <f t="shared" si="2"/>
        <v>18162873.4</v>
      </c>
      <c r="Q27" s="23"/>
    </row>
    <row r="28" spans="1:17" s="25" customFormat="1" ht="25.5">
      <c r="A28" s="14" t="s">
        <v>75</v>
      </c>
      <c r="B28" s="24" t="s">
        <v>120</v>
      </c>
      <c r="C28" s="17">
        <f>ROUND(C26-C27,2)</f>
        <v>1434142.77</v>
      </c>
      <c r="D28" s="17">
        <f>ROUND(D26-D27,2)</f>
        <v>471821.17</v>
      </c>
      <c r="E28" s="17">
        <f>ROUND(E26-E27,2)</f>
        <v>3219158.56</v>
      </c>
      <c r="F28" s="17">
        <f>ROUND(F26-F27,2)</f>
        <v>511665.6</v>
      </c>
      <c r="G28" s="17">
        <f>ROUND(G26-G27,2)</f>
        <v>34740</v>
      </c>
      <c r="H28" s="18">
        <f t="shared" si="0"/>
        <v>546405.6</v>
      </c>
      <c r="I28" s="17">
        <f aca="true" t="shared" si="11" ref="I28:N28">ROUND(I26-I27,2)</f>
        <v>37391.66</v>
      </c>
      <c r="J28" s="17">
        <f t="shared" si="11"/>
        <v>25735.45</v>
      </c>
      <c r="K28" s="17">
        <f t="shared" si="11"/>
        <v>32044.27</v>
      </c>
      <c r="L28" s="17">
        <f t="shared" si="11"/>
        <v>0</v>
      </c>
      <c r="M28" s="17">
        <f t="shared" si="11"/>
        <v>82835.02</v>
      </c>
      <c r="N28" s="17">
        <f t="shared" si="11"/>
        <v>227942.1</v>
      </c>
      <c r="O28" s="11">
        <f t="shared" si="1"/>
        <v>5531071</v>
      </c>
      <c r="P28" s="12">
        <f t="shared" si="2"/>
        <v>6077476.6</v>
      </c>
      <c r="Q28" s="23"/>
    </row>
    <row r="29" spans="1:17" s="25" customFormat="1" ht="26.25" customHeight="1">
      <c r="A29" s="70">
        <v>23</v>
      </c>
      <c r="B29" s="71" t="s">
        <v>121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ROUND((C27+C29)/8,2)</f>
        <v>437343.4</v>
      </c>
      <c r="D32" s="17">
        <f aca="true" t="shared" si="13" ref="D32:N32">ROUND((D27+D29)/8,2)</f>
        <v>77022.35</v>
      </c>
      <c r="E32" s="17">
        <f t="shared" si="13"/>
        <v>1531621.43</v>
      </c>
      <c r="F32" s="17">
        <f t="shared" si="13"/>
        <v>128489.3</v>
      </c>
      <c r="G32" s="17">
        <f t="shared" si="13"/>
        <v>7702.5</v>
      </c>
      <c r="H32" s="26">
        <f t="shared" si="0"/>
        <v>136191.8</v>
      </c>
      <c r="I32" s="17">
        <f t="shared" si="13"/>
        <v>16486.04</v>
      </c>
      <c r="J32" s="17">
        <f t="shared" si="13"/>
        <v>1283.07</v>
      </c>
      <c r="K32" s="17">
        <f t="shared" si="13"/>
        <v>3486.97</v>
      </c>
      <c r="L32" s="17">
        <f t="shared" si="13"/>
        <v>0</v>
      </c>
      <c r="M32" s="17">
        <f t="shared" si="13"/>
        <v>5486.87</v>
      </c>
      <c r="N32" s="17">
        <f t="shared" si="13"/>
        <v>61437.24</v>
      </c>
      <c r="O32" s="11">
        <f t="shared" si="1"/>
        <v>2134167.37</v>
      </c>
      <c r="P32" s="12">
        <f t="shared" si="2"/>
        <v>2270359.17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315230.8</v>
      </c>
      <c r="D33" s="60">
        <f t="shared" si="14"/>
        <v>-163731.8</v>
      </c>
      <c r="E33" s="60">
        <f t="shared" si="14"/>
        <v>2907327.16</v>
      </c>
      <c r="F33" s="60">
        <f t="shared" si="14"/>
        <v>2291.6</v>
      </c>
      <c r="G33" s="60">
        <f t="shared" si="14"/>
        <v>-3930</v>
      </c>
      <c r="H33" s="76">
        <f t="shared" si="14"/>
        <v>-1638.4</v>
      </c>
      <c r="I33" s="60">
        <f t="shared" si="14"/>
        <v>28552.48</v>
      </c>
      <c r="J33" s="60">
        <f t="shared" si="14"/>
        <v>-20603.16</v>
      </c>
      <c r="K33" s="60">
        <f t="shared" si="14"/>
        <v>-18096.36</v>
      </c>
      <c r="L33" s="60">
        <f t="shared" si="14"/>
        <v>0</v>
      </c>
      <c r="M33" s="60">
        <f>ROUND(M32*12-M7,2)</f>
        <v>-60887.56</v>
      </c>
      <c r="N33" s="60">
        <f>ROUND(N32*12-N7,2)</f>
        <v>17806.88</v>
      </c>
      <c r="O33" s="11">
        <f t="shared" si="1"/>
        <v>3005598.44</v>
      </c>
      <c r="P33" s="12">
        <f t="shared" si="2"/>
        <v>3003960.04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5248120.8</v>
      </c>
      <c r="D34" s="80">
        <f t="shared" si="15"/>
        <v>924268.2</v>
      </c>
      <c r="E34" s="80">
        <f t="shared" si="15"/>
        <v>18379457.16</v>
      </c>
      <c r="F34" s="80">
        <f t="shared" si="15"/>
        <v>1541871.6</v>
      </c>
      <c r="G34" s="80">
        <f t="shared" si="15"/>
        <v>92430</v>
      </c>
      <c r="H34" s="81">
        <f t="shared" si="15"/>
        <v>1634301.6</v>
      </c>
      <c r="I34" s="80">
        <f t="shared" si="15"/>
        <v>197832.48</v>
      </c>
      <c r="J34" s="80">
        <f t="shared" si="15"/>
        <v>15396.84</v>
      </c>
      <c r="K34" s="80">
        <f t="shared" si="15"/>
        <v>41843.64</v>
      </c>
      <c r="L34" s="80">
        <f t="shared" si="15"/>
        <v>0</v>
      </c>
      <c r="M34" s="80">
        <f t="shared" si="15"/>
        <v>65842.44</v>
      </c>
      <c r="N34" s="80">
        <f t="shared" si="15"/>
        <v>737246.88</v>
      </c>
      <c r="O34" s="90">
        <f t="shared" si="1"/>
        <v>25610008.44</v>
      </c>
      <c r="P34" s="82">
        <f t="shared" si="15"/>
        <v>27244310.04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E22">
      <selection activeCell="E36" sqref="A36:IV37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1530000+2952890+450000-100000</f>
        <v>4832890</v>
      </c>
      <c r="D7" s="11">
        <f>300000-80000+1270000-30000-440000+68000</f>
        <v>1088000</v>
      </c>
      <c r="E7" s="11">
        <f>3775060+6228850+3938220+1530000</f>
        <v>15472130</v>
      </c>
      <c r="F7" s="11">
        <f>373810+1121410+44360</f>
        <v>1539580</v>
      </c>
      <c r="G7" s="11">
        <f>22060+66170+8130</f>
        <v>96360</v>
      </c>
      <c r="H7" s="11">
        <f>ROUND(F7+G7,2)</f>
        <v>1635940</v>
      </c>
      <c r="I7" s="11">
        <f>52900+116380</f>
        <v>169280</v>
      </c>
      <c r="J7" s="11">
        <f>11180+4820+16000+4000</f>
        <v>36000</v>
      </c>
      <c r="K7" s="11">
        <f>16340+35940+7660</f>
        <v>59940</v>
      </c>
      <c r="L7" s="11">
        <f>26070+26070-52140</f>
        <v>0</v>
      </c>
      <c r="M7" s="11">
        <f>43920+43920+38890</f>
        <v>126730</v>
      </c>
      <c r="N7" s="11">
        <f>176150+343500+145430+54360</f>
        <v>719440</v>
      </c>
      <c r="O7" s="11">
        <f>ROUND(C7+D7+E7+I7+J7+K7+N7+L7+M7,2)</f>
        <v>22504410</v>
      </c>
      <c r="P7" s="12">
        <f>ROUND(H7+O7,2)</f>
        <v>24140350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0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1"/>
        <v>2262730.49</v>
      </c>
      <c r="P13" s="12">
        <f t="shared" si="2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0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1"/>
        <v>2199955.15</v>
      </c>
      <c r="P14" s="12">
        <f t="shared" si="2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1"/>
        <v>6492921.15</v>
      </c>
      <c r="P15" s="12">
        <f t="shared" si="2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1"/>
        <v>12655200.79</v>
      </c>
      <c r="P16" s="12">
        <f t="shared" si="2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0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1"/>
        <v>2227384.51</v>
      </c>
      <c r="P17" s="12">
        <f t="shared" si="2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0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1"/>
        <v>2190753.7</v>
      </c>
      <c r="P18" s="12">
        <f t="shared" si="2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0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1"/>
        <v>2083506.56</v>
      </c>
      <c r="P19" s="12">
        <f t="shared" si="2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1"/>
        <v>6501644.77</v>
      </c>
      <c r="P20" s="12">
        <f t="shared" si="2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1"/>
        <v>19156845.56</v>
      </c>
      <c r="P21" s="12">
        <f t="shared" si="2"/>
        <v>20384979.96</v>
      </c>
    </row>
    <row r="22" spans="1:16" s="21" customFormat="1" ht="12.75">
      <c r="A22" s="14">
        <v>16</v>
      </c>
      <c r="B22" s="63" t="s">
        <v>45</v>
      </c>
      <c r="C22" s="16">
        <v>450000</v>
      </c>
      <c r="D22" s="38">
        <f>90000+134268.47</f>
        <v>224268.47</v>
      </c>
      <c r="E22" s="41">
        <f>1530000+86265.15</f>
        <v>1616265.15</v>
      </c>
      <c r="F22" s="39">
        <v>146570</v>
      </c>
      <c r="G22" s="38">
        <f>12150-8670+6520</f>
        <v>10000</v>
      </c>
      <c r="H22" s="18">
        <f t="shared" si="0"/>
        <v>156570</v>
      </c>
      <c r="I22" s="40">
        <v>11938.78</v>
      </c>
      <c r="J22" s="40">
        <v>25735.45</v>
      </c>
      <c r="K22" s="39">
        <v>9000</v>
      </c>
      <c r="L22" s="39">
        <v>0</v>
      </c>
      <c r="M22" s="39">
        <f>28390-23390+77835.02</f>
        <v>82835.02</v>
      </c>
      <c r="N22" s="39">
        <f>54360+20000</f>
        <v>74360</v>
      </c>
      <c r="O22" s="11">
        <f t="shared" si="1"/>
        <v>2494402.87</v>
      </c>
      <c r="P22" s="12">
        <f t="shared" si="2"/>
        <v>2650972.87</v>
      </c>
    </row>
    <row r="23" spans="1:16" s="21" customFormat="1" ht="12.75">
      <c r="A23" s="14">
        <v>17</v>
      </c>
      <c r="B23" s="43" t="s">
        <v>46</v>
      </c>
      <c r="C23" s="61">
        <f>643894.09-100000</f>
        <v>543894.09</v>
      </c>
      <c r="D23" s="40">
        <v>90000</v>
      </c>
      <c r="E23" s="40">
        <v>0</v>
      </c>
      <c r="F23" s="39">
        <v>146570</v>
      </c>
      <c r="G23" s="38">
        <v>10000</v>
      </c>
      <c r="H23" s="18">
        <f t="shared" si="0"/>
        <v>156570</v>
      </c>
      <c r="I23" s="40">
        <v>0</v>
      </c>
      <c r="J23" s="40">
        <v>0</v>
      </c>
      <c r="K23" s="39">
        <v>9000</v>
      </c>
      <c r="L23" s="39">
        <v>0</v>
      </c>
      <c r="M23" s="39">
        <v>0</v>
      </c>
      <c r="N23" s="39">
        <v>70000</v>
      </c>
      <c r="O23" s="11">
        <f t="shared" si="1"/>
        <v>712894.09</v>
      </c>
      <c r="P23" s="12">
        <f t="shared" si="2"/>
        <v>869464.09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146570-130090+72565.6</f>
        <v>89045.6</v>
      </c>
      <c r="G24" s="38">
        <v>5620</v>
      </c>
      <c r="H24" s="18">
        <f t="shared" si="0"/>
        <v>94665.6</v>
      </c>
      <c r="I24" s="40">
        <v>0</v>
      </c>
      <c r="J24" s="40">
        <v>0</v>
      </c>
      <c r="K24" s="40">
        <v>9418.35</v>
      </c>
      <c r="L24" s="40">
        <v>0</v>
      </c>
      <c r="M24" s="40">
        <v>0</v>
      </c>
      <c r="N24" s="61">
        <v>40849.13</v>
      </c>
      <c r="O24" s="11">
        <f t="shared" si="1"/>
        <v>140267.48</v>
      </c>
      <c r="P24" s="12">
        <f t="shared" si="2"/>
        <v>234933.08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993894.09</v>
      </c>
      <c r="D25" s="62">
        <f aca="true" t="shared" si="8" ref="D25:N25">ROUND(D22+D23+D24,2)</f>
        <v>404268.47</v>
      </c>
      <c r="E25" s="62">
        <f t="shared" si="8"/>
        <v>1616265.15</v>
      </c>
      <c r="F25" s="62">
        <f t="shared" si="8"/>
        <v>382185.6</v>
      </c>
      <c r="G25" s="62">
        <f t="shared" si="8"/>
        <v>25620</v>
      </c>
      <c r="H25" s="62">
        <f t="shared" si="8"/>
        <v>407805.6</v>
      </c>
      <c r="I25" s="62">
        <f t="shared" si="8"/>
        <v>11938.78</v>
      </c>
      <c r="J25" s="62">
        <f>ROUND(J22+J23+J24,2)</f>
        <v>25735.45</v>
      </c>
      <c r="K25" s="62">
        <f>ROUND(K22+K23+K24,2)</f>
        <v>27418.35</v>
      </c>
      <c r="L25" s="62">
        <f t="shared" si="8"/>
        <v>0</v>
      </c>
      <c r="M25" s="62">
        <f t="shared" si="8"/>
        <v>82835.02</v>
      </c>
      <c r="N25" s="62">
        <f t="shared" si="8"/>
        <v>185209.13</v>
      </c>
      <c r="O25" s="11">
        <f t="shared" si="1"/>
        <v>3347564.44</v>
      </c>
      <c r="P25" s="12">
        <f t="shared" si="2"/>
        <v>3755370.04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4832890</v>
      </c>
      <c r="D26" s="66">
        <f aca="true" t="shared" si="9" ref="D26:N26">ROUND(D11+D15+D20+D25,2)</f>
        <v>1088000</v>
      </c>
      <c r="E26" s="66">
        <f t="shared" si="9"/>
        <v>15472130</v>
      </c>
      <c r="F26" s="66">
        <f t="shared" si="9"/>
        <v>1539580</v>
      </c>
      <c r="G26" s="66">
        <f t="shared" si="9"/>
        <v>96360</v>
      </c>
      <c r="H26" s="66">
        <f t="shared" si="9"/>
        <v>1635940</v>
      </c>
      <c r="I26" s="66">
        <f t="shared" si="9"/>
        <v>169280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0</v>
      </c>
      <c r="M26" s="66">
        <f t="shared" si="9"/>
        <v>126730</v>
      </c>
      <c r="N26" s="66">
        <f t="shared" si="9"/>
        <v>719440</v>
      </c>
      <c r="O26" s="67">
        <f t="shared" si="1"/>
        <v>22504410</v>
      </c>
      <c r="P26" s="68">
        <f t="shared" si="2"/>
        <v>24140350</v>
      </c>
    </row>
    <row r="27" spans="1:17" s="19" customFormat="1" ht="25.5">
      <c r="A27" s="69" t="s">
        <v>126</v>
      </c>
      <c r="B27" s="27" t="s">
        <v>50</v>
      </c>
      <c r="C27" s="17">
        <f>ROUND(C8+C9+C10+C12+C13+C14+C17+C18+C19,2)</f>
        <v>3838995.91</v>
      </c>
      <c r="D27" s="17">
        <f aca="true" t="shared" si="10" ref="D27:N27">ROUND(D8+D9+D10+D12+D13+D14+D17+D18+D19,2)</f>
        <v>683731.53</v>
      </c>
      <c r="E27" s="17">
        <f t="shared" si="10"/>
        <v>13855864.85</v>
      </c>
      <c r="F27" s="17">
        <f t="shared" si="10"/>
        <v>1157394.4</v>
      </c>
      <c r="G27" s="17">
        <f t="shared" si="10"/>
        <v>70740</v>
      </c>
      <c r="H27" s="18">
        <f t="shared" si="0"/>
        <v>1228134.4</v>
      </c>
      <c r="I27" s="17">
        <f t="shared" si="10"/>
        <v>157341.22</v>
      </c>
      <c r="J27" s="17">
        <f t="shared" si="10"/>
        <v>10264.55</v>
      </c>
      <c r="K27" s="17">
        <f t="shared" si="10"/>
        <v>32521.65</v>
      </c>
      <c r="L27" s="17">
        <f t="shared" si="10"/>
        <v>0</v>
      </c>
      <c r="M27" s="17">
        <f t="shared" si="10"/>
        <v>43894.98</v>
      </c>
      <c r="N27" s="17">
        <f t="shared" si="10"/>
        <v>534230.87</v>
      </c>
      <c r="O27" s="11">
        <f t="shared" si="1"/>
        <v>19156845.56</v>
      </c>
      <c r="P27" s="12">
        <f t="shared" si="2"/>
        <v>20384979.96</v>
      </c>
      <c r="Q27" s="23"/>
    </row>
    <row r="28" spans="1:17" s="25" customFormat="1" ht="25.5">
      <c r="A28" s="14" t="s">
        <v>75</v>
      </c>
      <c r="B28" s="24" t="s">
        <v>127</v>
      </c>
      <c r="C28" s="17">
        <f>ROUND(C26-C27,2)</f>
        <v>993894.09</v>
      </c>
      <c r="D28" s="17">
        <f>ROUND(D26-D27,2)</f>
        <v>404268.47</v>
      </c>
      <c r="E28" s="17">
        <f>ROUND(E26-E27,2)</f>
        <v>1616265.15</v>
      </c>
      <c r="F28" s="17">
        <f>ROUND(F26-F27,2)</f>
        <v>382185.6</v>
      </c>
      <c r="G28" s="17">
        <f>ROUND(G26-G27,2)</f>
        <v>25620</v>
      </c>
      <c r="H28" s="18">
        <f t="shared" si="0"/>
        <v>407805.6</v>
      </c>
      <c r="I28" s="17">
        <f aca="true" t="shared" si="11" ref="I28:N28">ROUND(I26-I27,2)</f>
        <v>11938.78</v>
      </c>
      <c r="J28" s="17">
        <f t="shared" si="11"/>
        <v>25735.45</v>
      </c>
      <c r="K28" s="17">
        <f t="shared" si="11"/>
        <v>27418.35</v>
      </c>
      <c r="L28" s="17">
        <f t="shared" si="11"/>
        <v>0</v>
      </c>
      <c r="M28" s="17">
        <f t="shared" si="11"/>
        <v>82835.02</v>
      </c>
      <c r="N28" s="17">
        <f t="shared" si="11"/>
        <v>185209.13</v>
      </c>
      <c r="O28" s="11">
        <f t="shared" si="1"/>
        <v>3347564.44</v>
      </c>
      <c r="P28" s="12">
        <f t="shared" si="2"/>
        <v>3755370.04</v>
      </c>
      <c r="Q28" s="23"/>
    </row>
    <row r="29" spans="1:17" s="25" customFormat="1" ht="26.25" customHeight="1">
      <c r="A29" s="70">
        <v>23</v>
      </c>
      <c r="B29" s="71" t="s">
        <v>128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ROUND((C27+C29)/9,2)</f>
        <v>426555.1</v>
      </c>
      <c r="D32" s="17">
        <f aca="true" t="shared" si="13" ref="D32:N32">ROUND((D27+D29)/9,2)</f>
        <v>75970.17</v>
      </c>
      <c r="E32" s="17">
        <f t="shared" si="13"/>
        <v>1539540.54</v>
      </c>
      <c r="F32" s="17">
        <f t="shared" si="13"/>
        <v>128599.38</v>
      </c>
      <c r="G32" s="17">
        <f t="shared" si="13"/>
        <v>7860</v>
      </c>
      <c r="H32" s="26">
        <f t="shared" si="0"/>
        <v>136459.38</v>
      </c>
      <c r="I32" s="17">
        <f t="shared" si="13"/>
        <v>17482.36</v>
      </c>
      <c r="J32" s="17">
        <f>ROUND((J27+J29)/3,2)</f>
        <v>3421.52</v>
      </c>
      <c r="K32" s="17">
        <f t="shared" si="13"/>
        <v>3613.52</v>
      </c>
      <c r="L32" s="17">
        <f t="shared" si="13"/>
        <v>0</v>
      </c>
      <c r="M32" s="17">
        <f t="shared" si="13"/>
        <v>4877.22</v>
      </c>
      <c r="N32" s="17">
        <f t="shared" si="13"/>
        <v>59358.99</v>
      </c>
      <c r="O32" s="11">
        <f t="shared" si="1"/>
        <v>2130819.42</v>
      </c>
      <c r="P32" s="12">
        <f t="shared" si="2"/>
        <v>2267278.8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285771.2</v>
      </c>
      <c r="D33" s="60">
        <f t="shared" si="14"/>
        <v>-176357.96</v>
      </c>
      <c r="E33" s="60">
        <f t="shared" si="14"/>
        <v>3002356.48</v>
      </c>
      <c r="F33" s="60">
        <f t="shared" si="14"/>
        <v>3612.56</v>
      </c>
      <c r="G33" s="60">
        <f t="shared" si="14"/>
        <v>-2040</v>
      </c>
      <c r="H33" s="76">
        <f t="shared" si="14"/>
        <v>1572.56</v>
      </c>
      <c r="I33" s="60">
        <f t="shared" si="14"/>
        <v>40508.32</v>
      </c>
      <c r="J33" s="60">
        <f t="shared" si="14"/>
        <v>5058.24</v>
      </c>
      <c r="K33" s="60">
        <f t="shared" si="14"/>
        <v>-16577.76</v>
      </c>
      <c r="L33" s="60">
        <f t="shared" si="14"/>
        <v>0</v>
      </c>
      <c r="M33" s="60">
        <f>ROUND(M32*12-M7,2)</f>
        <v>-68203.36</v>
      </c>
      <c r="N33" s="60">
        <f>ROUND(N32*12-N7,2)</f>
        <v>-7132.12</v>
      </c>
      <c r="O33" s="11">
        <f t="shared" si="1"/>
        <v>3065423.04</v>
      </c>
      <c r="P33" s="12">
        <f t="shared" si="2"/>
        <v>3066995.6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5118661.2</v>
      </c>
      <c r="D34" s="80">
        <f t="shared" si="15"/>
        <v>911642.04</v>
      </c>
      <c r="E34" s="80">
        <f t="shared" si="15"/>
        <v>18474486.48</v>
      </c>
      <c r="F34" s="80">
        <f t="shared" si="15"/>
        <v>1543192.56</v>
      </c>
      <c r="G34" s="80">
        <f t="shared" si="15"/>
        <v>94320</v>
      </c>
      <c r="H34" s="81">
        <f t="shared" si="15"/>
        <v>1637512.56</v>
      </c>
      <c r="I34" s="80">
        <f t="shared" si="15"/>
        <v>209788.32</v>
      </c>
      <c r="J34" s="80">
        <f t="shared" si="15"/>
        <v>41058.24</v>
      </c>
      <c r="K34" s="80">
        <f t="shared" si="15"/>
        <v>43362.24</v>
      </c>
      <c r="L34" s="80">
        <f t="shared" si="15"/>
        <v>0</v>
      </c>
      <c r="M34" s="80">
        <f t="shared" si="15"/>
        <v>58526.64</v>
      </c>
      <c r="N34" s="80">
        <f t="shared" si="15"/>
        <v>712307.88</v>
      </c>
      <c r="O34" s="90">
        <f t="shared" si="1"/>
        <v>25569833.04</v>
      </c>
      <c r="P34" s="82">
        <f t="shared" si="15"/>
        <v>27207345.6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D22">
      <selection activeCell="D36" sqref="A36:IV38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</f>
        <v>4950490</v>
      </c>
      <c r="D7" s="11">
        <f>300000-80000+1270000-30000-440000+68000</f>
        <v>1088000</v>
      </c>
      <c r="E7" s="11">
        <f>3775060+6228850+3938220+1530000+1531620</f>
        <v>17003750</v>
      </c>
      <c r="F7" s="11">
        <f>373810+1121410+44360</f>
        <v>1539580</v>
      </c>
      <c r="G7" s="11">
        <f>22060+66170+8130</f>
        <v>96360</v>
      </c>
      <c r="H7" s="11">
        <f>ROUND(F7+G7,2)</f>
        <v>1635940</v>
      </c>
      <c r="I7" s="11">
        <f>52900+116380+15000</f>
        <v>184280</v>
      </c>
      <c r="J7" s="11">
        <f>11180+4820+16000+4000</f>
        <v>36000</v>
      </c>
      <c r="K7" s="11">
        <f>16340+35940+7660</f>
        <v>59940</v>
      </c>
      <c r="L7" s="11">
        <v>11500</v>
      </c>
      <c r="M7" s="11">
        <f>43920+43920+38890-38940</f>
        <v>87790</v>
      </c>
      <c r="N7" s="11">
        <f>176150+343500+145430+54360+5000</f>
        <v>724440</v>
      </c>
      <c r="O7" s="11">
        <f>ROUND(C7+D7+E7+I7+J7+K7+N7+L7+M7,2)</f>
        <v>24146190</v>
      </c>
      <c r="P7" s="12">
        <f aca="true" t="shared" si="0" ref="P7:P33">ROUND(H7+O7,2)</f>
        <v>25782130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4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45</v>
      </c>
      <c r="C22" s="16">
        <v>450000</v>
      </c>
      <c r="D22" s="38">
        <f>90000+134268.47</f>
        <v>224268.47</v>
      </c>
      <c r="E22" s="41">
        <f>1530000+86265.15</f>
        <v>1616265.15</v>
      </c>
      <c r="F22" s="39">
        <v>146570</v>
      </c>
      <c r="G22" s="38">
        <f>12150-8670+6520</f>
        <v>10000</v>
      </c>
      <c r="H22" s="18">
        <f t="shared" si="1"/>
        <v>156570</v>
      </c>
      <c r="I22" s="99">
        <f>11938.78+5000</f>
        <v>16938.78</v>
      </c>
      <c r="J22" s="40">
        <v>25735.45</v>
      </c>
      <c r="K22" s="39">
        <v>9000</v>
      </c>
      <c r="L22" s="100">
        <v>11500</v>
      </c>
      <c r="M22" s="100">
        <f>28390-23390+77835.02-38940</f>
        <v>43895.020000000004</v>
      </c>
      <c r="N22" s="101">
        <f>54360+20000+5000</f>
        <v>79360</v>
      </c>
      <c r="O22" s="11">
        <f t="shared" si="2"/>
        <v>2476962.87</v>
      </c>
      <c r="P22" s="12">
        <f t="shared" si="0"/>
        <v>2633532.87</v>
      </c>
    </row>
    <row r="23" spans="1:16" s="21" customFormat="1" ht="12.75">
      <c r="A23" s="14">
        <v>17</v>
      </c>
      <c r="B23" s="43" t="s">
        <v>46</v>
      </c>
      <c r="C23" s="61">
        <f>643894.09-100000</f>
        <v>543894.09</v>
      </c>
      <c r="D23" s="40">
        <v>90000</v>
      </c>
      <c r="E23" s="99">
        <v>1531620</v>
      </c>
      <c r="F23" s="39">
        <v>146570</v>
      </c>
      <c r="G23" s="38">
        <v>10000</v>
      </c>
      <c r="H23" s="18">
        <f t="shared" si="1"/>
        <v>156570</v>
      </c>
      <c r="I23" s="99">
        <v>10000</v>
      </c>
      <c r="J23" s="40">
        <v>0</v>
      </c>
      <c r="K23" s="39">
        <v>9000</v>
      </c>
      <c r="L23" s="39">
        <v>0</v>
      </c>
      <c r="M23" s="39">
        <v>0</v>
      </c>
      <c r="N23" s="39">
        <v>70000</v>
      </c>
      <c r="O23" s="11">
        <f t="shared" si="2"/>
        <v>2254514.09</v>
      </c>
      <c r="P23" s="12">
        <f t="shared" si="0"/>
        <v>2411084.09</v>
      </c>
    </row>
    <row r="24" spans="1:16" s="21" customFormat="1" ht="12.75">
      <c r="A24" s="14">
        <v>18</v>
      </c>
      <c r="B24" s="43" t="s">
        <v>47</v>
      </c>
      <c r="C24" s="99">
        <v>117600</v>
      </c>
      <c r="D24" s="40">
        <v>90000</v>
      </c>
      <c r="E24" s="40">
        <v>0</v>
      </c>
      <c r="F24" s="39">
        <f>146570-130090+72565.6</f>
        <v>89045.6</v>
      </c>
      <c r="G24" s="38">
        <v>5620</v>
      </c>
      <c r="H24" s="18">
        <f t="shared" si="1"/>
        <v>94665.6</v>
      </c>
      <c r="I24" s="40">
        <v>0</v>
      </c>
      <c r="J24" s="40">
        <v>0</v>
      </c>
      <c r="K24" s="40">
        <v>9418.35</v>
      </c>
      <c r="L24" s="40">
        <v>0</v>
      </c>
      <c r="M24" s="40">
        <v>0</v>
      </c>
      <c r="N24" s="61">
        <v>40849.13</v>
      </c>
      <c r="O24" s="11">
        <f t="shared" si="2"/>
        <v>257867.48</v>
      </c>
      <c r="P24" s="12">
        <f t="shared" si="0"/>
        <v>352533.08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1111494.09</v>
      </c>
      <c r="D25" s="62">
        <f aca="true" t="shared" si="8" ref="D25:N25">ROUND(D22+D23+D24,2)</f>
        <v>404268.47</v>
      </c>
      <c r="E25" s="62">
        <f t="shared" si="8"/>
        <v>3147885.15</v>
      </c>
      <c r="F25" s="62">
        <f t="shared" si="8"/>
        <v>382185.6</v>
      </c>
      <c r="G25" s="62">
        <f t="shared" si="8"/>
        <v>25620</v>
      </c>
      <c r="H25" s="62">
        <f t="shared" si="8"/>
        <v>407805.6</v>
      </c>
      <c r="I25" s="62">
        <f t="shared" si="8"/>
        <v>26938.78</v>
      </c>
      <c r="J25" s="62">
        <f>ROUND(J22+J23+J24,2)</f>
        <v>25735.45</v>
      </c>
      <c r="K25" s="62">
        <f>ROUND(K22+K23+K24,2)</f>
        <v>27418.35</v>
      </c>
      <c r="L25" s="62">
        <f t="shared" si="8"/>
        <v>11500</v>
      </c>
      <c r="M25" s="62">
        <f t="shared" si="8"/>
        <v>43895.02</v>
      </c>
      <c r="N25" s="62">
        <f t="shared" si="8"/>
        <v>190209.13</v>
      </c>
      <c r="O25" s="11">
        <f t="shared" si="2"/>
        <v>4989344.44</v>
      </c>
      <c r="P25" s="12">
        <f t="shared" si="0"/>
        <v>5397150.04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4950490</v>
      </c>
      <c r="D26" s="66">
        <f aca="true" t="shared" si="9" ref="D26:N26">ROUND(D11+D15+D20+D25,2)</f>
        <v>1088000</v>
      </c>
      <c r="E26" s="66">
        <f t="shared" si="9"/>
        <v>17003750</v>
      </c>
      <c r="F26" s="66">
        <f t="shared" si="9"/>
        <v>1539580</v>
      </c>
      <c r="G26" s="66">
        <f t="shared" si="9"/>
        <v>96360</v>
      </c>
      <c r="H26" s="66">
        <f t="shared" si="9"/>
        <v>1635940</v>
      </c>
      <c r="I26" s="66">
        <f t="shared" si="9"/>
        <v>184280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11500</v>
      </c>
      <c r="M26" s="66">
        <f t="shared" si="9"/>
        <v>87790</v>
      </c>
      <c r="N26" s="66">
        <f t="shared" si="9"/>
        <v>724440</v>
      </c>
      <c r="O26" s="67">
        <f t="shared" si="2"/>
        <v>24146190</v>
      </c>
      <c r="P26" s="68">
        <f t="shared" si="0"/>
        <v>25782130</v>
      </c>
    </row>
    <row r="27" spans="1:17" s="19" customFormat="1" ht="25.5">
      <c r="A27" s="69" t="s">
        <v>126</v>
      </c>
      <c r="B27" s="27" t="s">
        <v>50</v>
      </c>
      <c r="C27" s="17">
        <f>ROUND(C8+C9+C10+C12+C13+C14+C17+C18+C19,2)</f>
        <v>3838995.91</v>
      </c>
      <c r="D27" s="17">
        <f aca="true" t="shared" si="10" ref="D27:N27">ROUND(D8+D9+D10+D12+D13+D14+D17+D18+D19,2)</f>
        <v>683731.53</v>
      </c>
      <c r="E27" s="17">
        <f t="shared" si="10"/>
        <v>13855864.85</v>
      </c>
      <c r="F27" s="17">
        <f t="shared" si="10"/>
        <v>1157394.4</v>
      </c>
      <c r="G27" s="17">
        <f t="shared" si="10"/>
        <v>70740</v>
      </c>
      <c r="H27" s="18">
        <f t="shared" si="1"/>
        <v>1228134.4</v>
      </c>
      <c r="I27" s="17">
        <f t="shared" si="10"/>
        <v>157341.22</v>
      </c>
      <c r="J27" s="17">
        <f t="shared" si="10"/>
        <v>10264.55</v>
      </c>
      <c r="K27" s="17">
        <f t="shared" si="10"/>
        <v>32521.65</v>
      </c>
      <c r="L27" s="17">
        <f t="shared" si="10"/>
        <v>0</v>
      </c>
      <c r="M27" s="17">
        <f t="shared" si="10"/>
        <v>43894.98</v>
      </c>
      <c r="N27" s="17">
        <f t="shared" si="10"/>
        <v>534230.87</v>
      </c>
      <c r="O27" s="11">
        <f t="shared" si="2"/>
        <v>19156845.56</v>
      </c>
      <c r="P27" s="12">
        <f t="shared" si="0"/>
        <v>20384979.96</v>
      </c>
      <c r="Q27" s="23"/>
    </row>
    <row r="28" spans="1:17" s="25" customFormat="1" ht="25.5">
      <c r="A28" s="14" t="s">
        <v>75</v>
      </c>
      <c r="B28" s="24" t="s">
        <v>127</v>
      </c>
      <c r="C28" s="17">
        <f>ROUND(C26-C27,2)</f>
        <v>1111494.09</v>
      </c>
      <c r="D28" s="17">
        <f>ROUND(D26-D27,2)</f>
        <v>404268.47</v>
      </c>
      <c r="E28" s="17">
        <f>ROUND(E26-E27,2)</f>
        <v>3147885.15</v>
      </c>
      <c r="F28" s="17">
        <f>ROUND(F26-F27,2)</f>
        <v>382185.6</v>
      </c>
      <c r="G28" s="17">
        <f>ROUND(G26-G27,2)</f>
        <v>25620</v>
      </c>
      <c r="H28" s="18">
        <f t="shared" si="1"/>
        <v>407805.6</v>
      </c>
      <c r="I28" s="17">
        <f aca="true" t="shared" si="11" ref="I28:N28">ROUND(I26-I27,2)</f>
        <v>26938.78</v>
      </c>
      <c r="J28" s="17">
        <f t="shared" si="11"/>
        <v>25735.45</v>
      </c>
      <c r="K28" s="17">
        <f t="shared" si="11"/>
        <v>27418.35</v>
      </c>
      <c r="L28" s="17">
        <f t="shared" si="11"/>
        <v>11500</v>
      </c>
      <c r="M28" s="17">
        <f t="shared" si="11"/>
        <v>43895.02</v>
      </c>
      <c r="N28" s="17">
        <f t="shared" si="11"/>
        <v>190209.13</v>
      </c>
      <c r="O28" s="11">
        <f t="shared" si="2"/>
        <v>4989344.44</v>
      </c>
      <c r="P28" s="12">
        <f t="shared" si="0"/>
        <v>5397150.04</v>
      </c>
      <c r="Q28" s="23"/>
    </row>
    <row r="29" spans="1:17" s="25" customFormat="1" ht="26.25" customHeight="1">
      <c r="A29" s="70">
        <v>23</v>
      </c>
      <c r="B29" s="71" t="s">
        <v>128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1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2"/>
        <v>0</v>
      </c>
      <c r="P30" s="12">
        <f t="shared" si="0"/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1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2"/>
        <v>1880897.94</v>
      </c>
      <c r="P31" s="12">
        <f t="shared" si="0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ROUND((C27+C29)/9,2)</f>
        <v>426555.1</v>
      </c>
      <c r="D32" s="17">
        <f aca="true" t="shared" si="13" ref="D32:N32">ROUND((D27+D29)/9,2)</f>
        <v>75970.17</v>
      </c>
      <c r="E32" s="17">
        <f t="shared" si="13"/>
        <v>1539540.54</v>
      </c>
      <c r="F32" s="17">
        <f t="shared" si="13"/>
        <v>128599.38</v>
      </c>
      <c r="G32" s="17">
        <f t="shared" si="13"/>
        <v>7860</v>
      </c>
      <c r="H32" s="26">
        <f t="shared" si="1"/>
        <v>136459.38</v>
      </c>
      <c r="I32" s="17">
        <f t="shared" si="13"/>
        <v>17482.36</v>
      </c>
      <c r="J32" s="17">
        <f>ROUND((J27+J29)/3,2)</f>
        <v>3421.52</v>
      </c>
      <c r="K32" s="17">
        <f t="shared" si="13"/>
        <v>3613.52</v>
      </c>
      <c r="L32" s="17">
        <f t="shared" si="13"/>
        <v>0</v>
      </c>
      <c r="M32" s="17">
        <f t="shared" si="13"/>
        <v>4877.22</v>
      </c>
      <c r="N32" s="17">
        <f t="shared" si="13"/>
        <v>59358.99</v>
      </c>
      <c r="O32" s="11">
        <f t="shared" si="2"/>
        <v>2130819.42</v>
      </c>
      <c r="P32" s="12">
        <f t="shared" si="0"/>
        <v>2267278.8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168171.2</v>
      </c>
      <c r="D33" s="60">
        <f t="shared" si="14"/>
        <v>-176357.96</v>
      </c>
      <c r="E33" s="60">
        <f t="shared" si="14"/>
        <v>1470736.48</v>
      </c>
      <c r="F33" s="60">
        <f t="shared" si="14"/>
        <v>3612.56</v>
      </c>
      <c r="G33" s="60">
        <f t="shared" si="14"/>
        <v>-2040</v>
      </c>
      <c r="H33" s="76">
        <f t="shared" si="14"/>
        <v>1572.56</v>
      </c>
      <c r="I33" s="60">
        <f t="shared" si="14"/>
        <v>25508.32</v>
      </c>
      <c r="J33" s="60">
        <f t="shared" si="14"/>
        <v>5058.24</v>
      </c>
      <c r="K33" s="60">
        <f t="shared" si="14"/>
        <v>-16577.76</v>
      </c>
      <c r="L33" s="60">
        <f t="shared" si="14"/>
        <v>-11500</v>
      </c>
      <c r="M33" s="60">
        <f>ROUND(M32*12-M7,2)</f>
        <v>-29263.36</v>
      </c>
      <c r="N33" s="60">
        <f>ROUND(N32*12-N7,2)</f>
        <v>-12132.12</v>
      </c>
      <c r="O33" s="11">
        <f t="shared" si="2"/>
        <v>1423643.04</v>
      </c>
      <c r="P33" s="12">
        <f t="shared" si="0"/>
        <v>1425215.6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5118661.2</v>
      </c>
      <c r="D34" s="80">
        <f t="shared" si="15"/>
        <v>911642.04</v>
      </c>
      <c r="E34" s="80">
        <f t="shared" si="15"/>
        <v>18474486.48</v>
      </c>
      <c r="F34" s="80">
        <f t="shared" si="15"/>
        <v>1543192.56</v>
      </c>
      <c r="G34" s="80">
        <f t="shared" si="15"/>
        <v>94320</v>
      </c>
      <c r="H34" s="81">
        <f t="shared" si="15"/>
        <v>1637512.56</v>
      </c>
      <c r="I34" s="80">
        <f t="shared" si="15"/>
        <v>209788.32</v>
      </c>
      <c r="J34" s="80">
        <f t="shared" si="15"/>
        <v>41058.24</v>
      </c>
      <c r="K34" s="80">
        <f t="shared" si="15"/>
        <v>43362.24</v>
      </c>
      <c r="L34" s="80">
        <f t="shared" si="15"/>
        <v>0</v>
      </c>
      <c r="M34" s="80">
        <f t="shared" si="15"/>
        <v>58526.64</v>
      </c>
      <c r="N34" s="80">
        <f t="shared" si="15"/>
        <v>712307.88</v>
      </c>
      <c r="O34" s="90">
        <f t="shared" si="2"/>
        <v>25569833.04</v>
      </c>
      <c r="P34" s="82">
        <f t="shared" si="15"/>
        <v>27207345.6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2">
      <selection activeCell="A36" sqref="A36:IV38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</f>
        <v>4950490</v>
      </c>
      <c r="D7" s="11">
        <f>300000-80000+1270000-30000-440000+68000</f>
        <v>1088000</v>
      </c>
      <c r="E7" s="11">
        <f>3775060+6228850+3938220+1530000+1531620+214430</f>
        <v>17218180</v>
      </c>
      <c r="F7" s="11">
        <f>373810+1121410+44360+50000</f>
        <v>1589580</v>
      </c>
      <c r="G7" s="11">
        <f>22060+66170+8130</f>
        <v>96360</v>
      </c>
      <c r="H7" s="11">
        <f>ROUND(F7+G7,2)</f>
        <v>1685940</v>
      </c>
      <c r="I7" s="11">
        <f>52900+116380+15000</f>
        <v>184280</v>
      </c>
      <c r="J7" s="11">
        <f>11180+4820+16000+4000</f>
        <v>36000</v>
      </c>
      <c r="K7" s="11">
        <f>16340+35940+7660</f>
        <v>59940</v>
      </c>
      <c r="L7" s="11">
        <v>11500</v>
      </c>
      <c r="M7" s="11">
        <f>43920+43920+38890-38940</f>
        <v>87790</v>
      </c>
      <c r="N7" s="11">
        <f>176150+343500+145430+54360+5000</f>
        <v>724440</v>
      </c>
      <c r="O7" s="11">
        <f>ROUND(C7+D7+E7+I7+J7+K7+N7+L7+M7,2)</f>
        <v>24360620</v>
      </c>
      <c r="P7" s="12">
        <f aca="true" t="shared" si="0" ref="P7:P33">ROUND(H7+O7,2)</f>
        <v>26046560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4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45</v>
      </c>
      <c r="C22" s="16">
        <v>450000</v>
      </c>
      <c r="D22" s="38">
        <f>90000+134268.47</f>
        <v>224268.47</v>
      </c>
      <c r="E22" s="41">
        <f>1530000+86265.15</f>
        <v>1616265.15</v>
      </c>
      <c r="F22" s="39">
        <v>146570</v>
      </c>
      <c r="G22" s="38">
        <f>12150-8670+6520</f>
        <v>10000</v>
      </c>
      <c r="H22" s="18">
        <f t="shared" si="1"/>
        <v>156570</v>
      </c>
      <c r="I22" s="99">
        <f>11938.78+5000</f>
        <v>16938.78</v>
      </c>
      <c r="J22" s="40">
        <v>25735.45</v>
      </c>
      <c r="K22" s="39">
        <v>9000</v>
      </c>
      <c r="L22" s="100">
        <v>11500</v>
      </c>
      <c r="M22" s="100">
        <f>28390-23390+77835.02-38940</f>
        <v>43895.020000000004</v>
      </c>
      <c r="N22" s="101">
        <f>54360+20000+5000</f>
        <v>79360</v>
      </c>
      <c r="O22" s="11">
        <f t="shared" si="2"/>
        <v>2476962.87</v>
      </c>
      <c r="P22" s="12">
        <f t="shared" si="0"/>
        <v>2633532.87</v>
      </c>
    </row>
    <row r="23" spans="1:16" s="21" customFormat="1" ht="12.75">
      <c r="A23" s="14">
        <v>17</v>
      </c>
      <c r="B23" s="43" t="s">
        <v>46</v>
      </c>
      <c r="C23" s="61">
        <f>643894.09-100000</f>
        <v>543894.09</v>
      </c>
      <c r="D23" s="40">
        <v>90000</v>
      </c>
      <c r="E23" s="99">
        <v>1531620</v>
      </c>
      <c r="F23" s="39">
        <v>146570</v>
      </c>
      <c r="G23" s="38">
        <v>10000</v>
      </c>
      <c r="H23" s="18">
        <f t="shared" si="1"/>
        <v>156570</v>
      </c>
      <c r="I23" s="99">
        <v>10000</v>
      </c>
      <c r="J23" s="40">
        <v>0</v>
      </c>
      <c r="K23" s="39">
        <v>9000</v>
      </c>
      <c r="L23" s="39">
        <v>0</v>
      </c>
      <c r="M23" s="39">
        <v>0</v>
      </c>
      <c r="N23" s="39">
        <v>70000</v>
      </c>
      <c r="O23" s="11">
        <f t="shared" si="2"/>
        <v>2254514.09</v>
      </c>
      <c r="P23" s="12">
        <f t="shared" si="0"/>
        <v>2411084.09</v>
      </c>
    </row>
    <row r="24" spans="1:16" s="21" customFormat="1" ht="12.75">
      <c r="A24" s="14">
        <v>18</v>
      </c>
      <c r="B24" s="43" t="s">
        <v>47</v>
      </c>
      <c r="C24" s="99">
        <v>117600</v>
      </c>
      <c r="D24" s="40">
        <v>90000</v>
      </c>
      <c r="E24" s="40">
        <v>0</v>
      </c>
      <c r="F24" s="39">
        <f>146570-130090+72565.6</f>
        <v>89045.6</v>
      </c>
      <c r="G24" s="38">
        <v>5620</v>
      </c>
      <c r="H24" s="18">
        <f t="shared" si="1"/>
        <v>94665.6</v>
      </c>
      <c r="I24" s="40">
        <v>0</v>
      </c>
      <c r="J24" s="40">
        <v>0</v>
      </c>
      <c r="K24" s="40">
        <v>9418.35</v>
      </c>
      <c r="L24" s="40">
        <v>0</v>
      </c>
      <c r="M24" s="40">
        <v>0</v>
      </c>
      <c r="N24" s="61">
        <v>40849.13</v>
      </c>
      <c r="O24" s="11">
        <f t="shared" si="2"/>
        <v>257867.48</v>
      </c>
      <c r="P24" s="12">
        <f t="shared" si="0"/>
        <v>352533.08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1111494.09</v>
      </c>
      <c r="D25" s="62">
        <f aca="true" t="shared" si="8" ref="D25:N25">ROUND(D22+D23+D24,2)</f>
        <v>404268.47</v>
      </c>
      <c r="E25" s="62">
        <f t="shared" si="8"/>
        <v>3147885.15</v>
      </c>
      <c r="F25" s="62">
        <f t="shared" si="8"/>
        <v>382185.6</v>
      </c>
      <c r="G25" s="62">
        <f t="shared" si="8"/>
        <v>25620</v>
      </c>
      <c r="H25" s="62">
        <f t="shared" si="8"/>
        <v>407805.6</v>
      </c>
      <c r="I25" s="62">
        <f t="shared" si="8"/>
        <v>26938.78</v>
      </c>
      <c r="J25" s="62">
        <f>ROUND(J22+J23+J24,2)</f>
        <v>25735.45</v>
      </c>
      <c r="K25" s="62">
        <f>ROUND(K22+K23+K24,2)</f>
        <v>27418.35</v>
      </c>
      <c r="L25" s="62">
        <f t="shared" si="8"/>
        <v>11500</v>
      </c>
      <c r="M25" s="62">
        <f t="shared" si="8"/>
        <v>43895.02</v>
      </c>
      <c r="N25" s="62">
        <f t="shared" si="8"/>
        <v>190209.13</v>
      </c>
      <c r="O25" s="11">
        <f t="shared" si="2"/>
        <v>4989344.44</v>
      </c>
      <c r="P25" s="12">
        <f t="shared" si="0"/>
        <v>5397150.04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4950490</v>
      </c>
      <c r="D26" s="66">
        <f aca="true" t="shared" si="9" ref="D26:N26">ROUND(D11+D15+D20+D25,2)</f>
        <v>1088000</v>
      </c>
      <c r="E26" s="66">
        <f t="shared" si="9"/>
        <v>17003750</v>
      </c>
      <c r="F26" s="66">
        <f t="shared" si="9"/>
        <v>1539580</v>
      </c>
      <c r="G26" s="66">
        <f t="shared" si="9"/>
        <v>96360</v>
      </c>
      <c r="H26" s="66">
        <f t="shared" si="9"/>
        <v>1635940</v>
      </c>
      <c r="I26" s="66">
        <f t="shared" si="9"/>
        <v>184280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11500</v>
      </c>
      <c r="M26" s="66">
        <f t="shared" si="9"/>
        <v>87790</v>
      </c>
      <c r="N26" s="66">
        <f t="shared" si="9"/>
        <v>724440</v>
      </c>
      <c r="O26" s="67">
        <f t="shared" si="2"/>
        <v>24146190</v>
      </c>
      <c r="P26" s="68">
        <f t="shared" si="0"/>
        <v>25782130</v>
      </c>
    </row>
    <row r="27" spans="1:17" s="19" customFormat="1" ht="25.5">
      <c r="A27" s="69" t="s">
        <v>126</v>
      </c>
      <c r="B27" s="27" t="s">
        <v>50</v>
      </c>
      <c r="C27" s="17">
        <f>ROUND(C8+C9+C10+C12+C13+C14+C17+C18+C19,2)</f>
        <v>3838995.91</v>
      </c>
      <c r="D27" s="17">
        <f aca="true" t="shared" si="10" ref="D27:N27">ROUND(D8+D9+D10+D12+D13+D14+D17+D18+D19,2)</f>
        <v>683731.53</v>
      </c>
      <c r="E27" s="17">
        <f t="shared" si="10"/>
        <v>13855864.85</v>
      </c>
      <c r="F27" s="17">
        <f t="shared" si="10"/>
        <v>1157394.4</v>
      </c>
      <c r="G27" s="17">
        <f t="shared" si="10"/>
        <v>70740</v>
      </c>
      <c r="H27" s="18">
        <f t="shared" si="1"/>
        <v>1228134.4</v>
      </c>
      <c r="I27" s="17">
        <f t="shared" si="10"/>
        <v>157341.22</v>
      </c>
      <c r="J27" s="17">
        <f t="shared" si="10"/>
        <v>10264.55</v>
      </c>
      <c r="K27" s="17">
        <f t="shared" si="10"/>
        <v>32521.65</v>
      </c>
      <c r="L27" s="17">
        <f t="shared" si="10"/>
        <v>0</v>
      </c>
      <c r="M27" s="17">
        <f t="shared" si="10"/>
        <v>43894.98</v>
      </c>
      <c r="N27" s="17">
        <f t="shared" si="10"/>
        <v>534230.87</v>
      </c>
      <c r="O27" s="11">
        <f t="shared" si="2"/>
        <v>19156845.56</v>
      </c>
      <c r="P27" s="12">
        <f t="shared" si="0"/>
        <v>20384979.96</v>
      </c>
      <c r="Q27" s="23"/>
    </row>
    <row r="28" spans="1:17" s="25" customFormat="1" ht="25.5">
      <c r="A28" s="14" t="s">
        <v>75</v>
      </c>
      <c r="B28" s="24" t="s">
        <v>127</v>
      </c>
      <c r="C28" s="17">
        <f>ROUND(C26-C27,2)</f>
        <v>1111494.09</v>
      </c>
      <c r="D28" s="17">
        <f>ROUND(D26-D27,2)</f>
        <v>404268.47</v>
      </c>
      <c r="E28" s="17">
        <f>ROUND(E26-E27,2)</f>
        <v>3147885.15</v>
      </c>
      <c r="F28" s="17">
        <f>ROUND(F26-F27,2)</f>
        <v>382185.6</v>
      </c>
      <c r="G28" s="17">
        <f>ROUND(G26-G27,2)</f>
        <v>25620</v>
      </c>
      <c r="H28" s="18">
        <f t="shared" si="1"/>
        <v>407805.6</v>
      </c>
      <c r="I28" s="17">
        <f aca="true" t="shared" si="11" ref="I28:N28">ROUND(I26-I27,2)</f>
        <v>26938.78</v>
      </c>
      <c r="J28" s="17">
        <f t="shared" si="11"/>
        <v>25735.45</v>
      </c>
      <c r="K28" s="17">
        <f t="shared" si="11"/>
        <v>27418.35</v>
      </c>
      <c r="L28" s="17">
        <f t="shared" si="11"/>
        <v>11500</v>
      </c>
      <c r="M28" s="17">
        <f t="shared" si="11"/>
        <v>43895.02</v>
      </c>
      <c r="N28" s="17">
        <f t="shared" si="11"/>
        <v>190209.13</v>
      </c>
      <c r="O28" s="11">
        <f t="shared" si="2"/>
        <v>4989344.44</v>
      </c>
      <c r="P28" s="12">
        <f t="shared" si="0"/>
        <v>5397150.04</v>
      </c>
      <c r="Q28" s="23"/>
    </row>
    <row r="29" spans="1:17" s="25" customFormat="1" ht="26.25" customHeight="1">
      <c r="A29" s="70">
        <v>23</v>
      </c>
      <c r="B29" s="71" t="s">
        <v>128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20" customFormat="1" ht="26.25" customHeight="1">
      <c r="A30" s="85" t="s">
        <v>86</v>
      </c>
      <c r="B30" s="86" t="s">
        <v>132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214430</v>
      </c>
      <c r="F30" s="87">
        <f t="shared" si="12"/>
        <v>50000</v>
      </c>
      <c r="G30" s="87">
        <f t="shared" si="12"/>
        <v>0</v>
      </c>
      <c r="H30" s="18">
        <f t="shared" si="1"/>
        <v>50000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2"/>
        <v>214430</v>
      </c>
      <c r="P30" s="12">
        <f t="shared" si="0"/>
        <v>264430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1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2"/>
        <v>1880897.94</v>
      </c>
      <c r="P31" s="12">
        <f t="shared" si="0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ROUND((C27+C29)/9,2)</f>
        <v>426555.1</v>
      </c>
      <c r="D32" s="17">
        <f aca="true" t="shared" si="13" ref="D32:N32">ROUND((D27+D29)/9,2)</f>
        <v>75970.17</v>
      </c>
      <c r="E32" s="17">
        <f t="shared" si="13"/>
        <v>1539540.54</v>
      </c>
      <c r="F32" s="17">
        <f t="shared" si="13"/>
        <v>128599.38</v>
      </c>
      <c r="G32" s="17">
        <f t="shared" si="13"/>
        <v>7860</v>
      </c>
      <c r="H32" s="26">
        <f t="shared" si="1"/>
        <v>136459.38</v>
      </c>
      <c r="I32" s="17">
        <f t="shared" si="13"/>
        <v>17482.36</v>
      </c>
      <c r="J32" s="17">
        <f>ROUND((J27+J29)/3,2)</f>
        <v>3421.52</v>
      </c>
      <c r="K32" s="17">
        <f t="shared" si="13"/>
        <v>3613.52</v>
      </c>
      <c r="L32" s="17">
        <f t="shared" si="13"/>
        <v>0</v>
      </c>
      <c r="M32" s="17">
        <f t="shared" si="13"/>
        <v>4877.22</v>
      </c>
      <c r="N32" s="17">
        <f t="shared" si="13"/>
        <v>59358.99</v>
      </c>
      <c r="O32" s="11">
        <f t="shared" si="2"/>
        <v>2130819.42</v>
      </c>
      <c r="P32" s="12">
        <f t="shared" si="0"/>
        <v>2267278.8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168171.2</v>
      </c>
      <c r="D33" s="60">
        <f t="shared" si="14"/>
        <v>-176357.96</v>
      </c>
      <c r="E33" s="60">
        <f t="shared" si="14"/>
        <v>1256306.48</v>
      </c>
      <c r="F33" s="60">
        <f t="shared" si="14"/>
        <v>-46387.44</v>
      </c>
      <c r="G33" s="60">
        <f t="shared" si="14"/>
        <v>-2040</v>
      </c>
      <c r="H33" s="76">
        <f t="shared" si="14"/>
        <v>-48427.44</v>
      </c>
      <c r="I33" s="60">
        <f t="shared" si="14"/>
        <v>25508.32</v>
      </c>
      <c r="J33" s="60">
        <f t="shared" si="14"/>
        <v>5058.24</v>
      </c>
      <c r="K33" s="60">
        <f t="shared" si="14"/>
        <v>-16577.76</v>
      </c>
      <c r="L33" s="60">
        <f t="shared" si="14"/>
        <v>-11500</v>
      </c>
      <c r="M33" s="60">
        <f>ROUND(M32*12-M7,2)</f>
        <v>-29263.36</v>
      </c>
      <c r="N33" s="60">
        <f>ROUND(N32*12-N7,2)</f>
        <v>-12132.12</v>
      </c>
      <c r="O33" s="11">
        <f t="shared" si="2"/>
        <v>1209213.04</v>
      </c>
      <c r="P33" s="12">
        <f t="shared" si="0"/>
        <v>1160785.6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5118661.2</v>
      </c>
      <c r="D34" s="80">
        <f t="shared" si="15"/>
        <v>911642.04</v>
      </c>
      <c r="E34" s="80">
        <f t="shared" si="15"/>
        <v>18474486.48</v>
      </c>
      <c r="F34" s="80">
        <f t="shared" si="15"/>
        <v>1543192.56</v>
      </c>
      <c r="G34" s="80">
        <f t="shared" si="15"/>
        <v>94320</v>
      </c>
      <c r="H34" s="81">
        <f t="shared" si="15"/>
        <v>1637512.56</v>
      </c>
      <c r="I34" s="80">
        <f t="shared" si="15"/>
        <v>209788.32</v>
      </c>
      <c r="J34" s="80">
        <f t="shared" si="15"/>
        <v>41058.24</v>
      </c>
      <c r="K34" s="80">
        <f t="shared" si="15"/>
        <v>43362.24</v>
      </c>
      <c r="L34" s="80">
        <f t="shared" si="15"/>
        <v>0</v>
      </c>
      <c r="M34" s="80">
        <f t="shared" si="15"/>
        <v>58526.64</v>
      </c>
      <c r="N34" s="80">
        <f t="shared" si="15"/>
        <v>712307.88</v>
      </c>
      <c r="O34" s="90">
        <f t="shared" si="2"/>
        <v>25569833.04</v>
      </c>
      <c r="P34" s="82">
        <f t="shared" si="15"/>
        <v>27207345.6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2">
      <selection activeCell="H39" sqref="H39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</f>
        <v>4950490</v>
      </c>
      <c r="D7" s="11">
        <f>300000-80000+1270000-30000-440000+68000</f>
        <v>1088000</v>
      </c>
      <c r="E7" s="11">
        <f>3775060+6228850+3938220+1530000+1531620+214430</f>
        <v>17218180</v>
      </c>
      <c r="F7" s="11">
        <f>373810+1121410+44360+50000</f>
        <v>1589580</v>
      </c>
      <c r="G7" s="11">
        <f>22060+66170+8130</f>
        <v>96360</v>
      </c>
      <c r="H7" s="11">
        <f>ROUND(F7+G7,2)</f>
        <v>1685940</v>
      </c>
      <c r="I7" s="11">
        <f>52900+116380+15000</f>
        <v>184280</v>
      </c>
      <c r="J7" s="11">
        <f>11180+4820+16000+4000</f>
        <v>36000</v>
      </c>
      <c r="K7" s="11">
        <f>16340+35940+7660</f>
        <v>59940</v>
      </c>
      <c r="L7" s="11">
        <v>11500</v>
      </c>
      <c r="M7" s="11">
        <f>43920+43920+38890-38940</f>
        <v>87790</v>
      </c>
      <c r="N7" s="11">
        <f>176150+343500+145430+54360+5000</f>
        <v>724440</v>
      </c>
      <c r="O7" s="11">
        <f>ROUND(C7+D7+E7+I7+J7+K7+N7+L7+M7,2)</f>
        <v>24360620</v>
      </c>
      <c r="P7" s="12">
        <f aca="true" t="shared" si="0" ref="P7:P33">ROUND(H7+O7,2)</f>
        <v>26046560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4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134</v>
      </c>
      <c r="C22" s="16">
        <f>450000+24136.08</f>
        <v>474136.08</v>
      </c>
      <c r="D22" s="38">
        <f>90000+134268.47-156715.77</f>
        <v>67552.70000000001</v>
      </c>
      <c r="E22" s="41">
        <f>1530000+86265.15+237772.94</f>
        <v>1854038.0899999999</v>
      </c>
      <c r="F22" s="39">
        <f>146570-2954</f>
        <v>143616</v>
      </c>
      <c r="G22" s="38">
        <f>12150-8670+6520-400</f>
        <v>9600</v>
      </c>
      <c r="H22" s="18">
        <f t="shared" si="1"/>
        <v>153216</v>
      </c>
      <c r="I22" s="97">
        <f>11938.78+5000-3963.6</f>
        <v>12975.179999999998</v>
      </c>
      <c r="J22" s="40">
        <f>25735.45-18453.13</f>
        <v>7282.32</v>
      </c>
      <c r="K22" s="39">
        <f>9000-6476.76</f>
        <v>2523.24</v>
      </c>
      <c r="L22" s="16">
        <f>11500-11500</f>
        <v>0</v>
      </c>
      <c r="M22" s="16">
        <f>28390-23390+77835.02-38940-29263.36</f>
        <v>14631.660000000003</v>
      </c>
      <c r="N22" s="16">
        <f>54360+20000+5000-13971.27</f>
        <v>65388.729999999996</v>
      </c>
      <c r="O22" s="11">
        <f t="shared" si="2"/>
        <v>2498528</v>
      </c>
      <c r="P22" s="12">
        <f t="shared" si="0"/>
        <v>2651744</v>
      </c>
    </row>
    <row r="23" spans="1:16" s="21" customFormat="1" ht="12.75">
      <c r="A23" s="14">
        <v>17</v>
      </c>
      <c r="B23" s="43" t="s">
        <v>46</v>
      </c>
      <c r="C23" s="61">
        <f>643894.09-100000-24136.08</f>
        <v>519758.00999999995</v>
      </c>
      <c r="D23" s="40">
        <f>90000+156715.77</f>
        <v>246715.77</v>
      </c>
      <c r="E23" s="97">
        <f>1531620-237772.94</f>
        <v>1293847.06</v>
      </c>
      <c r="F23" s="39">
        <f>146570+2954</f>
        <v>149524</v>
      </c>
      <c r="G23" s="38">
        <f>10000+400</f>
        <v>10400</v>
      </c>
      <c r="H23" s="18">
        <f t="shared" si="1"/>
        <v>159924</v>
      </c>
      <c r="I23" s="97">
        <f>10000+3963.6</f>
        <v>13963.6</v>
      </c>
      <c r="J23" s="40">
        <v>18453.13</v>
      </c>
      <c r="K23" s="39">
        <f>9000+6476.76</f>
        <v>15476.76</v>
      </c>
      <c r="L23" s="39">
        <v>11500</v>
      </c>
      <c r="M23" s="39">
        <v>29263.36</v>
      </c>
      <c r="N23" s="39">
        <f>70000+13971.27</f>
        <v>83971.27</v>
      </c>
      <c r="O23" s="11">
        <f t="shared" si="2"/>
        <v>2232948.96</v>
      </c>
      <c r="P23" s="12">
        <f t="shared" si="0"/>
        <v>2392872.96</v>
      </c>
    </row>
    <row r="24" spans="1:16" s="21" customFormat="1" ht="12.75">
      <c r="A24" s="14">
        <v>18</v>
      </c>
      <c r="B24" s="43" t="s">
        <v>47</v>
      </c>
      <c r="C24" s="97">
        <v>117600</v>
      </c>
      <c r="D24" s="40">
        <v>90000</v>
      </c>
      <c r="E24" s="40">
        <v>0</v>
      </c>
      <c r="F24" s="39">
        <f>146570-130090+72565.6</f>
        <v>89045.6</v>
      </c>
      <c r="G24" s="38">
        <v>5620</v>
      </c>
      <c r="H24" s="18">
        <f t="shared" si="1"/>
        <v>94665.6</v>
      </c>
      <c r="I24" s="40">
        <v>0</v>
      </c>
      <c r="J24" s="40">
        <v>0</v>
      </c>
      <c r="K24" s="40">
        <v>9418.35</v>
      </c>
      <c r="L24" s="40">
        <v>0</v>
      </c>
      <c r="M24" s="40">
        <v>0</v>
      </c>
      <c r="N24" s="61">
        <v>40849.13</v>
      </c>
      <c r="O24" s="11">
        <f t="shared" si="2"/>
        <v>257867.48</v>
      </c>
      <c r="P24" s="12">
        <f t="shared" si="0"/>
        <v>352533.08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1111494.09</v>
      </c>
      <c r="D25" s="62">
        <f aca="true" t="shared" si="8" ref="D25:N25">ROUND(D22+D23+D24,2)</f>
        <v>404268.47</v>
      </c>
      <c r="E25" s="62">
        <f t="shared" si="8"/>
        <v>3147885.15</v>
      </c>
      <c r="F25" s="62">
        <f t="shared" si="8"/>
        <v>382185.6</v>
      </c>
      <c r="G25" s="62">
        <f t="shared" si="8"/>
        <v>25620</v>
      </c>
      <c r="H25" s="62">
        <f t="shared" si="8"/>
        <v>407805.6</v>
      </c>
      <c r="I25" s="62">
        <f t="shared" si="8"/>
        <v>26938.78</v>
      </c>
      <c r="J25" s="62">
        <f>ROUND(J22+J23+J24,2)</f>
        <v>25735.45</v>
      </c>
      <c r="K25" s="62">
        <f>ROUND(K22+K23+K24,2)</f>
        <v>27418.35</v>
      </c>
      <c r="L25" s="62">
        <f t="shared" si="8"/>
        <v>11500</v>
      </c>
      <c r="M25" s="62">
        <f t="shared" si="8"/>
        <v>43895.02</v>
      </c>
      <c r="N25" s="62">
        <f t="shared" si="8"/>
        <v>190209.13</v>
      </c>
      <c r="O25" s="11">
        <f t="shared" si="2"/>
        <v>4989344.44</v>
      </c>
      <c r="P25" s="12">
        <f t="shared" si="0"/>
        <v>5397150.04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4950490</v>
      </c>
      <c r="D26" s="66">
        <f aca="true" t="shared" si="9" ref="D26:N26">ROUND(D11+D15+D20+D25,2)</f>
        <v>1088000</v>
      </c>
      <c r="E26" s="66">
        <f t="shared" si="9"/>
        <v>17003750</v>
      </c>
      <c r="F26" s="66">
        <f t="shared" si="9"/>
        <v>1539580</v>
      </c>
      <c r="G26" s="66">
        <f t="shared" si="9"/>
        <v>96360</v>
      </c>
      <c r="H26" s="66">
        <f t="shared" si="9"/>
        <v>1635940</v>
      </c>
      <c r="I26" s="66">
        <f t="shared" si="9"/>
        <v>184280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11500</v>
      </c>
      <c r="M26" s="66">
        <f t="shared" si="9"/>
        <v>87790</v>
      </c>
      <c r="N26" s="66">
        <f t="shared" si="9"/>
        <v>724440</v>
      </c>
      <c r="O26" s="67">
        <f t="shared" si="2"/>
        <v>24146190</v>
      </c>
      <c r="P26" s="68">
        <f t="shared" si="0"/>
        <v>25782130</v>
      </c>
    </row>
    <row r="27" spans="1:17" s="19" customFormat="1" ht="25.5">
      <c r="A27" s="69" t="s">
        <v>135</v>
      </c>
      <c r="B27" s="27" t="s">
        <v>50</v>
      </c>
      <c r="C27" s="17">
        <f>ROUND(C8+C9+C10+C12+C13+C14+C17+C18+C19+C22,2)</f>
        <v>4313131.99</v>
      </c>
      <c r="D27" s="17">
        <f aca="true" t="shared" si="10" ref="D27:N27">ROUND(D8+D9+D10+D12+D13+D14+D17+D18+D19+D22,2)</f>
        <v>751284.23</v>
      </c>
      <c r="E27" s="17">
        <f t="shared" si="10"/>
        <v>15709902.94</v>
      </c>
      <c r="F27" s="17">
        <f t="shared" si="10"/>
        <v>1301010.4</v>
      </c>
      <c r="G27" s="17">
        <f t="shared" si="10"/>
        <v>80340</v>
      </c>
      <c r="H27" s="18">
        <f t="shared" si="1"/>
        <v>1381350.4</v>
      </c>
      <c r="I27" s="17">
        <f t="shared" si="10"/>
        <v>170316.4</v>
      </c>
      <c r="J27" s="17">
        <f t="shared" si="10"/>
        <v>17546.87</v>
      </c>
      <c r="K27" s="17">
        <f t="shared" si="10"/>
        <v>35044.89</v>
      </c>
      <c r="L27" s="17">
        <f t="shared" si="10"/>
        <v>0</v>
      </c>
      <c r="M27" s="17">
        <f t="shared" si="10"/>
        <v>58526.64</v>
      </c>
      <c r="N27" s="17">
        <f t="shared" si="10"/>
        <v>599619.6</v>
      </c>
      <c r="O27" s="11">
        <f t="shared" si="2"/>
        <v>21655373.56</v>
      </c>
      <c r="P27" s="12">
        <f t="shared" si="0"/>
        <v>23036723.96</v>
      </c>
      <c r="Q27" s="23"/>
    </row>
    <row r="28" spans="1:17" s="25" customFormat="1" ht="25.5">
      <c r="A28" s="14" t="s">
        <v>75</v>
      </c>
      <c r="B28" s="24" t="s">
        <v>136</v>
      </c>
      <c r="C28" s="17">
        <f>ROUND(C26-C27,2)</f>
        <v>637358.01</v>
      </c>
      <c r="D28" s="17">
        <f>ROUND(D26-D27,2)</f>
        <v>336715.77</v>
      </c>
      <c r="E28" s="17">
        <f>ROUND(E26-E27,2)</f>
        <v>1293847.06</v>
      </c>
      <c r="F28" s="17">
        <f>ROUND(F26-F27,2)</f>
        <v>238569.6</v>
      </c>
      <c r="G28" s="17">
        <f>ROUND(G26-G27,2)</f>
        <v>16020</v>
      </c>
      <c r="H28" s="18">
        <f t="shared" si="1"/>
        <v>254589.6</v>
      </c>
      <c r="I28" s="17">
        <f aca="true" t="shared" si="11" ref="I28:N28">ROUND(I26-I27,2)</f>
        <v>13963.6</v>
      </c>
      <c r="J28" s="17">
        <f t="shared" si="11"/>
        <v>18453.13</v>
      </c>
      <c r="K28" s="17">
        <f t="shared" si="11"/>
        <v>24895.11</v>
      </c>
      <c r="L28" s="17">
        <f t="shared" si="11"/>
        <v>11500</v>
      </c>
      <c r="M28" s="17">
        <f t="shared" si="11"/>
        <v>29263.36</v>
      </c>
      <c r="N28" s="17">
        <f t="shared" si="11"/>
        <v>124820.4</v>
      </c>
      <c r="O28" s="11">
        <f t="shared" si="2"/>
        <v>2490816.44</v>
      </c>
      <c r="P28" s="12">
        <f t="shared" si="0"/>
        <v>2745406.04</v>
      </c>
      <c r="Q28" s="23"/>
    </row>
    <row r="29" spans="1:17" s="25" customFormat="1" ht="26.25" customHeight="1">
      <c r="A29" s="70">
        <v>23</v>
      </c>
      <c r="B29" s="71" t="s">
        <v>137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20" customFormat="1" ht="26.25" customHeight="1">
      <c r="A30" s="85" t="s">
        <v>86</v>
      </c>
      <c r="B30" s="86" t="s">
        <v>132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214430</v>
      </c>
      <c r="F30" s="87">
        <f t="shared" si="12"/>
        <v>50000</v>
      </c>
      <c r="G30" s="87">
        <f t="shared" si="12"/>
        <v>0</v>
      </c>
      <c r="H30" s="18">
        <f t="shared" si="1"/>
        <v>50000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2"/>
        <v>214430</v>
      </c>
      <c r="P30" s="12">
        <f t="shared" si="0"/>
        <v>264430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1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2"/>
        <v>1880897.94</v>
      </c>
      <c r="P31" s="12">
        <f t="shared" si="0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ROUND((C27+C29)/10,2)</f>
        <v>431313.2</v>
      </c>
      <c r="D32" s="17">
        <f aca="true" t="shared" si="13" ref="D32:N32">ROUND((D27+D29)/10,2)</f>
        <v>75128.42</v>
      </c>
      <c r="E32" s="17">
        <f t="shared" si="13"/>
        <v>1570990.29</v>
      </c>
      <c r="F32" s="17">
        <f t="shared" si="13"/>
        <v>130101.04</v>
      </c>
      <c r="G32" s="17">
        <f t="shared" si="13"/>
        <v>8034</v>
      </c>
      <c r="H32" s="26">
        <f t="shared" si="1"/>
        <v>138135.04</v>
      </c>
      <c r="I32" s="17">
        <f t="shared" si="13"/>
        <v>17031.64</v>
      </c>
      <c r="J32" s="17">
        <f>ROUND((J27+J29)/4,2)</f>
        <v>4386.72</v>
      </c>
      <c r="K32" s="17">
        <f t="shared" si="13"/>
        <v>3504.49</v>
      </c>
      <c r="L32" s="17">
        <f t="shared" si="13"/>
        <v>0</v>
      </c>
      <c r="M32" s="17">
        <f t="shared" si="13"/>
        <v>5852.66</v>
      </c>
      <c r="N32" s="17">
        <f t="shared" si="13"/>
        <v>59961.96</v>
      </c>
      <c r="O32" s="11">
        <f t="shared" si="2"/>
        <v>2168169.38</v>
      </c>
      <c r="P32" s="12">
        <f t="shared" si="0"/>
        <v>2306304.42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225268.4</v>
      </c>
      <c r="D33" s="60">
        <f t="shared" si="14"/>
        <v>-186458.96</v>
      </c>
      <c r="E33" s="60">
        <f t="shared" si="14"/>
        <v>1633703.48</v>
      </c>
      <c r="F33" s="60">
        <f t="shared" si="14"/>
        <v>-28367.52</v>
      </c>
      <c r="G33" s="60">
        <f t="shared" si="14"/>
        <v>48</v>
      </c>
      <c r="H33" s="76">
        <f t="shared" si="14"/>
        <v>-28319.52</v>
      </c>
      <c r="I33" s="60">
        <f t="shared" si="14"/>
        <v>20099.68</v>
      </c>
      <c r="J33" s="60">
        <f t="shared" si="14"/>
        <v>16640.64</v>
      </c>
      <c r="K33" s="60">
        <f t="shared" si="14"/>
        <v>-17886.12</v>
      </c>
      <c r="L33" s="60">
        <f t="shared" si="14"/>
        <v>-11500</v>
      </c>
      <c r="M33" s="60">
        <f>ROUND(M32*12-M7,2)</f>
        <v>-17558.08</v>
      </c>
      <c r="N33" s="60">
        <f>ROUND(N32*12-N7,2)</f>
        <v>-4896.48</v>
      </c>
      <c r="O33" s="11">
        <f t="shared" si="2"/>
        <v>1657412.56</v>
      </c>
      <c r="P33" s="12">
        <f t="shared" si="0"/>
        <v>1629093.04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5175758.4</v>
      </c>
      <c r="D34" s="80">
        <f t="shared" si="15"/>
        <v>901541.04</v>
      </c>
      <c r="E34" s="80">
        <f t="shared" si="15"/>
        <v>18851883.48</v>
      </c>
      <c r="F34" s="80">
        <f t="shared" si="15"/>
        <v>1561212.48</v>
      </c>
      <c r="G34" s="80">
        <f t="shared" si="15"/>
        <v>96408</v>
      </c>
      <c r="H34" s="81">
        <f t="shared" si="15"/>
        <v>1657620.48</v>
      </c>
      <c r="I34" s="80">
        <f t="shared" si="15"/>
        <v>204379.68</v>
      </c>
      <c r="J34" s="80">
        <f t="shared" si="15"/>
        <v>52640.64</v>
      </c>
      <c r="K34" s="80">
        <f t="shared" si="15"/>
        <v>42053.88</v>
      </c>
      <c r="L34" s="80">
        <f t="shared" si="15"/>
        <v>0</v>
      </c>
      <c r="M34" s="80">
        <f t="shared" si="15"/>
        <v>70231.92</v>
      </c>
      <c r="N34" s="80">
        <f t="shared" si="15"/>
        <v>719543.52</v>
      </c>
      <c r="O34" s="90">
        <f t="shared" si="2"/>
        <v>26018032.56</v>
      </c>
      <c r="P34" s="82">
        <f t="shared" si="15"/>
        <v>27675653.04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D1">
      <selection activeCell="C36" sqref="C36:L39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</f>
        <v>4950490</v>
      </c>
      <c r="D7" s="11">
        <f>300000-80000+1270000-30000-440000+68000</f>
        <v>1088000</v>
      </c>
      <c r="E7" s="11">
        <f>3775060+6228850+3938220+1530000+1531620+214430</f>
        <v>17218180</v>
      </c>
      <c r="F7" s="11">
        <f>373810+1121410+44360+50000</f>
        <v>1589580</v>
      </c>
      <c r="G7" s="11">
        <f>22060+66170+8130</f>
        <v>96360</v>
      </c>
      <c r="H7" s="11">
        <f>ROUND(F7+G7,2)</f>
        <v>1685940</v>
      </c>
      <c r="I7" s="11">
        <f>52900+116380+15000+15000</f>
        <v>199280</v>
      </c>
      <c r="J7" s="11">
        <f>11180+4820+16000+4000</f>
        <v>36000</v>
      </c>
      <c r="K7" s="11">
        <f>16340+35940+7660</f>
        <v>59940</v>
      </c>
      <c r="L7" s="11">
        <f>11500+11500</f>
        <v>23000</v>
      </c>
      <c r="M7" s="11">
        <f>43920+43920+38890-38940</f>
        <v>87790</v>
      </c>
      <c r="N7" s="11">
        <f>176150+343500+145430+54360+5000</f>
        <v>724440</v>
      </c>
      <c r="O7" s="11">
        <f>ROUND(C7+D7+E7+I7+J7+K7+N7+L7+M7,2)</f>
        <v>24387120</v>
      </c>
      <c r="P7" s="12">
        <f aca="true" t="shared" si="0" ref="P7:P33">ROUND(H7+O7,2)</f>
        <v>26073060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4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134</v>
      </c>
      <c r="C22" s="16">
        <f>450000+24136.08</f>
        <v>474136.08</v>
      </c>
      <c r="D22" s="38">
        <f>90000+134268.47-156715.77</f>
        <v>67552.70000000001</v>
      </c>
      <c r="E22" s="41">
        <f>1530000+86265.15+237772.94</f>
        <v>1854038.0899999999</v>
      </c>
      <c r="F22" s="39">
        <f>146570-2954</f>
        <v>143616</v>
      </c>
      <c r="G22" s="38">
        <f>12150-8670+6520-400</f>
        <v>9600</v>
      </c>
      <c r="H22" s="18">
        <f t="shared" si="1"/>
        <v>153216</v>
      </c>
      <c r="I22" s="97">
        <f>11938.78+5000-3963.6</f>
        <v>12975.179999999998</v>
      </c>
      <c r="J22" s="40">
        <f>25735.45-18453.13</f>
        <v>7282.32</v>
      </c>
      <c r="K22" s="39">
        <f>9000-6476.76</f>
        <v>2523.24</v>
      </c>
      <c r="L22" s="16">
        <f>11500-11500</f>
        <v>0</v>
      </c>
      <c r="M22" s="16">
        <f>28390-23390+77835.02-38940-29263.36</f>
        <v>14631.660000000003</v>
      </c>
      <c r="N22" s="16">
        <f>54360+20000+5000-13971.27</f>
        <v>65388.729999999996</v>
      </c>
      <c r="O22" s="11">
        <f t="shared" si="2"/>
        <v>2498528</v>
      </c>
      <c r="P22" s="12">
        <f t="shared" si="0"/>
        <v>2651744</v>
      </c>
    </row>
    <row r="23" spans="1:16" s="21" customFormat="1" ht="12.75">
      <c r="A23" s="14">
        <v>17</v>
      </c>
      <c r="B23" s="43" t="s">
        <v>46</v>
      </c>
      <c r="C23" s="61">
        <f>643894.09-100000-24136.08</f>
        <v>519758.00999999995</v>
      </c>
      <c r="D23" s="40">
        <f>90000+156715.77</f>
        <v>246715.77</v>
      </c>
      <c r="E23" s="97">
        <f>1531620-237772.94</f>
        <v>1293847.06</v>
      </c>
      <c r="F23" s="39">
        <f>146570+2954</f>
        <v>149524</v>
      </c>
      <c r="G23" s="38">
        <f>10000+400</f>
        <v>10400</v>
      </c>
      <c r="H23" s="18">
        <f t="shared" si="1"/>
        <v>159924</v>
      </c>
      <c r="I23" s="97">
        <f>10000+3963.6</f>
        <v>13963.6</v>
      </c>
      <c r="J23" s="40">
        <v>18453.13</v>
      </c>
      <c r="K23" s="39">
        <f>9000+6476.76</f>
        <v>15476.76</v>
      </c>
      <c r="L23" s="39">
        <v>11500</v>
      </c>
      <c r="M23" s="39">
        <v>29263.36</v>
      </c>
      <c r="N23" s="39">
        <f>70000+13971.27</f>
        <v>83971.27</v>
      </c>
      <c r="O23" s="11">
        <f t="shared" si="2"/>
        <v>2232948.96</v>
      </c>
      <c r="P23" s="12">
        <f t="shared" si="0"/>
        <v>2392872.96</v>
      </c>
    </row>
    <row r="24" spans="1:16" s="21" customFormat="1" ht="12.75">
      <c r="A24" s="14">
        <v>18</v>
      </c>
      <c r="B24" s="43" t="s">
        <v>47</v>
      </c>
      <c r="C24" s="97">
        <v>117600</v>
      </c>
      <c r="D24" s="40">
        <v>90000</v>
      </c>
      <c r="E24" s="40">
        <v>0</v>
      </c>
      <c r="F24" s="39">
        <f>146570-130090+72565.6</f>
        <v>89045.6</v>
      </c>
      <c r="G24" s="38">
        <v>5620</v>
      </c>
      <c r="H24" s="18">
        <f t="shared" si="1"/>
        <v>94665.6</v>
      </c>
      <c r="I24" s="40">
        <v>0</v>
      </c>
      <c r="J24" s="40">
        <v>0</v>
      </c>
      <c r="K24" s="40">
        <v>9418.35</v>
      </c>
      <c r="L24" s="40">
        <v>0</v>
      </c>
      <c r="M24" s="40">
        <v>0</v>
      </c>
      <c r="N24" s="61">
        <v>40849.13</v>
      </c>
      <c r="O24" s="11">
        <f t="shared" si="2"/>
        <v>257867.48</v>
      </c>
      <c r="P24" s="12">
        <f t="shared" si="0"/>
        <v>352533.08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1111494.09</v>
      </c>
      <c r="D25" s="62">
        <f aca="true" t="shared" si="8" ref="D25:N25">ROUND(D22+D23+D24,2)</f>
        <v>404268.47</v>
      </c>
      <c r="E25" s="62">
        <f t="shared" si="8"/>
        <v>3147885.15</v>
      </c>
      <c r="F25" s="62">
        <f t="shared" si="8"/>
        <v>382185.6</v>
      </c>
      <c r="G25" s="62">
        <f t="shared" si="8"/>
        <v>25620</v>
      </c>
      <c r="H25" s="62">
        <f t="shared" si="8"/>
        <v>407805.6</v>
      </c>
      <c r="I25" s="62">
        <f t="shared" si="8"/>
        <v>26938.78</v>
      </c>
      <c r="J25" s="62">
        <f>ROUND(J22+J23+J24,2)</f>
        <v>25735.45</v>
      </c>
      <c r="K25" s="62">
        <f>ROUND(K22+K23+K24,2)</f>
        <v>27418.35</v>
      </c>
      <c r="L25" s="62">
        <f t="shared" si="8"/>
        <v>11500</v>
      </c>
      <c r="M25" s="62">
        <f t="shared" si="8"/>
        <v>43895.02</v>
      </c>
      <c r="N25" s="62">
        <f t="shared" si="8"/>
        <v>190209.13</v>
      </c>
      <c r="O25" s="11">
        <f t="shared" si="2"/>
        <v>4989344.44</v>
      </c>
      <c r="P25" s="12">
        <f t="shared" si="0"/>
        <v>5397150.04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4950490</v>
      </c>
      <c r="D26" s="66">
        <f aca="true" t="shared" si="9" ref="D26:N26">ROUND(D11+D15+D20+D25,2)</f>
        <v>1088000</v>
      </c>
      <c r="E26" s="66">
        <f t="shared" si="9"/>
        <v>17003750</v>
      </c>
      <c r="F26" s="66">
        <f t="shared" si="9"/>
        <v>1539580</v>
      </c>
      <c r="G26" s="66">
        <f t="shared" si="9"/>
        <v>96360</v>
      </c>
      <c r="H26" s="66">
        <f t="shared" si="9"/>
        <v>1635940</v>
      </c>
      <c r="I26" s="66">
        <f t="shared" si="9"/>
        <v>184280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11500</v>
      </c>
      <c r="M26" s="66">
        <f t="shared" si="9"/>
        <v>87790</v>
      </c>
      <c r="N26" s="66">
        <f t="shared" si="9"/>
        <v>724440</v>
      </c>
      <c r="O26" s="67">
        <f t="shared" si="2"/>
        <v>24146190</v>
      </c>
      <c r="P26" s="68">
        <f t="shared" si="0"/>
        <v>25782130</v>
      </c>
    </row>
    <row r="27" spans="1:17" s="19" customFormat="1" ht="25.5">
      <c r="A27" s="69" t="s">
        <v>135</v>
      </c>
      <c r="B27" s="27" t="s">
        <v>50</v>
      </c>
      <c r="C27" s="17">
        <f>ROUND(C8+C9+C10+C12+C13+C14+C17+C18+C19+C22,2)</f>
        <v>4313131.99</v>
      </c>
      <c r="D27" s="17">
        <f aca="true" t="shared" si="10" ref="D27:N27">ROUND(D8+D9+D10+D12+D13+D14+D17+D18+D19+D22,2)</f>
        <v>751284.23</v>
      </c>
      <c r="E27" s="17">
        <f t="shared" si="10"/>
        <v>15709902.94</v>
      </c>
      <c r="F27" s="17">
        <f t="shared" si="10"/>
        <v>1301010.4</v>
      </c>
      <c r="G27" s="17">
        <f t="shared" si="10"/>
        <v>80340</v>
      </c>
      <c r="H27" s="18">
        <f t="shared" si="1"/>
        <v>1381350.4</v>
      </c>
      <c r="I27" s="17">
        <f t="shared" si="10"/>
        <v>170316.4</v>
      </c>
      <c r="J27" s="17">
        <f t="shared" si="10"/>
        <v>17546.87</v>
      </c>
      <c r="K27" s="17">
        <f t="shared" si="10"/>
        <v>35044.89</v>
      </c>
      <c r="L27" s="17">
        <f t="shared" si="10"/>
        <v>0</v>
      </c>
      <c r="M27" s="17">
        <f t="shared" si="10"/>
        <v>58526.64</v>
      </c>
      <c r="N27" s="17">
        <f t="shared" si="10"/>
        <v>599619.6</v>
      </c>
      <c r="O27" s="11">
        <f t="shared" si="2"/>
        <v>21655373.56</v>
      </c>
      <c r="P27" s="12">
        <f t="shared" si="0"/>
        <v>23036723.96</v>
      </c>
      <c r="Q27" s="23"/>
    </row>
    <row r="28" spans="1:17" s="25" customFormat="1" ht="25.5">
      <c r="A28" s="14" t="s">
        <v>75</v>
      </c>
      <c r="B28" s="24" t="s">
        <v>136</v>
      </c>
      <c r="C28" s="17">
        <f>ROUND(C26-C27,2)</f>
        <v>637358.01</v>
      </c>
      <c r="D28" s="17">
        <f>ROUND(D26-D27,2)</f>
        <v>336715.77</v>
      </c>
      <c r="E28" s="17">
        <f>ROUND(E26-E27,2)</f>
        <v>1293847.06</v>
      </c>
      <c r="F28" s="17">
        <f>ROUND(F26-F27,2)</f>
        <v>238569.6</v>
      </c>
      <c r="G28" s="17">
        <f>ROUND(G26-G27,2)</f>
        <v>16020</v>
      </c>
      <c r="H28" s="18">
        <f t="shared" si="1"/>
        <v>254589.6</v>
      </c>
      <c r="I28" s="17">
        <f aca="true" t="shared" si="11" ref="I28:N28">ROUND(I26-I27,2)</f>
        <v>13963.6</v>
      </c>
      <c r="J28" s="17">
        <f t="shared" si="11"/>
        <v>18453.13</v>
      </c>
      <c r="K28" s="17">
        <f t="shared" si="11"/>
        <v>24895.11</v>
      </c>
      <c r="L28" s="17">
        <f t="shared" si="11"/>
        <v>11500</v>
      </c>
      <c r="M28" s="17">
        <f t="shared" si="11"/>
        <v>29263.36</v>
      </c>
      <c r="N28" s="17">
        <f t="shared" si="11"/>
        <v>124820.4</v>
      </c>
      <c r="O28" s="11">
        <f t="shared" si="2"/>
        <v>2490816.44</v>
      </c>
      <c r="P28" s="12">
        <f t="shared" si="0"/>
        <v>2745406.04</v>
      </c>
      <c r="Q28" s="23"/>
    </row>
    <row r="29" spans="1:17" s="25" customFormat="1" ht="26.25" customHeight="1">
      <c r="A29" s="70">
        <v>23</v>
      </c>
      <c r="B29" s="71" t="s">
        <v>137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20" customFormat="1" ht="26.25" customHeight="1">
      <c r="A30" s="85" t="s">
        <v>86</v>
      </c>
      <c r="B30" s="86" t="s">
        <v>132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214430</v>
      </c>
      <c r="F30" s="87">
        <f t="shared" si="12"/>
        <v>50000</v>
      </c>
      <c r="G30" s="87">
        <f t="shared" si="12"/>
        <v>0</v>
      </c>
      <c r="H30" s="18">
        <f t="shared" si="1"/>
        <v>50000</v>
      </c>
      <c r="I30" s="87">
        <f t="shared" si="12"/>
        <v>15000</v>
      </c>
      <c r="J30" s="87">
        <f t="shared" si="12"/>
        <v>0</v>
      </c>
      <c r="K30" s="87">
        <f t="shared" si="12"/>
        <v>0</v>
      </c>
      <c r="L30" s="87">
        <f t="shared" si="12"/>
        <v>11500</v>
      </c>
      <c r="M30" s="87">
        <f t="shared" si="12"/>
        <v>0</v>
      </c>
      <c r="N30" s="87">
        <f t="shared" si="12"/>
        <v>0</v>
      </c>
      <c r="O30" s="11">
        <f t="shared" si="2"/>
        <v>240930</v>
      </c>
      <c r="P30" s="12">
        <f t="shared" si="0"/>
        <v>290930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1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2"/>
        <v>1880897.94</v>
      </c>
      <c r="P31" s="12">
        <f t="shared" si="0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ROUND((C27+C29)/10,2)</f>
        <v>431313.2</v>
      </c>
      <c r="D32" s="17">
        <f aca="true" t="shared" si="13" ref="D32:N32">ROUND((D27+D29)/10,2)</f>
        <v>75128.42</v>
      </c>
      <c r="E32" s="17">
        <f t="shared" si="13"/>
        <v>1570990.29</v>
      </c>
      <c r="F32" s="17">
        <f t="shared" si="13"/>
        <v>130101.04</v>
      </c>
      <c r="G32" s="17">
        <f t="shared" si="13"/>
        <v>8034</v>
      </c>
      <c r="H32" s="26">
        <f t="shared" si="1"/>
        <v>138135.04</v>
      </c>
      <c r="I32" s="17">
        <f t="shared" si="13"/>
        <v>17031.64</v>
      </c>
      <c r="J32" s="17">
        <f>ROUND((J27+J29)/4,2)</f>
        <v>4386.72</v>
      </c>
      <c r="K32" s="17">
        <f t="shared" si="13"/>
        <v>3504.49</v>
      </c>
      <c r="L32" s="17">
        <f t="shared" si="13"/>
        <v>0</v>
      </c>
      <c r="M32" s="17">
        <f t="shared" si="13"/>
        <v>5852.66</v>
      </c>
      <c r="N32" s="17">
        <f t="shared" si="13"/>
        <v>59961.96</v>
      </c>
      <c r="O32" s="11">
        <f t="shared" si="2"/>
        <v>2168169.38</v>
      </c>
      <c r="P32" s="12">
        <f t="shared" si="0"/>
        <v>2306304.42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225268.4</v>
      </c>
      <c r="D33" s="60">
        <f t="shared" si="14"/>
        <v>-186458.96</v>
      </c>
      <c r="E33" s="60">
        <f t="shared" si="14"/>
        <v>1633703.48</v>
      </c>
      <c r="F33" s="60">
        <f t="shared" si="14"/>
        <v>-28367.52</v>
      </c>
      <c r="G33" s="60">
        <f t="shared" si="14"/>
        <v>48</v>
      </c>
      <c r="H33" s="76">
        <f t="shared" si="14"/>
        <v>-28319.52</v>
      </c>
      <c r="I33" s="60">
        <f t="shared" si="14"/>
        <v>5099.68</v>
      </c>
      <c r="J33" s="60">
        <f t="shared" si="14"/>
        <v>16640.64</v>
      </c>
      <c r="K33" s="60">
        <f t="shared" si="14"/>
        <v>-17886.12</v>
      </c>
      <c r="L33" s="60">
        <f t="shared" si="14"/>
        <v>-23000</v>
      </c>
      <c r="M33" s="60">
        <f>ROUND(M32*12-M7,2)</f>
        <v>-17558.08</v>
      </c>
      <c r="N33" s="60">
        <f>ROUND(N32*12-N7,2)</f>
        <v>-4896.48</v>
      </c>
      <c r="O33" s="11">
        <f t="shared" si="2"/>
        <v>1630912.56</v>
      </c>
      <c r="P33" s="12">
        <f t="shared" si="0"/>
        <v>1602593.04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5175758.4</v>
      </c>
      <c r="D34" s="80">
        <f t="shared" si="15"/>
        <v>901541.04</v>
      </c>
      <c r="E34" s="80">
        <f t="shared" si="15"/>
        <v>18851883.48</v>
      </c>
      <c r="F34" s="80">
        <f t="shared" si="15"/>
        <v>1561212.48</v>
      </c>
      <c r="G34" s="80">
        <f t="shared" si="15"/>
        <v>96408</v>
      </c>
      <c r="H34" s="81">
        <f t="shared" si="15"/>
        <v>1657620.48</v>
      </c>
      <c r="I34" s="80">
        <f t="shared" si="15"/>
        <v>204379.68</v>
      </c>
      <c r="J34" s="80">
        <f t="shared" si="15"/>
        <v>52640.64</v>
      </c>
      <c r="K34" s="80">
        <f t="shared" si="15"/>
        <v>42053.88</v>
      </c>
      <c r="L34" s="80">
        <f t="shared" si="15"/>
        <v>0</v>
      </c>
      <c r="M34" s="80">
        <f t="shared" si="15"/>
        <v>70231.92</v>
      </c>
      <c r="N34" s="80">
        <f t="shared" si="15"/>
        <v>719543.52</v>
      </c>
      <c r="O34" s="90">
        <f t="shared" si="2"/>
        <v>26018032.56</v>
      </c>
      <c r="P34" s="82">
        <f t="shared" si="15"/>
        <v>27675653.04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2">
      <selection activeCell="B39" sqref="B39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139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1530000+2952890+450000-100000+117600+150000</f>
        <v>5100490</v>
      </c>
      <c r="D7" s="11">
        <f>300000-80000+1270000-30000-440000+68000-100000</f>
        <v>988000</v>
      </c>
      <c r="E7" s="11">
        <f>3775060+6228850+3938220+1530000+1531620+214430+641330</f>
        <v>17859510</v>
      </c>
      <c r="F7" s="11">
        <f>373810+1121410+44360+50000</f>
        <v>1589580</v>
      </c>
      <c r="G7" s="11">
        <f>22060+66170+8130</f>
        <v>96360</v>
      </c>
      <c r="H7" s="11">
        <f>ROUND(F7+G7,2)</f>
        <v>1685940</v>
      </c>
      <c r="I7" s="11">
        <f>52900+116380+15000+15000</f>
        <v>199280</v>
      </c>
      <c r="J7" s="11">
        <f>11180+4820+16000+4000</f>
        <v>36000</v>
      </c>
      <c r="K7" s="11">
        <f>16340+35940+7660</f>
        <v>59940</v>
      </c>
      <c r="L7" s="11">
        <f>11500+11500</f>
        <v>23000</v>
      </c>
      <c r="M7" s="11">
        <f>43920+43920+38890-38940</f>
        <v>87790</v>
      </c>
      <c r="N7" s="11">
        <f>176150+343500+145430+54360+5000</f>
        <v>724440</v>
      </c>
      <c r="O7" s="11">
        <f>ROUND(C7+D7+E7+I7+J7+K7+N7+L7+M7,2)</f>
        <v>25078450</v>
      </c>
      <c r="P7" s="12">
        <f aca="true" t="shared" si="0" ref="P7:P33">ROUND(H7+O7,2)</f>
        <v>26764390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4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134</v>
      </c>
      <c r="C22" s="16">
        <f>450000+24136.08</f>
        <v>474136.08</v>
      </c>
      <c r="D22" s="38">
        <f>90000+134268.47-156715.77</f>
        <v>67552.70000000001</v>
      </c>
      <c r="E22" s="41">
        <f>1530000+86265.15+237772.94</f>
        <v>1854038.0899999999</v>
      </c>
      <c r="F22" s="39">
        <f>146570-2954</f>
        <v>143616</v>
      </c>
      <c r="G22" s="38">
        <f>12150-8670+6520-400</f>
        <v>9600</v>
      </c>
      <c r="H22" s="18">
        <f t="shared" si="1"/>
        <v>153216</v>
      </c>
      <c r="I22" s="97">
        <f>11938.78+5000-3963.6</f>
        <v>12975.179999999998</v>
      </c>
      <c r="J22" s="40">
        <f>25735.45-18453.13</f>
        <v>7282.32</v>
      </c>
      <c r="K22" s="39">
        <f>9000-6476.76</f>
        <v>2523.24</v>
      </c>
      <c r="L22" s="16">
        <f>11500-11500</f>
        <v>0</v>
      </c>
      <c r="M22" s="16">
        <f>28390-23390+77835.02-38940-29263.36</f>
        <v>14631.660000000003</v>
      </c>
      <c r="N22" s="16">
        <f>54360+20000+5000-13971.27</f>
        <v>65388.729999999996</v>
      </c>
      <c r="O22" s="11">
        <f t="shared" si="2"/>
        <v>2498528</v>
      </c>
      <c r="P22" s="12">
        <f t="shared" si="0"/>
        <v>2651744</v>
      </c>
    </row>
    <row r="23" spans="1:16" s="21" customFormat="1" ht="12.75">
      <c r="A23" s="14">
        <v>17</v>
      </c>
      <c r="B23" s="43" t="s">
        <v>46</v>
      </c>
      <c r="C23" s="61">
        <f>643894.09-100000-24136.08</f>
        <v>519758.00999999995</v>
      </c>
      <c r="D23" s="102">
        <f>90000+156715.77-100000</f>
        <v>146715.77</v>
      </c>
      <c r="E23" s="102">
        <f>1531620-237772.94+214430+641330</f>
        <v>2149607.06</v>
      </c>
      <c r="F23" s="39">
        <f>146570+2954</f>
        <v>149524</v>
      </c>
      <c r="G23" s="38">
        <f>10000+400</f>
        <v>10400</v>
      </c>
      <c r="H23" s="18">
        <f t="shared" si="1"/>
        <v>159924</v>
      </c>
      <c r="I23" s="97">
        <f>10000+3963.6</f>
        <v>13963.6</v>
      </c>
      <c r="J23" s="40">
        <v>18453.13</v>
      </c>
      <c r="K23" s="39">
        <f>9000+6476.76</f>
        <v>15476.76</v>
      </c>
      <c r="L23" s="39">
        <v>11500</v>
      </c>
      <c r="M23" s="39">
        <v>29263.36</v>
      </c>
      <c r="N23" s="39">
        <f>70000+13971.27</f>
        <v>83971.27</v>
      </c>
      <c r="O23" s="11">
        <f t="shared" si="2"/>
        <v>2988708.96</v>
      </c>
      <c r="P23" s="12">
        <f t="shared" si="0"/>
        <v>3148632.96</v>
      </c>
    </row>
    <row r="24" spans="1:16" s="21" customFormat="1" ht="12.75">
      <c r="A24" s="14">
        <v>18</v>
      </c>
      <c r="B24" s="43" t="s">
        <v>47</v>
      </c>
      <c r="C24" s="102">
        <f>117600+150000</f>
        <v>267600</v>
      </c>
      <c r="D24" s="40">
        <v>90000</v>
      </c>
      <c r="E24" s="40">
        <v>0</v>
      </c>
      <c r="F24" s="103">
        <f>146570-130090+72565.6+50000</f>
        <v>139045.6</v>
      </c>
      <c r="G24" s="38">
        <v>5620</v>
      </c>
      <c r="H24" s="18">
        <f t="shared" si="1"/>
        <v>144665.6</v>
      </c>
      <c r="I24" s="102">
        <v>15000</v>
      </c>
      <c r="J24" s="40">
        <v>0</v>
      </c>
      <c r="K24" s="40">
        <v>9418.35</v>
      </c>
      <c r="L24" s="102">
        <v>11500</v>
      </c>
      <c r="M24" s="40">
        <v>0</v>
      </c>
      <c r="N24" s="61">
        <v>40849.13</v>
      </c>
      <c r="O24" s="11">
        <f t="shared" si="2"/>
        <v>434367.48</v>
      </c>
      <c r="P24" s="12">
        <f t="shared" si="0"/>
        <v>579033.08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1261494.09</v>
      </c>
      <c r="D25" s="62">
        <f aca="true" t="shared" si="8" ref="D25:N25">ROUND(D22+D23+D24,2)</f>
        <v>304268.47</v>
      </c>
      <c r="E25" s="62">
        <f t="shared" si="8"/>
        <v>4003645.15</v>
      </c>
      <c r="F25" s="62">
        <f t="shared" si="8"/>
        <v>432185.6</v>
      </c>
      <c r="G25" s="62">
        <f t="shared" si="8"/>
        <v>25620</v>
      </c>
      <c r="H25" s="62">
        <f t="shared" si="8"/>
        <v>457805.6</v>
      </c>
      <c r="I25" s="62">
        <f t="shared" si="8"/>
        <v>41938.78</v>
      </c>
      <c r="J25" s="62">
        <f>ROUND(J22+J23+J24,2)</f>
        <v>25735.45</v>
      </c>
      <c r="K25" s="62">
        <f>ROUND(K22+K23+K24,2)</f>
        <v>27418.35</v>
      </c>
      <c r="L25" s="62">
        <f t="shared" si="8"/>
        <v>23000</v>
      </c>
      <c r="M25" s="62">
        <f t="shared" si="8"/>
        <v>43895.02</v>
      </c>
      <c r="N25" s="62">
        <f t="shared" si="8"/>
        <v>190209.13</v>
      </c>
      <c r="O25" s="11">
        <f t="shared" si="2"/>
        <v>5921604.44</v>
      </c>
      <c r="P25" s="12">
        <f t="shared" si="0"/>
        <v>6379410.04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5100490</v>
      </c>
      <c r="D26" s="66">
        <f aca="true" t="shared" si="9" ref="D26:N26">ROUND(D11+D15+D20+D25,2)</f>
        <v>988000</v>
      </c>
      <c r="E26" s="66">
        <f t="shared" si="9"/>
        <v>17859510</v>
      </c>
      <c r="F26" s="66">
        <f t="shared" si="9"/>
        <v>1589580</v>
      </c>
      <c r="G26" s="66">
        <f t="shared" si="9"/>
        <v>96360</v>
      </c>
      <c r="H26" s="66">
        <f t="shared" si="9"/>
        <v>1685940</v>
      </c>
      <c r="I26" s="66">
        <f t="shared" si="9"/>
        <v>199280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23000</v>
      </c>
      <c r="M26" s="66">
        <f t="shared" si="9"/>
        <v>87790</v>
      </c>
      <c r="N26" s="66">
        <f t="shared" si="9"/>
        <v>724440</v>
      </c>
      <c r="O26" s="67">
        <f t="shared" si="2"/>
        <v>25078450</v>
      </c>
      <c r="P26" s="68">
        <f t="shared" si="0"/>
        <v>26764390</v>
      </c>
    </row>
    <row r="27" spans="1:17" s="19" customFormat="1" ht="25.5">
      <c r="A27" s="69" t="s">
        <v>135</v>
      </c>
      <c r="B27" s="27" t="s">
        <v>50</v>
      </c>
      <c r="C27" s="17">
        <f>ROUND(C8+C9+C10+C12+C13+C14+C17+C18+C19+C22,2)</f>
        <v>4313131.99</v>
      </c>
      <c r="D27" s="17">
        <f aca="true" t="shared" si="10" ref="D27:N27">ROUND(D8+D9+D10+D12+D13+D14+D17+D18+D19+D22,2)</f>
        <v>751284.23</v>
      </c>
      <c r="E27" s="17">
        <f t="shared" si="10"/>
        <v>15709902.94</v>
      </c>
      <c r="F27" s="17">
        <f t="shared" si="10"/>
        <v>1301010.4</v>
      </c>
      <c r="G27" s="17">
        <f t="shared" si="10"/>
        <v>80340</v>
      </c>
      <c r="H27" s="18">
        <f t="shared" si="1"/>
        <v>1381350.4</v>
      </c>
      <c r="I27" s="17">
        <f t="shared" si="10"/>
        <v>170316.4</v>
      </c>
      <c r="J27" s="17">
        <f t="shared" si="10"/>
        <v>17546.87</v>
      </c>
      <c r="K27" s="17">
        <f t="shared" si="10"/>
        <v>35044.89</v>
      </c>
      <c r="L27" s="17">
        <f t="shared" si="10"/>
        <v>0</v>
      </c>
      <c r="M27" s="17">
        <f t="shared" si="10"/>
        <v>58526.64</v>
      </c>
      <c r="N27" s="17">
        <f t="shared" si="10"/>
        <v>599619.6</v>
      </c>
      <c r="O27" s="11">
        <f t="shared" si="2"/>
        <v>21655373.56</v>
      </c>
      <c r="P27" s="12">
        <f t="shared" si="0"/>
        <v>23036723.96</v>
      </c>
      <c r="Q27" s="23"/>
    </row>
    <row r="28" spans="1:17" s="25" customFormat="1" ht="25.5">
      <c r="A28" s="14" t="s">
        <v>75</v>
      </c>
      <c r="B28" s="24" t="s">
        <v>136</v>
      </c>
      <c r="C28" s="17">
        <f>ROUND(C26-C27,2)</f>
        <v>787358.01</v>
      </c>
      <c r="D28" s="17">
        <f>ROUND(D26-D27,2)</f>
        <v>236715.77</v>
      </c>
      <c r="E28" s="17">
        <f>ROUND(E26-E27,2)</f>
        <v>2149607.06</v>
      </c>
      <c r="F28" s="17">
        <f>ROUND(F26-F27,2)</f>
        <v>288569.6</v>
      </c>
      <c r="G28" s="17">
        <f>ROUND(G26-G27,2)</f>
        <v>16020</v>
      </c>
      <c r="H28" s="18">
        <f t="shared" si="1"/>
        <v>304589.6</v>
      </c>
      <c r="I28" s="17">
        <f aca="true" t="shared" si="11" ref="I28:N28">ROUND(I26-I27,2)</f>
        <v>28963.6</v>
      </c>
      <c r="J28" s="17">
        <f t="shared" si="11"/>
        <v>18453.13</v>
      </c>
      <c r="K28" s="17">
        <f t="shared" si="11"/>
        <v>24895.11</v>
      </c>
      <c r="L28" s="17">
        <f t="shared" si="11"/>
        <v>23000</v>
      </c>
      <c r="M28" s="17">
        <f t="shared" si="11"/>
        <v>29263.36</v>
      </c>
      <c r="N28" s="17">
        <f t="shared" si="11"/>
        <v>124820.4</v>
      </c>
      <c r="O28" s="11">
        <f t="shared" si="2"/>
        <v>3423076.44</v>
      </c>
      <c r="P28" s="12">
        <f t="shared" si="0"/>
        <v>3727666.04</v>
      </c>
      <c r="Q28" s="23"/>
    </row>
    <row r="29" spans="1:17" s="25" customFormat="1" ht="26.25" customHeight="1">
      <c r="A29" s="70">
        <v>23</v>
      </c>
      <c r="B29" s="71" t="s">
        <v>137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20" customFormat="1" ht="26.25" customHeight="1">
      <c r="A30" s="85" t="s">
        <v>86</v>
      </c>
      <c r="B30" s="86" t="s">
        <v>132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1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2"/>
        <v>0</v>
      </c>
      <c r="P30" s="12">
        <f t="shared" si="0"/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1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2"/>
        <v>1880897.94</v>
      </c>
      <c r="P31" s="12">
        <f t="shared" si="0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ROUND((C27+C29)/10,2)</f>
        <v>431313.2</v>
      </c>
      <c r="D32" s="17">
        <f aca="true" t="shared" si="13" ref="D32:N32">ROUND((D27+D29)/10,2)</f>
        <v>75128.42</v>
      </c>
      <c r="E32" s="17">
        <f t="shared" si="13"/>
        <v>1570990.29</v>
      </c>
      <c r="F32" s="17">
        <f t="shared" si="13"/>
        <v>130101.04</v>
      </c>
      <c r="G32" s="17">
        <f t="shared" si="13"/>
        <v>8034</v>
      </c>
      <c r="H32" s="26">
        <f t="shared" si="1"/>
        <v>138135.04</v>
      </c>
      <c r="I32" s="17">
        <f t="shared" si="13"/>
        <v>17031.64</v>
      </c>
      <c r="J32" s="17">
        <f>ROUND((J27+J29)/4,2)</f>
        <v>4386.72</v>
      </c>
      <c r="K32" s="17">
        <f t="shared" si="13"/>
        <v>3504.49</v>
      </c>
      <c r="L32" s="17">
        <f t="shared" si="13"/>
        <v>0</v>
      </c>
      <c r="M32" s="17">
        <f t="shared" si="13"/>
        <v>5852.66</v>
      </c>
      <c r="N32" s="17">
        <f t="shared" si="13"/>
        <v>59961.96</v>
      </c>
      <c r="O32" s="11">
        <f t="shared" si="2"/>
        <v>2168169.38</v>
      </c>
      <c r="P32" s="12">
        <f t="shared" si="0"/>
        <v>2306304.42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75268.4</v>
      </c>
      <c r="D33" s="60">
        <f t="shared" si="14"/>
        <v>-86458.96</v>
      </c>
      <c r="E33" s="60">
        <f t="shared" si="14"/>
        <v>992373.48</v>
      </c>
      <c r="F33" s="60">
        <f t="shared" si="14"/>
        <v>-28367.52</v>
      </c>
      <c r="G33" s="60">
        <f t="shared" si="14"/>
        <v>48</v>
      </c>
      <c r="H33" s="76">
        <f t="shared" si="14"/>
        <v>-28319.52</v>
      </c>
      <c r="I33" s="60">
        <f t="shared" si="14"/>
        <v>5099.68</v>
      </c>
      <c r="J33" s="60">
        <f t="shared" si="14"/>
        <v>16640.64</v>
      </c>
      <c r="K33" s="60">
        <f t="shared" si="14"/>
        <v>-17886.12</v>
      </c>
      <c r="L33" s="60">
        <f t="shared" si="14"/>
        <v>-23000</v>
      </c>
      <c r="M33" s="60">
        <f>ROUND(M32*12-M7,2)</f>
        <v>-17558.08</v>
      </c>
      <c r="N33" s="60">
        <f>ROUND(N32*12-N7,2)</f>
        <v>-4896.48</v>
      </c>
      <c r="O33" s="11">
        <f t="shared" si="2"/>
        <v>939582.56</v>
      </c>
      <c r="P33" s="12">
        <f t="shared" si="0"/>
        <v>911263.04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5175758.4</v>
      </c>
      <c r="D34" s="80">
        <f t="shared" si="15"/>
        <v>901541.04</v>
      </c>
      <c r="E34" s="80">
        <f t="shared" si="15"/>
        <v>18851883.48</v>
      </c>
      <c r="F34" s="80">
        <f t="shared" si="15"/>
        <v>1561212.48</v>
      </c>
      <c r="G34" s="80">
        <f t="shared" si="15"/>
        <v>96408</v>
      </c>
      <c r="H34" s="81">
        <f t="shared" si="15"/>
        <v>1657620.48</v>
      </c>
      <c r="I34" s="80">
        <f t="shared" si="15"/>
        <v>204379.68</v>
      </c>
      <c r="J34" s="80">
        <f t="shared" si="15"/>
        <v>52640.64</v>
      </c>
      <c r="K34" s="80">
        <f t="shared" si="15"/>
        <v>42053.88</v>
      </c>
      <c r="L34" s="80">
        <f t="shared" si="15"/>
        <v>0</v>
      </c>
      <c r="M34" s="80">
        <f t="shared" si="15"/>
        <v>70231.92</v>
      </c>
      <c r="N34" s="80">
        <f t="shared" si="15"/>
        <v>719543.52</v>
      </c>
      <c r="O34" s="90">
        <f t="shared" si="2"/>
        <v>26018032.56</v>
      </c>
      <c r="P34" s="82">
        <f t="shared" si="15"/>
        <v>27675653.04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23">
      <selection activeCell="B37" sqref="B37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9" width="11.7109375" style="1" customWidth="1"/>
    <col min="10" max="10" width="13.57421875" style="1" customWidth="1"/>
    <col min="11" max="11" width="11.57421875" style="1" customWidth="1"/>
    <col min="12" max="12" width="11.7109375" style="1" customWidth="1"/>
    <col min="13" max="13" width="11.8515625" style="1" customWidth="1"/>
    <col min="14" max="14" width="14.57421875" style="1" customWidth="1"/>
    <col min="15" max="15" width="13.8515625" style="1" customWidth="1"/>
    <col min="16" max="16" width="15.28125" style="1" customWidth="1"/>
    <col min="17" max="17" width="10.8515625" style="1" bestFit="1" customWidth="1"/>
    <col min="18" max="16384" width="9.140625" style="1" customWidth="1"/>
  </cols>
  <sheetData>
    <row r="1" spans="1:15" ht="15.75">
      <c r="A1" s="44" t="s">
        <v>0</v>
      </c>
      <c r="C1" s="2"/>
      <c r="D1" s="2"/>
      <c r="M1" s="3"/>
      <c r="N1" s="3"/>
      <c r="O1" s="3" t="s">
        <v>8</v>
      </c>
    </row>
    <row r="2" spans="1:16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4"/>
    </row>
    <row r="3" spans="1:16" s="6" customFormat="1" ht="38.25" customHeight="1">
      <c r="A3" s="104" t="s">
        <v>60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5"/>
    </row>
    <row r="4" ht="14.25" customHeight="1" thickBot="1"/>
    <row r="5" spans="1:15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45" t="s">
        <v>23</v>
      </c>
      <c r="L5" s="8" t="s">
        <v>24</v>
      </c>
      <c r="M5" s="8" t="s">
        <v>25</v>
      </c>
      <c r="N5" s="8" t="s">
        <v>26</v>
      </c>
      <c r="O5" s="9" t="s">
        <v>27</v>
      </c>
    </row>
    <row r="6" spans="1:15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 t="s">
        <v>28</v>
      </c>
      <c r="O6" s="48" t="s">
        <v>29</v>
      </c>
    </row>
    <row r="7" spans="1:15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</f>
        <v>1490000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f>16340+35940</f>
        <v>52280</v>
      </c>
      <c r="K7" s="11">
        <f>26070+26070-52140</f>
        <v>0</v>
      </c>
      <c r="L7" s="11">
        <v>43920</v>
      </c>
      <c r="M7" s="11">
        <f>176150+343500</f>
        <v>519650</v>
      </c>
      <c r="N7" s="11">
        <f>ROUND(C7+D7+E7+I7+J7+M7+K7+L7,2)</f>
        <v>16761930</v>
      </c>
      <c r="O7" s="12">
        <f>ROUND(H7+N7,2)</f>
        <v>18345380</v>
      </c>
    </row>
    <row r="8" spans="1:15" s="19" customFormat="1" ht="12.75">
      <c r="A8" s="14">
        <v>2</v>
      </c>
      <c r="B8" s="15" t="s">
        <v>61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f>6000-112.47</f>
        <v>5887.53</v>
      </c>
      <c r="K8" s="17">
        <v>0</v>
      </c>
      <c r="L8" s="17">
        <v>0</v>
      </c>
      <c r="M8" s="17">
        <f>60000+10581.67</f>
        <v>70581.67</v>
      </c>
      <c r="N8" s="11">
        <f aca="true" t="shared" si="1" ref="N8:N33">ROUND(C8+D8+E8+I8+J8+M8+K8+L8,2)</f>
        <v>2063819.26</v>
      </c>
      <c r="O8" s="12">
        <f aca="true" t="shared" si="2" ref="O8:O33">ROUND(H8+N8,2)</f>
        <v>2203307.26</v>
      </c>
    </row>
    <row r="9" spans="1:15" s="19" customFormat="1" ht="12.75">
      <c r="A9" s="14">
        <v>3</v>
      </c>
      <c r="B9" s="15" t="s">
        <v>32</v>
      </c>
      <c r="C9" s="16">
        <f>510000+80644.67</f>
        <v>590644.67</v>
      </c>
      <c r="D9" s="16">
        <f>100000+47300.55-80000</f>
        <v>67300.54999999999</v>
      </c>
      <c r="E9" s="16">
        <f>1300000-191092.66</f>
        <v>1108907.34</v>
      </c>
      <c r="F9" s="16">
        <f>125000-7228</f>
        <v>117772</v>
      </c>
      <c r="G9" s="16">
        <f>8000+740</f>
        <v>8740</v>
      </c>
      <c r="H9" s="18">
        <f t="shared" si="0"/>
        <v>126512</v>
      </c>
      <c r="I9" s="16">
        <f>18000+3797.38</f>
        <v>21797.38</v>
      </c>
      <c r="J9" s="16">
        <f>6000+112.47</f>
        <v>6112.47</v>
      </c>
      <c r="K9" s="16">
        <v>0</v>
      </c>
      <c r="L9" s="16">
        <v>21960</v>
      </c>
      <c r="M9" s="16">
        <f>60000-10581.67</f>
        <v>49418.33</v>
      </c>
      <c r="N9" s="11">
        <f t="shared" si="1"/>
        <v>1866140.74</v>
      </c>
      <c r="O9" s="12">
        <f t="shared" si="2"/>
        <v>1992652.74</v>
      </c>
    </row>
    <row r="10" spans="1:15" s="19" customFormat="1" ht="33" customHeight="1">
      <c r="A10" s="52">
        <v>4</v>
      </c>
      <c r="B10" s="15" t="s">
        <v>33</v>
      </c>
      <c r="C10" s="16">
        <v>510000</v>
      </c>
      <c r="D10" s="16">
        <v>100000</v>
      </c>
      <c r="E10" s="17">
        <v>1175060</v>
      </c>
      <c r="F10" s="17">
        <v>123810</v>
      </c>
      <c r="G10" s="17">
        <v>6060</v>
      </c>
      <c r="H10" s="18">
        <f t="shared" si="0"/>
        <v>129870</v>
      </c>
      <c r="I10" s="17">
        <v>16900</v>
      </c>
      <c r="J10" s="17">
        <v>4340</v>
      </c>
      <c r="K10" s="17">
        <v>0</v>
      </c>
      <c r="L10" s="17">
        <v>21960</v>
      </c>
      <c r="M10" s="17">
        <v>56150</v>
      </c>
      <c r="N10" s="11">
        <f t="shared" si="1"/>
        <v>1884410</v>
      </c>
      <c r="O10" s="12">
        <f t="shared" si="2"/>
        <v>2014280</v>
      </c>
    </row>
    <row r="11" spans="1:15" s="20" customFormat="1" ht="25.5">
      <c r="A11" s="53" t="s">
        <v>4</v>
      </c>
      <c r="B11" s="54" t="s">
        <v>34</v>
      </c>
      <c r="C11" s="18">
        <f>SUM(C8:C10)</f>
        <v>1530000</v>
      </c>
      <c r="D11" s="18">
        <f aca="true" t="shared" si="3" ref="D11:M11">SUM(D8:D10)</f>
        <v>220000</v>
      </c>
      <c r="E11" s="18">
        <f t="shared" si="3"/>
        <v>3775060</v>
      </c>
      <c r="F11" s="18">
        <f t="shared" si="3"/>
        <v>373810</v>
      </c>
      <c r="G11" s="18">
        <f t="shared" si="3"/>
        <v>22060</v>
      </c>
      <c r="H11" s="18">
        <f t="shared" si="3"/>
        <v>395870</v>
      </c>
      <c r="I11" s="18">
        <f t="shared" si="3"/>
        <v>52900</v>
      </c>
      <c r="J11" s="18">
        <f t="shared" si="3"/>
        <v>16340</v>
      </c>
      <c r="K11" s="18">
        <f t="shared" si="3"/>
        <v>0</v>
      </c>
      <c r="L11" s="18">
        <f t="shared" si="3"/>
        <v>43920</v>
      </c>
      <c r="M11" s="18">
        <f t="shared" si="3"/>
        <v>176150</v>
      </c>
      <c r="N11" s="11">
        <f t="shared" si="1"/>
        <v>5814370</v>
      </c>
      <c r="O11" s="12">
        <f t="shared" si="2"/>
        <v>6210240</v>
      </c>
    </row>
    <row r="12" spans="1:15" s="19" customFormat="1" ht="12.75">
      <c r="A12" s="14">
        <v>6</v>
      </c>
      <c r="B12" s="55" t="s">
        <v>35</v>
      </c>
      <c r="C12" s="16"/>
      <c r="D12" s="16"/>
      <c r="E12" s="17"/>
      <c r="F12" s="17"/>
      <c r="G12" s="17"/>
      <c r="H12" s="18">
        <f t="shared" si="0"/>
        <v>0</v>
      </c>
      <c r="I12" s="17"/>
      <c r="J12" s="17"/>
      <c r="K12" s="17"/>
      <c r="L12" s="17"/>
      <c r="M12" s="17"/>
      <c r="N12" s="11">
        <f t="shared" si="1"/>
        <v>0</v>
      </c>
      <c r="O12" s="12">
        <f t="shared" si="2"/>
        <v>0</v>
      </c>
    </row>
    <row r="13" spans="1:15" s="19" customFormat="1" ht="12.75">
      <c r="A13" s="14">
        <v>7</v>
      </c>
      <c r="B13" s="15" t="s">
        <v>36</v>
      </c>
      <c r="C13" s="16"/>
      <c r="D13" s="16"/>
      <c r="E13" s="17"/>
      <c r="F13" s="17"/>
      <c r="G13" s="17"/>
      <c r="H13" s="18">
        <f t="shared" si="0"/>
        <v>0</v>
      </c>
      <c r="I13" s="17"/>
      <c r="J13" s="17"/>
      <c r="K13" s="17"/>
      <c r="L13" s="17"/>
      <c r="M13" s="17"/>
      <c r="N13" s="11">
        <f t="shared" si="1"/>
        <v>0</v>
      </c>
      <c r="O13" s="12">
        <f t="shared" si="2"/>
        <v>0</v>
      </c>
    </row>
    <row r="14" spans="1:15" s="13" customFormat="1" ht="12.75">
      <c r="A14" s="14">
        <v>8</v>
      </c>
      <c r="B14" s="56" t="s">
        <v>37</v>
      </c>
      <c r="C14" s="16"/>
      <c r="D14" s="16"/>
      <c r="E14" s="17"/>
      <c r="F14" s="17"/>
      <c r="G14" s="17"/>
      <c r="H14" s="18">
        <f t="shared" si="0"/>
        <v>0</v>
      </c>
      <c r="I14" s="17"/>
      <c r="J14" s="17"/>
      <c r="K14" s="17"/>
      <c r="L14" s="17"/>
      <c r="M14" s="17"/>
      <c r="N14" s="11">
        <f t="shared" si="1"/>
        <v>0</v>
      </c>
      <c r="O14" s="12">
        <f t="shared" si="2"/>
        <v>0</v>
      </c>
    </row>
    <row r="15" spans="1:15" s="19" customFormat="1" ht="25.5">
      <c r="A15" s="57" t="s">
        <v>5</v>
      </c>
      <c r="B15" s="54" t="s">
        <v>38</v>
      </c>
      <c r="C15" s="18">
        <f aca="true" t="shared" si="4" ref="C15:M15">SUM(C12:C14)</f>
        <v>0</v>
      </c>
      <c r="D15" s="18">
        <f t="shared" si="4"/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1">
        <f t="shared" si="1"/>
        <v>0</v>
      </c>
      <c r="O15" s="12">
        <f t="shared" si="2"/>
        <v>0</v>
      </c>
    </row>
    <row r="16" spans="1:15" s="20" customFormat="1" ht="12.75">
      <c r="A16" s="53" t="s">
        <v>6</v>
      </c>
      <c r="B16" s="58" t="s">
        <v>39</v>
      </c>
      <c r="C16" s="18">
        <f aca="true" t="shared" si="5" ref="C16:M16">C11+C15</f>
        <v>1530000</v>
      </c>
      <c r="D16" s="18">
        <f t="shared" si="5"/>
        <v>220000</v>
      </c>
      <c r="E16" s="18">
        <f t="shared" si="5"/>
        <v>3775060</v>
      </c>
      <c r="F16" s="18">
        <f t="shared" si="5"/>
        <v>373810</v>
      </c>
      <c r="G16" s="18">
        <f t="shared" si="5"/>
        <v>22060</v>
      </c>
      <c r="H16" s="18">
        <f t="shared" si="5"/>
        <v>395870</v>
      </c>
      <c r="I16" s="18">
        <f t="shared" si="5"/>
        <v>52900</v>
      </c>
      <c r="J16" s="18">
        <f t="shared" si="5"/>
        <v>16340</v>
      </c>
      <c r="K16" s="18">
        <f t="shared" si="5"/>
        <v>0</v>
      </c>
      <c r="L16" s="18">
        <f t="shared" si="5"/>
        <v>43920</v>
      </c>
      <c r="M16" s="18">
        <f t="shared" si="5"/>
        <v>176150</v>
      </c>
      <c r="N16" s="11">
        <f t="shared" si="1"/>
        <v>5814370</v>
      </c>
      <c r="O16" s="12">
        <f t="shared" si="2"/>
        <v>6210240</v>
      </c>
    </row>
    <row r="17" spans="1:15" s="13" customFormat="1" ht="12.75">
      <c r="A17" s="14">
        <v>11</v>
      </c>
      <c r="B17" s="15" t="s">
        <v>40</v>
      </c>
      <c r="C17" s="16"/>
      <c r="D17" s="16"/>
      <c r="E17" s="59"/>
      <c r="F17" s="17"/>
      <c r="G17" s="17"/>
      <c r="H17" s="18">
        <f t="shared" si="0"/>
        <v>0</v>
      </c>
      <c r="I17" s="60"/>
      <c r="J17" s="17"/>
      <c r="K17" s="17"/>
      <c r="L17" s="17"/>
      <c r="M17" s="17"/>
      <c r="N17" s="11">
        <f t="shared" si="1"/>
        <v>0</v>
      </c>
      <c r="O17" s="12">
        <f t="shared" si="2"/>
        <v>0</v>
      </c>
    </row>
    <row r="18" spans="1:15" s="19" customFormat="1" ht="12.75">
      <c r="A18" s="14">
        <v>12</v>
      </c>
      <c r="B18" s="15" t="s">
        <v>41</v>
      </c>
      <c r="C18" s="16"/>
      <c r="D18" s="38"/>
      <c r="E18" s="39"/>
      <c r="F18" s="39"/>
      <c r="G18" s="39"/>
      <c r="H18" s="18">
        <f t="shared" si="0"/>
        <v>0</v>
      </c>
      <c r="I18" s="17"/>
      <c r="J18" s="17"/>
      <c r="K18" s="17"/>
      <c r="L18" s="17"/>
      <c r="M18" s="39"/>
      <c r="N18" s="11">
        <f t="shared" si="1"/>
        <v>0</v>
      </c>
      <c r="O18" s="12">
        <f t="shared" si="2"/>
        <v>0</v>
      </c>
    </row>
    <row r="19" spans="1:15" s="21" customFormat="1" ht="12.75">
      <c r="A19" s="14">
        <v>13</v>
      </c>
      <c r="B19" s="43" t="s">
        <v>42</v>
      </c>
      <c r="C19" s="16"/>
      <c r="D19" s="38"/>
      <c r="E19" s="61"/>
      <c r="F19" s="39"/>
      <c r="G19" s="38"/>
      <c r="H19" s="18">
        <f t="shared" si="0"/>
        <v>0</v>
      </c>
      <c r="I19" s="40"/>
      <c r="J19" s="17"/>
      <c r="K19" s="17"/>
      <c r="L19" s="17"/>
      <c r="M19" s="39"/>
      <c r="N19" s="11">
        <f t="shared" si="1"/>
        <v>0</v>
      </c>
      <c r="O19" s="12">
        <f t="shared" si="2"/>
        <v>0</v>
      </c>
    </row>
    <row r="20" spans="1:15" s="22" customFormat="1" ht="25.5">
      <c r="A20" s="53" t="s">
        <v>9</v>
      </c>
      <c r="B20" s="58" t="s">
        <v>43</v>
      </c>
      <c r="C20" s="62">
        <f>ROUND(C17+C18+C19,2)</f>
        <v>0</v>
      </c>
      <c r="D20" s="62">
        <f aca="true" t="shared" si="6" ref="D20:M20">ROUND(D17+D18+D19,2)</f>
        <v>0</v>
      </c>
      <c r="E20" s="62">
        <f t="shared" si="6"/>
        <v>0</v>
      </c>
      <c r="F20" s="62">
        <f t="shared" si="6"/>
        <v>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6"/>
        <v>0</v>
      </c>
      <c r="K20" s="62">
        <f t="shared" si="6"/>
        <v>0</v>
      </c>
      <c r="L20" s="62">
        <f t="shared" si="6"/>
        <v>0</v>
      </c>
      <c r="M20" s="62">
        <f t="shared" si="6"/>
        <v>0</v>
      </c>
      <c r="N20" s="11">
        <f t="shared" si="1"/>
        <v>0</v>
      </c>
      <c r="O20" s="12">
        <f t="shared" si="2"/>
        <v>0</v>
      </c>
    </row>
    <row r="21" spans="1:15" s="22" customFormat="1" ht="25.5">
      <c r="A21" s="53" t="s">
        <v>10</v>
      </c>
      <c r="B21" s="58" t="s">
        <v>44</v>
      </c>
      <c r="C21" s="62">
        <f>ROUND(C16+C20,2)</f>
        <v>1530000</v>
      </c>
      <c r="D21" s="62">
        <f aca="true" t="shared" si="7" ref="D21:M21">ROUND(D16+D20,2)</f>
        <v>220000</v>
      </c>
      <c r="E21" s="62">
        <f t="shared" si="7"/>
        <v>3775060</v>
      </c>
      <c r="F21" s="62">
        <f t="shared" si="7"/>
        <v>373810</v>
      </c>
      <c r="G21" s="62">
        <f t="shared" si="7"/>
        <v>22060</v>
      </c>
      <c r="H21" s="62">
        <f t="shared" si="7"/>
        <v>395870</v>
      </c>
      <c r="I21" s="62">
        <f t="shared" si="7"/>
        <v>52900</v>
      </c>
      <c r="J21" s="62">
        <f t="shared" si="7"/>
        <v>16340</v>
      </c>
      <c r="K21" s="62">
        <f t="shared" si="7"/>
        <v>0</v>
      </c>
      <c r="L21" s="62">
        <f t="shared" si="7"/>
        <v>43920</v>
      </c>
      <c r="M21" s="62">
        <f t="shared" si="7"/>
        <v>176150</v>
      </c>
      <c r="N21" s="11">
        <f t="shared" si="1"/>
        <v>5814370</v>
      </c>
      <c r="O21" s="12">
        <f t="shared" si="2"/>
        <v>6210240</v>
      </c>
    </row>
    <row r="22" spans="1:15" s="21" customFormat="1" ht="12.75">
      <c r="A22" s="14">
        <v>16</v>
      </c>
      <c r="B22" s="63" t="s">
        <v>45</v>
      </c>
      <c r="C22" s="16"/>
      <c r="D22" s="38"/>
      <c r="E22" s="41"/>
      <c r="F22" s="39"/>
      <c r="G22" s="38"/>
      <c r="H22" s="18">
        <f t="shared" si="0"/>
        <v>0</v>
      </c>
      <c r="I22" s="40"/>
      <c r="J22" s="39"/>
      <c r="K22" s="39"/>
      <c r="L22" s="39"/>
      <c r="M22" s="39"/>
      <c r="N22" s="11">
        <f t="shared" si="1"/>
        <v>0</v>
      </c>
      <c r="O22" s="12">
        <f t="shared" si="2"/>
        <v>0</v>
      </c>
    </row>
    <row r="23" spans="1:15" s="21" customFormat="1" ht="12.75">
      <c r="A23" s="14">
        <v>17</v>
      </c>
      <c r="B23" s="43" t="s">
        <v>46</v>
      </c>
      <c r="C23" s="61"/>
      <c r="D23" s="40"/>
      <c r="E23" s="40"/>
      <c r="F23" s="41"/>
      <c r="G23" s="38"/>
      <c r="H23" s="18">
        <f t="shared" si="0"/>
        <v>0</v>
      </c>
      <c r="I23" s="40"/>
      <c r="J23" s="39"/>
      <c r="K23" s="39"/>
      <c r="L23" s="39"/>
      <c r="M23" s="39"/>
      <c r="N23" s="11">
        <f t="shared" si="1"/>
        <v>0</v>
      </c>
      <c r="O23" s="12">
        <f t="shared" si="2"/>
        <v>0</v>
      </c>
    </row>
    <row r="24" spans="1:15" s="21" customFormat="1" ht="12.75">
      <c r="A24" s="14">
        <v>18</v>
      </c>
      <c r="B24" s="43" t="s">
        <v>47</v>
      </c>
      <c r="C24" s="61"/>
      <c r="D24" s="40"/>
      <c r="E24" s="40"/>
      <c r="F24" s="41"/>
      <c r="G24" s="38"/>
      <c r="H24" s="18">
        <f t="shared" si="0"/>
        <v>0</v>
      </c>
      <c r="I24" s="40"/>
      <c r="J24" s="40"/>
      <c r="K24" s="40"/>
      <c r="L24" s="40"/>
      <c r="M24" s="61"/>
      <c r="N24" s="11">
        <f t="shared" si="1"/>
        <v>0</v>
      </c>
      <c r="O24" s="12">
        <f t="shared" si="2"/>
        <v>0</v>
      </c>
    </row>
    <row r="25" spans="1:15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M25">ROUND(D22+D23+D24,2)</f>
        <v>0</v>
      </c>
      <c r="E25" s="62">
        <f t="shared" si="8"/>
        <v>0</v>
      </c>
      <c r="F25" s="62">
        <f t="shared" si="8"/>
        <v>0</v>
      </c>
      <c r="G25" s="62">
        <f t="shared" si="8"/>
        <v>0</v>
      </c>
      <c r="H25" s="62">
        <f t="shared" si="8"/>
        <v>0</v>
      </c>
      <c r="I25" s="62">
        <f t="shared" si="8"/>
        <v>0</v>
      </c>
      <c r="J25" s="62">
        <f t="shared" si="8"/>
        <v>0</v>
      </c>
      <c r="K25" s="62">
        <f t="shared" si="8"/>
        <v>0</v>
      </c>
      <c r="L25" s="62">
        <f t="shared" si="8"/>
        <v>0</v>
      </c>
      <c r="M25" s="62">
        <f t="shared" si="8"/>
        <v>0</v>
      </c>
      <c r="N25" s="11">
        <f t="shared" si="1"/>
        <v>0</v>
      </c>
      <c r="O25" s="12">
        <f t="shared" si="2"/>
        <v>0</v>
      </c>
    </row>
    <row r="26" spans="1:15" s="22" customFormat="1" ht="38.25">
      <c r="A26" s="64" t="s">
        <v>11</v>
      </c>
      <c r="B26" s="65" t="s">
        <v>49</v>
      </c>
      <c r="C26" s="66">
        <f>ROUND(C11+C15+C20+C25,2)</f>
        <v>1530000</v>
      </c>
      <c r="D26" s="66">
        <f aca="true" t="shared" si="9" ref="D26:M26">ROUND(D11+D15+D20+D25,2)</f>
        <v>220000</v>
      </c>
      <c r="E26" s="66">
        <f t="shared" si="9"/>
        <v>3775060</v>
      </c>
      <c r="F26" s="66">
        <f t="shared" si="9"/>
        <v>373810</v>
      </c>
      <c r="G26" s="66">
        <f t="shared" si="9"/>
        <v>22060</v>
      </c>
      <c r="H26" s="66">
        <f t="shared" si="9"/>
        <v>395870</v>
      </c>
      <c r="I26" s="66">
        <f t="shared" si="9"/>
        <v>52900</v>
      </c>
      <c r="J26" s="66">
        <f t="shared" si="9"/>
        <v>16340</v>
      </c>
      <c r="K26" s="66">
        <f t="shared" si="9"/>
        <v>0</v>
      </c>
      <c r="L26" s="66">
        <f t="shared" si="9"/>
        <v>43920</v>
      </c>
      <c r="M26" s="66">
        <f t="shared" si="9"/>
        <v>176150</v>
      </c>
      <c r="N26" s="67">
        <f t="shared" si="1"/>
        <v>5814370</v>
      </c>
      <c r="O26" s="68">
        <f t="shared" si="2"/>
        <v>6210240</v>
      </c>
    </row>
    <row r="27" spans="1:16" s="19" customFormat="1" ht="39.75" customHeight="1">
      <c r="A27" s="69" t="s">
        <v>62</v>
      </c>
      <c r="B27" s="27" t="s">
        <v>50</v>
      </c>
      <c r="C27" s="17">
        <f>ROUND(C8,2)</f>
        <v>429355.33</v>
      </c>
      <c r="D27" s="17">
        <f>ROUND(D8,2)</f>
        <v>52699.45</v>
      </c>
      <c r="E27" s="17">
        <f>ROUND(E8,2)</f>
        <v>1491092.66</v>
      </c>
      <c r="F27" s="17">
        <f>ROUND(F8,2)</f>
        <v>132228</v>
      </c>
      <c r="G27" s="17">
        <f>ROUND(G8,2)</f>
        <v>7260</v>
      </c>
      <c r="H27" s="18">
        <f t="shared" si="0"/>
        <v>139488</v>
      </c>
      <c r="I27" s="17">
        <f>ROUND(I8,2)</f>
        <v>14202.62</v>
      </c>
      <c r="J27" s="17">
        <f>ROUND(J8,2)</f>
        <v>5887.53</v>
      </c>
      <c r="K27" s="17">
        <f>ROUND(K8,2)</f>
        <v>0</v>
      </c>
      <c r="L27" s="17">
        <f>ROUND(L8,2)</f>
        <v>0</v>
      </c>
      <c r="M27" s="17">
        <f>ROUND(M8,2)</f>
        <v>70581.67</v>
      </c>
      <c r="N27" s="11">
        <f t="shared" si="1"/>
        <v>2063819.26</v>
      </c>
      <c r="O27" s="12">
        <f t="shared" si="2"/>
        <v>2203307.26</v>
      </c>
      <c r="P27" s="23"/>
    </row>
    <row r="28" spans="1:16" s="25" customFormat="1" ht="19.5" customHeight="1">
      <c r="A28" s="14" t="s">
        <v>12</v>
      </c>
      <c r="B28" s="24" t="s">
        <v>63</v>
      </c>
      <c r="C28" s="17">
        <f>ROUND(C26-C27,2)</f>
        <v>1100644.67</v>
      </c>
      <c r="D28" s="17">
        <f>ROUND(D26-D27,2)</f>
        <v>167300.55</v>
      </c>
      <c r="E28" s="17">
        <f>ROUND(E26-E27,2)</f>
        <v>2283967.34</v>
      </c>
      <c r="F28" s="17">
        <f>ROUND(F26-F27,2)</f>
        <v>241582</v>
      </c>
      <c r="G28" s="17">
        <f>ROUND(G26-G27,2)</f>
        <v>14800</v>
      </c>
      <c r="H28" s="18">
        <f t="shared" si="0"/>
        <v>256382</v>
      </c>
      <c r="I28" s="17">
        <f>ROUND(I26-I27,2)</f>
        <v>38697.38</v>
      </c>
      <c r="J28" s="17">
        <f>ROUND(J26-J27,2)</f>
        <v>10452.47</v>
      </c>
      <c r="K28" s="17">
        <f>ROUND(K26-K27,2)</f>
        <v>0</v>
      </c>
      <c r="L28" s="17">
        <f>ROUND(L26-L27,2)</f>
        <v>43920</v>
      </c>
      <c r="M28" s="17">
        <f>ROUND(M26-M27,2)</f>
        <v>105568.33</v>
      </c>
      <c r="N28" s="11">
        <f t="shared" si="1"/>
        <v>3750550.74</v>
      </c>
      <c r="O28" s="12">
        <f t="shared" si="2"/>
        <v>4006932.74</v>
      </c>
      <c r="P28" s="23"/>
    </row>
    <row r="29" spans="1:16" s="25" customFormat="1" ht="26.25" customHeight="1">
      <c r="A29" s="70">
        <v>23</v>
      </c>
      <c r="B29" s="71" t="s">
        <v>64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11">
        <f t="shared" si="1"/>
        <v>0</v>
      </c>
      <c r="O29" s="12">
        <f>ROUND(H29+N29,2)</f>
        <v>0</v>
      </c>
      <c r="P29" s="75"/>
    </row>
    <row r="30" spans="1:16" s="20" customFormat="1" ht="26.25" customHeight="1">
      <c r="A30" s="85" t="s">
        <v>65</v>
      </c>
      <c r="B30" s="86" t="s">
        <v>66</v>
      </c>
      <c r="C30" s="87">
        <f>ROUND(C7-C11,2)</f>
        <v>2952890</v>
      </c>
      <c r="D30" s="87">
        <f aca="true" t="shared" si="10" ref="D30:M30">ROUND(D7-D11,2)</f>
        <v>1270000</v>
      </c>
      <c r="E30" s="87">
        <f t="shared" si="10"/>
        <v>6228850</v>
      </c>
      <c r="F30" s="87">
        <f t="shared" si="10"/>
        <v>1121410</v>
      </c>
      <c r="G30" s="87">
        <f t="shared" si="10"/>
        <v>66170</v>
      </c>
      <c r="H30" s="18">
        <f t="shared" si="0"/>
        <v>1187580</v>
      </c>
      <c r="I30" s="87">
        <f t="shared" si="10"/>
        <v>116380</v>
      </c>
      <c r="J30" s="87">
        <f t="shared" si="10"/>
        <v>35940</v>
      </c>
      <c r="K30" s="87">
        <f t="shared" si="10"/>
        <v>0</v>
      </c>
      <c r="L30" s="87">
        <f t="shared" si="10"/>
        <v>0</v>
      </c>
      <c r="M30" s="87">
        <f t="shared" si="10"/>
        <v>343500</v>
      </c>
      <c r="N30" s="11">
        <f>ROUND(C30+D30+E30+I30+J30+M30+K30+L30,2)</f>
        <v>10947560</v>
      </c>
      <c r="O30" s="12">
        <f>ROUND(H30+N30,2)</f>
        <v>12135140</v>
      </c>
      <c r="P30" s="88"/>
    </row>
    <row r="31" spans="1:16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5099.02</v>
      </c>
      <c r="K31" s="17">
        <v>0</v>
      </c>
      <c r="L31" s="17">
        <v>0</v>
      </c>
      <c r="M31" s="17">
        <v>57342.3</v>
      </c>
      <c r="N31" s="11">
        <f t="shared" si="1"/>
        <v>1880897.94</v>
      </c>
      <c r="O31" s="12">
        <f t="shared" si="2"/>
        <v>2011842.14</v>
      </c>
      <c r="P31" s="23"/>
    </row>
    <row r="32" spans="1:16" s="13" customFormat="1" ht="38.25">
      <c r="A32" s="14" t="s">
        <v>68</v>
      </c>
      <c r="B32" s="27" t="s">
        <v>55</v>
      </c>
      <c r="C32" s="17">
        <f>ROUND((C27)/1,2)</f>
        <v>429355.33</v>
      </c>
      <c r="D32" s="17">
        <f aca="true" t="shared" si="11" ref="D32:M32">ROUND((D27)/1,2)</f>
        <v>52699.45</v>
      </c>
      <c r="E32" s="17">
        <f t="shared" si="11"/>
        <v>1491092.66</v>
      </c>
      <c r="F32" s="17">
        <f t="shared" si="11"/>
        <v>132228</v>
      </c>
      <c r="G32" s="17">
        <f t="shared" si="11"/>
        <v>7260</v>
      </c>
      <c r="H32" s="26">
        <f t="shared" si="0"/>
        <v>139488</v>
      </c>
      <c r="I32" s="17">
        <f t="shared" si="11"/>
        <v>14202.62</v>
      </c>
      <c r="J32" s="17">
        <f t="shared" si="11"/>
        <v>5887.53</v>
      </c>
      <c r="K32" s="17">
        <f t="shared" si="11"/>
        <v>0</v>
      </c>
      <c r="L32" s="17">
        <f t="shared" si="11"/>
        <v>0</v>
      </c>
      <c r="M32" s="17">
        <f t="shared" si="11"/>
        <v>70581.67</v>
      </c>
      <c r="N32" s="11">
        <f t="shared" si="1"/>
        <v>2063819.26</v>
      </c>
      <c r="O32" s="12">
        <f t="shared" si="2"/>
        <v>2203307.26</v>
      </c>
      <c r="P32" s="23"/>
    </row>
    <row r="33" spans="1:16" s="13" customFormat="1" ht="39" customHeight="1">
      <c r="A33" s="14" t="s">
        <v>69</v>
      </c>
      <c r="B33" s="27" t="s">
        <v>57</v>
      </c>
      <c r="C33" s="60">
        <f aca="true" t="shared" si="12" ref="C33:K33">ROUND(C32*12-C7,2)</f>
        <v>669373.96</v>
      </c>
      <c r="D33" s="60">
        <f t="shared" si="12"/>
        <v>-857606.6</v>
      </c>
      <c r="E33" s="60">
        <f t="shared" si="12"/>
        <v>7889201.92</v>
      </c>
      <c r="F33" s="60">
        <f t="shared" si="12"/>
        <v>91516</v>
      </c>
      <c r="G33" s="60">
        <f t="shared" si="12"/>
        <v>-1110</v>
      </c>
      <c r="H33" s="76">
        <f t="shared" si="12"/>
        <v>90406</v>
      </c>
      <c r="I33" s="60">
        <f t="shared" si="12"/>
        <v>1151.44</v>
      </c>
      <c r="J33" s="60">
        <f t="shared" si="12"/>
        <v>18370.36</v>
      </c>
      <c r="K33" s="60">
        <f t="shared" si="12"/>
        <v>0</v>
      </c>
      <c r="L33" s="60">
        <f>ROUND(L32*12-L7,2)</f>
        <v>-43920</v>
      </c>
      <c r="M33" s="60">
        <f>ROUND(M32*12-M7,2)</f>
        <v>327330.04</v>
      </c>
      <c r="N33" s="11">
        <f t="shared" si="1"/>
        <v>8003901.12</v>
      </c>
      <c r="O33" s="12">
        <f t="shared" si="2"/>
        <v>8094307.12</v>
      </c>
      <c r="P33" s="23"/>
    </row>
    <row r="34" spans="1:16" s="29" customFormat="1" ht="26.25" thickBot="1">
      <c r="A34" s="77" t="s">
        <v>70</v>
      </c>
      <c r="B34" s="78" t="s">
        <v>59</v>
      </c>
      <c r="C34" s="79">
        <f aca="true" t="shared" si="13" ref="C34:O34">ROUND(C7+C33,2)</f>
        <v>5152263.96</v>
      </c>
      <c r="D34" s="80">
        <f t="shared" si="13"/>
        <v>632393.4</v>
      </c>
      <c r="E34" s="80">
        <f t="shared" si="13"/>
        <v>17893111.92</v>
      </c>
      <c r="F34" s="80">
        <f t="shared" si="13"/>
        <v>1586736</v>
      </c>
      <c r="G34" s="80">
        <f t="shared" si="13"/>
        <v>87120</v>
      </c>
      <c r="H34" s="81">
        <f t="shared" si="13"/>
        <v>1673856</v>
      </c>
      <c r="I34" s="80">
        <f t="shared" si="13"/>
        <v>170431.44</v>
      </c>
      <c r="J34" s="80">
        <f t="shared" si="13"/>
        <v>70650.36</v>
      </c>
      <c r="K34" s="80">
        <f t="shared" si="13"/>
        <v>0</v>
      </c>
      <c r="L34" s="80">
        <f t="shared" si="13"/>
        <v>0</v>
      </c>
      <c r="M34" s="80">
        <f t="shared" si="13"/>
        <v>846980.04</v>
      </c>
      <c r="N34" s="81">
        <f t="shared" si="13"/>
        <v>24765831.12</v>
      </c>
      <c r="O34" s="82">
        <f t="shared" si="13"/>
        <v>26439687.12</v>
      </c>
      <c r="P34" s="28"/>
    </row>
    <row r="35" spans="1:16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28"/>
    </row>
    <row r="36" spans="3:12" ht="15.75">
      <c r="C36" s="84"/>
      <c r="D36" s="37"/>
      <c r="E36" s="19"/>
      <c r="G36" s="35"/>
      <c r="H36" s="35"/>
      <c r="I36" s="34"/>
      <c r="J36" s="42"/>
      <c r="K36" s="42"/>
      <c r="L36" s="42"/>
    </row>
    <row r="37" spans="3:12" ht="15.75">
      <c r="C37" s="84"/>
      <c r="D37" s="37"/>
      <c r="E37" s="19"/>
      <c r="J37" s="42"/>
      <c r="K37" s="42"/>
      <c r="L37" s="42"/>
    </row>
    <row r="38" spans="3:16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3:16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3:16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2">
    <mergeCell ref="A2:O2"/>
    <mergeCell ref="A3:O3"/>
  </mergeCells>
  <printOptions/>
  <pageMargins left="0.17" right="0.17" top="0.26" bottom="0.17" header="0.28" footer="0.16"/>
  <pageSetup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2">
      <selection activeCell="F39" sqref="F39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1530000+2952890+450000-100000+117600+150000+100000</f>
        <v>5200490</v>
      </c>
      <c r="D7" s="11">
        <f>300000-80000+1270000-30000-440000+68000-100000</f>
        <v>988000</v>
      </c>
      <c r="E7" s="11">
        <f>3775060+6228850+3938220+1530000+1531620+214430+641330+1500000</f>
        <v>19359510</v>
      </c>
      <c r="F7" s="11">
        <f>373810+1121410+44360+50000</f>
        <v>1589580</v>
      </c>
      <c r="G7" s="11">
        <f>22060+66170+8130</f>
        <v>96360</v>
      </c>
      <c r="H7" s="11">
        <f>ROUND(F7+G7,2)</f>
        <v>1685940</v>
      </c>
      <c r="I7" s="11">
        <f>52900+116380+15000+15000+15000</f>
        <v>214280</v>
      </c>
      <c r="J7" s="11">
        <f>11180+4820+16000+4000</f>
        <v>36000</v>
      </c>
      <c r="K7" s="11">
        <f>16340+35940+7660</f>
        <v>59940</v>
      </c>
      <c r="L7" s="11">
        <f>11500+11500</f>
        <v>23000</v>
      </c>
      <c r="M7" s="11">
        <f>43920+43920+38890-38940</f>
        <v>87790</v>
      </c>
      <c r="N7" s="11">
        <f>176150+343500+145430+54360+5000+10000</f>
        <v>734440</v>
      </c>
      <c r="O7" s="11">
        <f>ROUND(C7+D7+E7+I7+J7+K7+N7+L7+M7,2)</f>
        <v>26703450</v>
      </c>
      <c r="P7" s="12">
        <f aca="true" t="shared" si="0" ref="P7:P33">ROUND(H7+O7,2)</f>
        <v>28389390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4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134</v>
      </c>
      <c r="C22" s="16">
        <f>450000+24136.08</f>
        <v>474136.08</v>
      </c>
      <c r="D22" s="38">
        <f>90000+134268.47-156715.77</f>
        <v>67552.70000000001</v>
      </c>
      <c r="E22" s="41">
        <f>1530000+86265.15+237772.94</f>
        <v>1854038.0899999999</v>
      </c>
      <c r="F22" s="39">
        <f>146570-2954</f>
        <v>143616</v>
      </c>
      <c r="G22" s="38">
        <f>12150-8670+6520-400</f>
        <v>9600</v>
      </c>
      <c r="H22" s="18">
        <f t="shared" si="1"/>
        <v>153216</v>
      </c>
      <c r="I22" s="97">
        <f>11938.78+5000-3963.6</f>
        <v>12975.179999999998</v>
      </c>
      <c r="J22" s="40">
        <f>25735.45-18453.13</f>
        <v>7282.32</v>
      </c>
      <c r="K22" s="39">
        <f>9000-6476.76</f>
        <v>2523.24</v>
      </c>
      <c r="L22" s="16">
        <f>11500-11500</f>
        <v>0</v>
      </c>
      <c r="M22" s="16">
        <f>28390-23390+77835.02-38940-29263.36</f>
        <v>14631.660000000003</v>
      </c>
      <c r="N22" s="16">
        <f>54360+20000+5000-13971.27</f>
        <v>65388.729999999996</v>
      </c>
      <c r="O22" s="11">
        <f t="shared" si="2"/>
        <v>2498528</v>
      </c>
      <c r="P22" s="12">
        <f t="shared" si="0"/>
        <v>2651744</v>
      </c>
    </row>
    <row r="23" spans="1:16" s="21" customFormat="1" ht="12.75">
      <c r="A23" s="14">
        <v>17</v>
      </c>
      <c r="B23" s="43" t="s">
        <v>46</v>
      </c>
      <c r="C23" s="61">
        <f>643894.09-100000-24136.08</f>
        <v>519758.00999999995</v>
      </c>
      <c r="D23" s="97">
        <f>90000+156715.77-100000</f>
        <v>146715.77</v>
      </c>
      <c r="E23" s="97">
        <f>1531620-237772.94+214430+641330</f>
        <v>2149607.06</v>
      </c>
      <c r="F23" s="39">
        <f>146570+2954</f>
        <v>149524</v>
      </c>
      <c r="G23" s="38">
        <f>10000+400</f>
        <v>10400</v>
      </c>
      <c r="H23" s="18">
        <f t="shared" si="1"/>
        <v>159924</v>
      </c>
      <c r="I23" s="97">
        <f>10000+3963.6</f>
        <v>13963.6</v>
      </c>
      <c r="J23" s="40">
        <v>18453.13</v>
      </c>
      <c r="K23" s="39">
        <f>9000+6476.76</f>
        <v>15476.76</v>
      </c>
      <c r="L23" s="39">
        <v>11500</v>
      </c>
      <c r="M23" s="39">
        <v>29263.36</v>
      </c>
      <c r="N23" s="39">
        <f>70000+13971.27</f>
        <v>83971.27</v>
      </c>
      <c r="O23" s="11">
        <f t="shared" si="2"/>
        <v>2988708.96</v>
      </c>
      <c r="P23" s="12">
        <f t="shared" si="0"/>
        <v>3148632.96</v>
      </c>
    </row>
    <row r="24" spans="1:16" s="21" customFormat="1" ht="12.75">
      <c r="A24" s="14">
        <v>18</v>
      </c>
      <c r="B24" s="43" t="s">
        <v>47</v>
      </c>
      <c r="C24" s="102">
        <f>117600+150000+100000</f>
        <v>367600</v>
      </c>
      <c r="D24" s="40">
        <v>90000</v>
      </c>
      <c r="E24" s="102">
        <v>1500000</v>
      </c>
      <c r="F24" s="16">
        <f>146570-130090+72565.6+50000</f>
        <v>139045.6</v>
      </c>
      <c r="G24" s="38">
        <v>5620</v>
      </c>
      <c r="H24" s="18">
        <f t="shared" si="1"/>
        <v>144665.6</v>
      </c>
      <c r="I24" s="102">
        <f>15000+15000</f>
        <v>30000</v>
      </c>
      <c r="J24" s="40">
        <v>0</v>
      </c>
      <c r="K24" s="40">
        <v>9418.35</v>
      </c>
      <c r="L24" s="97">
        <v>11500</v>
      </c>
      <c r="M24" s="40">
        <v>0</v>
      </c>
      <c r="N24" s="102">
        <f>40849.13+10000</f>
        <v>50849.13</v>
      </c>
      <c r="O24" s="11">
        <f t="shared" si="2"/>
        <v>2059367.48</v>
      </c>
      <c r="P24" s="12">
        <f t="shared" si="0"/>
        <v>2204033.08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1361494.09</v>
      </c>
      <c r="D25" s="62">
        <f aca="true" t="shared" si="8" ref="D25:N25">ROUND(D22+D23+D24,2)</f>
        <v>304268.47</v>
      </c>
      <c r="E25" s="62">
        <f t="shared" si="8"/>
        <v>5503645.15</v>
      </c>
      <c r="F25" s="62">
        <f t="shared" si="8"/>
        <v>432185.6</v>
      </c>
      <c r="G25" s="62">
        <f t="shared" si="8"/>
        <v>25620</v>
      </c>
      <c r="H25" s="62">
        <f t="shared" si="8"/>
        <v>457805.6</v>
      </c>
      <c r="I25" s="62">
        <f t="shared" si="8"/>
        <v>56938.78</v>
      </c>
      <c r="J25" s="62">
        <f>ROUND(J22+J23+J24,2)</f>
        <v>25735.45</v>
      </c>
      <c r="K25" s="62">
        <f>ROUND(K22+K23+K24,2)</f>
        <v>27418.35</v>
      </c>
      <c r="L25" s="62">
        <f t="shared" si="8"/>
        <v>23000</v>
      </c>
      <c r="M25" s="62">
        <f t="shared" si="8"/>
        <v>43895.02</v>
      </c>
      <c r="N25" s="62">
        <f t="shared" si="8"/>
        <v>200209.13</v>
      </c>
      <c r="O25" s="11">
        <f t="shared" si="2"/>
        <v>7546604.44</v>
      </c>
      <c r="P25" s="12">
        <f t="shared" si="0"/>
        <v>8004410.04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5200490</v>
      </c>
      <c r="D26" s="66">
        <f aca="true" t="shared" si="9" ref="D26:N26">ROUND(D11+D15+D20+D25,2)</f>
        <v>988000</v>
      </c>
      <c r="E26" s="66">
        <f t="shared" si="9"/>
        <v>19359510</v>
      </c>
      <c r="F26" s="66">
        <f t="shared" si="9"/>
        <v>1589580</v>
      </c>
      <c r="G26" s="66">
        <f t="shared" si="9"/>
        <v>96360</v>
      </c>
      <c r="H26" s="66">
        <f t="shared" si="9"/>
        <v>1685940</v>
      </c>
      <c r="I26" s="66">
        <f t="shared" si="9"/>
        <v>214280</v>
      </c>
      <c r="J26" s="66">
        <f>ROUND(J11+J15+J20+J25,2)</f>
        <v>36000</v>
      </c>
      <c r="K26" s="66">
        <f>ROUND(K11+K15+K20+K25,2)</f>
        <v>59940</v>
      </c>
      <c r="L26" s="66">
        <f t="shared" si="9"/>
        <v>23000</v>
      </c>
      <c r="M26" s="66">
        <f t="shared" si="9"/>
        <v>87790</v>
      </c>
      <c r="N26" s="66">
        <f t="shared" si="9"/>
        <v>734440</v>
      </c>
      <c r="O26" s="67">
        <f t="shared" si="2"/>
        <v>26703450</v>
      </c>
      <c r="P26" s="68">
        <f t="shared" si="0"/>
        <v>28389390</v>
      </c>
    </row>
    <row r="27" spans="1:17" s="19" customFormat="1" ht="25.5">
      <c r="A27" s="69" t="s">
        <v>135</v>
      </c>
      <c r="B27" s="27" t="s">
        <v>50</v>
      </c>
      <c r="C27" s="17">
        <f>ROUND(C8+C9+C10+C12+C13+C14+C17+C18+C19+C22,2)</f>
        <v>4313131.99</v>
      </c>
      <c r="D27" s="17">
        <f aca="true" t="shared" si="10" ref="D27:N27">ROUND(D8+D9+D10+D12+D13+D14+D17+D18+D19+D22,2)</f>
        <v>751284.23</v>
      </c>
      <c r="E27" s="17">
        <f t="shared" si="10"/>
        <v>15709902.94</v>
      </c>
      <c r="F27" s="17">
        <f t="shared" si="10"/>
        <v>1301010.4</v>
      </c>
      <c r="G27" s="17">
        <f t="shared" si="10"/>
        <v>80340</v>
      </c>
      <c r="H27" s="18">
        <f t="shared" si="1"/>
        <v>1381350.4</v>
      </c>
      <c r="I27" s="17">
        <f t="shared" si="10"/>
        <v>170316.4</v>
      </c>
      <c r="J27" s="17">
        <f t="shared" si="10"/>
        <v>17546.87</v>
      </c>
      <c r="K27" s="17">
        <f t="shared" si="10"/>
        <v>35044.89</v>
      </c>
      <c r="L27" s="17">
        <f t="shared" si="10"/>
        <v>0</v>
      </c>
      <c r="M27" s="17">
        <f t="shared" si="10"/>
        <v>58526.64</v>
      </c>
      <c r="N27" s="17">
        <f t="shared" si="10"/>
        <v>599619.6</v>
      </c>
      <c r="O27" s="11">
        <f t="shared" si="2"/>
        <v>21655373.56</v>
      </c>
      <c r="P27" s="12">
        <f t="shared" si="0"/>
        <v>23036723.96</v>
      </c>
      <c r="Q27" s="23"/>
    </row>
    <row r="28" spans="1:17" s="25" customFormat="1" ht="25.5">
      <c r="A28" s="14" t="s">
        <v>75</v>
      </c>
      <c r="B28" s="24" t="s">
        <v>136</v>
      </c>
      <c r="C28" s="17">
        <f>ROUND(C26-C27,2)</f>
        <v>887358.01</v>
      </c>
      <c r="D28" s="17">
        <f>ROUND(D26-D27,2)</f>
        <v>236715.77</v>
      </c>
      <c r="E28" s="17">
        <f>ROUND(E26-E27,2)</f>
        <v>3649607.06</v>
      </c>
      <c r="F28" s="17">
        <f>ROUND(F26-F27,2)</f>
        <v>288569.6</v>
      </c>
      <c r="G28" s="17">
        <f>ROUND(G26-G27,2)</f>
        <v>16020</v>
      </c>
      <c r="H28" s="18">
        <f t="shared" si="1"/>
        <v>304589.6</v>
      </c>
      <c r="I28" s="17">
        <f aca="true" t="shared" si="11" ref="I28:N28">ROUND(I26-I27,2)</f>
        <v>43963.6</v>
      </c>
      <c r="J28" s="17">
        <f t="shared" si="11"/>
        <v>18453.13</v>
      </c>
      <c r="K28" s="17">
        <f t="shared" si="11"/>
        <v>24895.11</v>
      </c>
      <c r="L28" s="17">
        <f t="shared" si="11"/>
        <v>23000</v>
      </c>
      <c r="M28" s="17">
        <f t="shared" si="11"/>
        <v>29263.36</v>
      </c>
      <c r="N28" s="17">
        <f t="shared" si="11"/>
        <v>134820.4</v>
      </c>
      <c r="O28" s="11">
        <f t="shared" si="2"/>
        <v>5048076.44</v>
      </c>
      <c r="P28" s="12">
        <f t="shared" si="0"/>
        <v>5352666.04</v>
      </c>
      <c r="Q28" s="23"/>
    </row>
    <row r="29" spans="1:17" s="25" customFormat="1" ht="26.25" customHeight="1">
      <c r="A29" s="70">
        <v>23</v>
      </c>
      <c r="B29" s="71" t="s">
        <v>137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20" customFormat="1" ht="26.25" customHeight="1">
      <c r="A30" s="85" t="s">
        <v>86</v>
      </c>
      <c r="B30" s="86" t="s">
        <v>132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1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2"/>
        <v>0</v>
      </c>
      <c r="P30" s="12">
        <f t="shared" si="0"/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1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2"/>
        <v>1880897.94</v>
      </c>
      <c r="P31" s="12">
        <f t="shared" si="0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ROUND((C27+C29)/10,2)</f>
        <v>431313.2</v>
      </c>
      <c r="D32" s="17">
        <f aca="true" t="shared" si="13" ref="D32:N32">ROUND((D27+D29)/10,2)</f>
        <v>75128.42</v>
      </c>
      <c r="E32" s="17">
        <f t="shared" si="13"/>
        <v>1570990.29</v>
      </c>
      <c r="F32" s="17">
        <f t="shared" si="13"/>
        <v>130101.04</v>
      </c>
      <c r="G32" s="17">
        <f t="shared" si="13"/>
        <v>8034</v>
      </c>
      <c r="H32" s="26">
        <f t="shared" si="1"/>
        <v>138135.04</v>
      </c>
      <c r="I32" s="17">
        <f t="shared" si="13"/>
        <v>17031.64</v>
      </c>
      <c r="J32" s="17">
        <f>ROUND((J27+J29)/4,2)</f>
        <v>4386.72</v>
      </c>
      <c r="K32" s="17">
        <f t="shared" si="13"/>
        <v>3504.49</v>
      </c>
      <c r="L32" s="17">
        <f t="shared" si="13"/>
        <v>0</v>
      </c>
      <c r="M32" s="17">
        <f t="shared" si="13"/>
        <v>5852.66</v>
      </c>
      <c r="N32" s="17">
        <f t="shared" si="13"/>
        <v>59961.96</v>
      </c>
      <c r="O32" s="11">
        <f t="shared" si="2"/>
        <v>2168169.38</v>
      </c>
      <c r="P32" s="12">
        <f t="shared" si="0"/>
        <v>2306304.42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-24731.6</v>
      </c>
      <c r="D33" s="60">
        <f t="shared" si="14"/>
        <v>-86458.96</v>
      </c>
      <c r="E33" s="60">
        <f t="shared" si="14"/>
        <v>-507626.52</v>
      </c>
      <c r="F33" s="60">
        <f t="shared" si="14"/>
        <v>-28367.52</v>
      </c>
      <c r="G33" s="60">
        <f t="shared" si="14"/>
        <v>48</v>
      </c>
      <c r="H33" s="76">
        <f t="shared" si="14"/>
        <v>-28319.52</v>
      </c>
      <c r="I33" s="60">
        <f t="shared" si="14"/>
        <v>-9900.32</v>
      </c>
      <c r="J33" s="60">
        <f>ROUND(J32*6-J7,2)</f>
        <v>-9679.68</v>
      </c>
      <c r="K33" s="60">
        <f t="shared" si="14"/>
        <v>-17886.12</v>
      </c>
      <c r="L33" s="60">
        <f t="shared" si="14"/>
        <v>-23000</v>
      </c>
      <c r="M33" s="60">
        <f>ROUND(M32*12-M7,2)</f>
        <v>-17558.08</v>
      </c>
      <c r="N33" s="60">
        <f>ROUND(N32*12-N7,2)</f>
        <v>-14896.48</v>
      </c>
      <c r="O33" s="11">
        <f t="shared" si="2"/>
        <v>-711737.76</v>
      </c>
      <c r="P33" s="12">
        <f t="shared" si="0"/>
        <v>-740057.28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5175758.4</v>
      </c>
      <c r="D34" s="80">
        <f t="shared" si="15"/>
        <v>901541.04</v>
      </c>
      <c r="E34" s="80">
        <f t="shared" si="15"/>
        <v>18851883.48</v>
      </c>
      <c r="F34" s="80">
        <f t="shared" si="15"/>
        <v>1561212.48</v>
      </c>
      <c r="G34" s="80">
        <f t="shared" si="15"/>
        <v>96408</v>
      </c>
      <c r="H34" s="81">
        <f t="shared" si="15"/>
        <v>1657620.48</v>
      </c>
      <c r="I34" s="80">
        <f t="shared" si="15"/>
        <v>204379.68</v>
      </c>
      <c r="J34" s="80">
        <f t="shared" si="15"/>
        <v>26320.32</v>
      </c>
      <c r="K34" s="80">
        <f t="shared" si="15"/>
        <v>42053.88</v>
      </c>
      <c r="L34" s="80">
        <f t="shared" si="15"/>
        <v>0</v>
      </c>
      <c r="M34" s="80">
        <f t="shared" si="15"/>
        <v>70231.92</v>
      </c>
      <c r="N34" s="80">
        <f t="shared" si="15"/>
        <v>719543.52</v>
      </c>
      <c r="O34" s="90">
        <f t="shared" si="2"/>
        <v>25991712.24</v>
      </c>
      <c r="P34" s="82">
        <f t="shared" si="15"/>
        <v>27649332.72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2">
      <selection activeCell="C36" sqref="C36:L38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141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1530000+2952890+450000-100000+117600+150000+100000</f>
        <v>5200490</v>
      </c>
      <c r="D7" s="11">
        <f>300000-80000+1270000-30000-440000+68000-100000</f>
        <v>988000</v>
      </c>
      <c r="E7" s="11">
        <f>3775060+6228850+3938220+1530000+1531620+214430+641330+1500000</f>
        <v>19359510</v>
      </c>
      <c r="F7" s="11">
        <f>373810+1121410+44360+50000</f>
        <v>1589580</v>
      </c>
      <c r="G7" s="11">
        <f>22060+66170+8130</f>
        <v>96360</v>
      </c>
      <c r="H7" s="11">
        <f>ROUND(F7+G7,2)</f>
        <v>1685940</v>
      </c>
      <c r="I7" s="11">
        <f>52900+116380+15000+15000+15000</f>
        <v>214280</v>
      </c>
      <c r="J7" s="11">
        <f>11180+4820+16000+4000</f>
        <v>36000</v>
      </c>
      <c r="K7" s="11">
        <f>16340+35940+7660-10000</f>
        <v>49940</v>
      </c>
      <c r="L7" s="11">
        <f>11500+11500</f>
        <v>23000</v>
      </c>
      <c r="M7" s="11">
        <f>43920+43920+38890-38940-14630</f>
        <v>73160</v>
      </c>
      <c r="N7" s="11">
        <f>176150+343500+145430+54360+5000+10000</f>
        <v>734440</v>
      </c>
      <c r="O7" s="11">
        <f>ROUND(C7+D7+E7+I7+J7+K7+N7+L7+M7,2)</f>
        <v>26678820</v>
      </c>
      <c r="P7" s="12">
        <f aca="true" t="shared" si="0" ref="P7:P33">ROUND(H7+O7,2)</f>
        <v>28364760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4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134</v>
      </c>
      <c r="C22" s="16">
        <f>450000+24136.08</f>
        <v>474136.08</v>
      </c>
      <c r="D22" s="38">
        <f>90000+134268.47-156715.77</f>
        <v>67552.70000000001</v>
      </c>
      <c r="E22" s="41">
        <f>1530000+86265.15+237772.94</f>
        <v>1854038.0899999999</v>
      </c>
      <c r="F22" s="39">
        <f>146570-2954</f>
        <v>143616</v>
      </c>
      <c r="G22" s="38">
        <f>12150-8670+6520-400</f>
        <v>9600</v>
      </c>
      <c r="H22" s="18">
        <f t="shared" si="1"/>
        <v>153216</v>
      </c>
      <c r="I22" s="97">
        <f>11938.78+5000-3963.6</f>
        <v>12975.179999999998</v>
      </c>
      <c r="J22" s="40">
        <f>25735.45-18453.13</f>
        <v>7282.32</v>
      </c>
      <c r="K22" s="39">
        <f>9000-6476.76</f>
        <v>2523.24</v>
      </c>
      <c r="L22" s="16">
        <f>11500-11500</f>
        <v>0</v>
      </c>
      <c r="M22" s="16">
        <f>28390-23390+77835.02-38940-29263.36</f>
        <v>14631.660000000003</v>
      </c>
      <c r="N22" s="16">
        <f>54360+20000+5000-13971.27</f>
        <v>65388.729999999996</v>
      </c>
      <c r="O22" s="11">
        <f t="shared" si="2"/>
        <v>2498528</v>
      </c>
      <c r="P22" s="12">
        <f t="shared" si="0"/>
        <v>2651744</v>
      </c>
    </row>
    <row r="23" spans="1:16" s="21" customFormat="1" ht="12.75">
      <c r="A23" s="14">
        <v>17</v>
      </c>
      <c r="B23" s="43" t="s">
        <v>142</v>
      </c>
      <c r="C23" s="61">
        <f>643894.09-100000-24136.08-46997.79</f>
        <v>472760.22</v>
      </c>
      <c r="D23" s="97">
        <f>90000+156715.77-100000-79163.07</f>
        <v>67552.69999999998</v>
      </c>
      <c r="E23" s="97">
        <f>1531620-237772.94+214430+641330-377140.52</f>
        <v>1772466.54</v>
      </c>
      <c r="F23" s="39">
        <f>146570+2954-12256</f>
        <v>137268</v>
      </c>
      <c r="G23" s="38">
        <f>10000+400-3200</f>
        <v>7200</v>
      </c>
      <c r="H23" s="18">
        <f t="shared" si="1"/>
        <v>144468</v>
      </c>
      <c r="I23" s="97">
        <f>10000+3963.6-5288.51</f>
        <v>8675.09</v>
      </c>
      <c r="J23" s="40">
        <f>18453.13-15470.9</f>
        <v>2982.2300000000014</v>
      </c>
      <c r="K23" s="39">
        <f>9000+6476.76-10430.31</f>
        <v>5046.450000000001</v>
      </c>
      <c r="L23" s="39">
        <f>11500-1022.7</f>
        <v>10477.3</v>
      </c>
      <c r="M23" s="39">
        <f>29263.36-14631.7</f>
        <v>14631.66</v>
      </c>
      <c r="N23" s="39">
        <f>70000+13971.27-38864.98</f>
        <v>45106.29</v>
      </c>
      <c r="O23" s="11">
        <f t="shared" si="2"/>
        <v>2399698.48</v>
      </c>
      <c r="P23" s="12">
        <f t="shared" si="0"/>
        <v>2544166.48</v>
      </c>
    </row>
    <row r="24" spans="1:16" s="21" customFormat="1" ht="12.75">
      <c r="A24" s="14">
        <v>18</v>
      </c>
      <c r="B24" s="43" t="s">
        <v>47</v>
      </c>
      <c r="C24" s="97">
        <f>117600+150000+100000+46997.79</f>
        <v>414597.79</v>
      </c>
      <c r="D24" s="97">
        <f>90000+79163.07</f>
        <v>169163.07</v>
      </c>
      <c r="E24" s="97">
        <f>1500000+377140.52</f>
        <v>1877140.52</v>
      </c>
      <c r="F24" s="16">
        <f>146570-130090+72565.6+50000+12256</f>
        <v>151301.6</v>
      </c>
      <c r="G24" s="38">
        <f>5620+3200</f>
        <v>8820</v>
      </c>
      <c r="H24" s="18">
        <f t="shared" si="1"/>
        <v>160121.6</v>
      </c>
      <c r="I24" s="97">
        <f>15000+15000+5288.51</f>
        <v>35288.51</v>
      </c>
      <c r="J24" s="40">
        <v>15470.9</v>
      </c>
      <c r="K24" s="102">
        <f>9418.35+430.31</f>
        <v>9848.66</v>
      </c>
      <c r="L24" s="97">
        <f>11500+1022.7</f>
        <v>12522.7</v>
      </c>
      <c r="M24" s="102">
        <f>14631.7-14630</f>
        <v>1.7000000000007276</v>
      </c>
      <c r="N24" s="97">
        <f>40849.13+10000+38864.98</f>
        <v>89714.11</v>
      </c>
      <c r="O24" s="11">
        <f t="shared" si="2"/>
        <v>2623747.96</v>
      </c>
      <c r="P24" s="12">
        <f t="shared" si="0"/>
        <v>2783869.56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1361494.09</v>
      </c>
      <c r="D25" s="62">
        <f aca="true" t="shared" si="8" ref="D25:N25">ROUND(D22+D23+D24,2)</f>
        <v>304268.47</v>
      </c>
      <c r="E25" s="62">
        <f t="shared" si="8"/>
        <v>5503645.15</v>
      </c>
      <c r="F25" s="62">
        <f t="shared" si="8"/>
        <v>432185.6</v>
      </c>
      <c r="G25" s="62">
        <f t="shared" si="8"/>
        <v>25620</v>
      </c>
      <c r="H25" s="62">
        <f t="shared" si="8"/>
        <v>457805.6</v>
      </c>
      <c r="I25" s="62">
        <f t="shared" si="8"/>
        <v>56938.78</v>
      </c>
      <c r="J25" s="62">
        <f>ROUND(J22+J23+J24,2)</f>
        <v>25735.45</v>
      </c>
      <c r="K25" s="62">
        <f>ROUND(K22+K23+K24,2)</f>
        <v>17418.35</v>
      </c>
      <c r="L25" s="62">
        <f t="shared" si="8"/>
        <v>23000</v>
      </c>
      <c r="M25" s="62">
        <f t="shared" si="8"/>
        <v>29265.02</v>
      </c>
      <c r="N25" s="62">
        <f t="shared" si="8"/>
        <v>200209.13</v>
      </c>
      <c r="O25" s="11">
        <f t="shared" si="2"/>
        <v>7521974.44</v>
      </c>
      <c r="P25" s="12">
        <f t="shared" si="0"/>
        <v>7979780.04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5200490</v>
      </c>
      <c r="D26" s="66">
        <f aca="true" t="shared" si="9" ref="D26:N26">ROUND(D11+D15+D20+D25,2)</f>
        <v>988000</v>
      </c>
      <c r="E26" s="66">
        <f t="shared" si="9"/>
        <v>19359510</v>
      </c>
      <c r="F26" s="66">
        <f t="shared" si="9"/>
        <v>1589580</v>
      </c>
      <c r="G26" s="66">
        <f t="shared" si="9"/>
        <v>96360</v>
      </c>
      <c r="H26" s="66">
        <f t="shared" si="9"/>
        <v>1685940</v>
      </c>
      <c r="I26" s="66">
        <f t="shared" si="9"/>
        <v>214280</v>
      </c>
      <c r="J26" s="66">
        <f>ROUND(J11+J15+J20+J25,2)</f>
        <v>36000</v>
      </c>
      <c r="K26" s="66">
        <f>ROUND(K11+K15+K20+K25,2)</f>
        <v>49940</v>
      </c>
      <c r="L26" s="66">
        <f t="shared" si="9"/>
        <v>23000</v>
      </c>
      <c r="M26" s="66">
        <f t="shared" si="9"/>
        <v>73160</v>
      </c>
      <c r="N26" s="66">
        <f t="shared" si="9"/>
        <v>734440</v>
      </c>
      <c r="O26" s="67">
        <f t="shared" si="2"/>
        <v>26678820</v>
      </c>
      <c r="P26" s="68">
        <f t="shared" si="0"/>
        <v>28364760</v>
      </c>
    </row>
    <row r="27" spans="1:17" s="19" customFormat="1" ht="25.5">
      <c r="A27" s="69" t="s">
        <v>143</v>
      </c>
      <c r="B27" s="27" t="s">
        <v>50</v>
      </c>
      <c r="C27" s="17">
        <f>ROUND(C8+C9+C10+C12+C13+C14+C17+C18+C19+C22+C23,2)</f>
        <v>4785892.21</v>
      </c>
      <c r="D27" s="17">
        <f aca="true" t="shared" si="10" ref="D27:N27">ROUND(D8+D9+D10+D12+D13+D14+D17+D18+D19+D22+D23,2)</f>
        <v>818836.93</v>
      </c>
      <c r="E27" s="17">
        <f t="shared" si="10"/>
        <v>17482369.48</v>
      </c>
      <c r="F27" s="17">
        <f t="shared" si="10"/>
        <v>1438278.4</v>
      </c>
      <c r="G27" s="17">
        <f t="shared" si="10"/>
        <v>87540</v>
      </c>
      <c r="H27" s="18">
        <f t="shared" si="1"/>
        <v>1525818.4</v>
      </c>
      <c r="I27" s="17">
        <f t="shared" si="10"/>
        <v>178991.49</v>
      </c>
      <c r="J27" s="17">
        <f t="shared" si="10"/>
        <v>20529.1</v>
      </c>
      <c r="K27" s="17">
        <f t="shared" si="10"/>
        <v>40091.34</v>
      </c>
      <c r="L27" s="17">
        <f t="shared" si="10"/>
        <v>10477.3</v>
      </c>
      <c r="M27" s="17">
        <f t="shared" si="10"/>
        <v>73158.3</v>
      </c>
      <c r="N27" s="17">
        <f t="shared" si="10"/>
        <v>644725.89</v>
      </c>
      <c r="O27" s="11">
        <f t="shared" si="2"/>
        <v>24055072.04</v>
      </c>
      <c r="P27" s="12">
        <f t="shared" si="0"/>
        <v>25580890.44</v>
      </c>
      <c r="Q27" s="23"/>
    </row>
    <row r="28" spans="1:17" s="25" customFormat="1" ht="25.5">
      <c r="A28" s="14" t="s">
        <v>75</v>
      </c>
      <c r="B28" s="24" t="s">
        <v>144</v>
      </c>
      <c r="C28" s="17">
        <f>ROUND(C26-C27,2)</f>
        <v>414597.79</v>
      </c>
      <c r="D28" s="17">
        <f>ROUND(D26-D27,2)</f>
        <v>169163.07</v>
      </c>
      <c r="E28" s="17">
        <f>ROUND(E26-E27,2)</f>
        <v>1877140.52</v>
      </c>
      <c r="F28" s="17">
        <f>ROUND(F26-F27,2)</f>
        <v>151301.6</v>
      </c>
      <c r="G28" s="17">
        <f>ROUND(G26-G27,2)</f>
        <v>8820</v>
      </c>
      <c r="H28" s="18">
        <f t="shared" si="1"/>
        <v>160121.6</v>
      </c>
      <c r="I28" s="17">
        <f aca="true" t="shared" si="11" ref="I28:N28">ROUND(I26-I27,2)</f>
        <v>35288.51</v>
      </c>
      <c r="J28" s="17">
        <f t="shared" si="11"/>
        <v>15470.9</v>
      </c>
      <c r="K28" s="17">
        <f t="shared" si="11"/>
        <v>9848.66</v>
      </c>
      <c r="L28" s="17">
        <f t="shared" si="11"/>
        <v>12522.7</v>
      </c>
      <c r="M28" s="17">
        <f t="shared" si="11"/>
        <v>1.7</v>
      </c>
      <c r="N28" s="17">
        <f t="shared" si="11"/>
        <v>89714.11</v>
      </c>
      <c r="O28" s="11">
        <f t="shared" si="2"/>
        <v>2623747.96</v>
      </c>
      <c r="P28" s="12">
        <f t="shared" si="0"/>
        <v>2783869.56</v>
      </c>
      <c r="Q28" s="23"/>
    </row>
    <row r="29" spans="1:17" s="25" customFormat="1" ht="26.25" customHeight="1">
      <c r="A29" s="70">
        <v>23</v>
      </c>
      <c r="B29" s="71" t="s">
        <v>145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20" customFormat="1" ht="26.25" customHeight="1">
      <c r="A30" s="85" t="s">
        <v>86</v>
      </c>
      <c r="B30" s="86" t="s">
        <v>132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1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2"/>
        <v>0</v>
      </c>
      <c r="P30" s="12">
        <f t="shared" si="0"/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1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2"/>
        <v>1880897.94</v>
      </c>
      <c r="P31" s="12">
        <f t="shared" si="0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ROUND((C27+C29)/11,2)</f>
        <v>435081.11</v>
      </c>
      <c r="D32" s="17">
        <f aca="true" t="shared" si="13" ref="D32:N32">ROUND((D27+D29)/11,2)</f>
        <v>74439.72</v>
      </c>
      <c r="E32" s="17">
        <f t="shared" si="13"/>
        <v>1589306.32</v>
      </c>
      <c r="F32" s="17">
        <f t="shared" si="13"/>
        <v>130752.58</v>
      </c>
      <c r="G32" s="17">
        <f t="shared" si="13"/>
        <v>7958.18</v>
      </c>
      <c r="H32" s="26">
        <f t="shared" si="1"/>
        <v>138710.76</v>
      </c>
      <c r="I32" s="17">
        <f t="shared" si="13"/>
        <v>16271.95</v>
      </c>
      <c r="J32" s="17">
        <f>ROUND((J27+J29)/5,2)</f>
        <v>4105.82</v>
      </c>
      <c r="K32" s="17">
        <f t="shared" si="13"/>
        <v>3644.67</v>
      </c>
      <c r="L32" s="17">
        <f>ROUND((L27+L29)/1,2)</f>
        <v>10477.3</v>
      </c>
      <c r="M32" s="17">
        <f t="shared" si="13"/>
        <v>6650.75</v>
      </c>
      <c r="N32" s="17">
        <f t="shared" si="13"/>
        <v>58611.44</v>
      </c>
      <c r="O32" s="11">
        <f t="shared" si="2"/>
        <v>2198589.08</v>
      </c>
      <c r="P32" s="12">
        <f t="shared" si="0"/>
        <v>2337299.84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K33">ROUND(C32*12-C7,2)</f>
        <v>20483.32</v>
      </c>
      <c r="D33" s="60">
        <f t="shared" si="14"/>
        <v>-94723.36</v>
      </c>
      <c r="E33" s="60">
        <f t="shared" si="14"/>
        <v>-287834.16</v>
      </c>
      <c r="F33" s="60">
        <f t="shared" si="14"/>
        <v>-20549.04</v>
      </c>
      <c r="G33" s="60">
        <f t="shared" si="14"/>
        <v>-861.84</v>
      </c>
      <c r="H33" s="76">
        <f t="shared" si="14"/>
        <v>-21410.88</v>
      </c>
      <c r="I33" s="60">
        <f t="shared" si="14"/>
        <v>-19016.6</v>
      </c>
      <c r="J33" s="60">
        <f>ROUND(J32*6-J7,2)</f>
        <v>-11365.08</v>
      </c>
      <c r="K33" s="60">
        <f t="shared" si="14"/>
        <v>-6203.96</v>
      </c>
      <c r="L33" s="60">
        <f>ROUND(L32*2-L7,2)</f>
        <v>-2045.4</v>
      </c>
      <c r="M33" s="60">
        <f>ROUND(M32*12-M7,2)</f>
        <v>6649</v>
      </c>
      <c r="N33" s="60">
        <f>ROUND(N32*12-N7,2)</f>
        <v>-31102.72</v>
      </c>
      <c r="O33" s="11">
        <f t="shared" si="2"/>
        <v>-425158.96</v>
      </c>
      <c r="P33" s="12">
        <f t="shared" si="0"/>
        <v>-446569.84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5220973.32</v>
      </c>
      <c r="D34" s="80">
        <f t="shared" si="15"/>
        <v>893276.64</v>
      </c>
      <c r="E34" s="80">
        <f t="shared" si="15"/>
        <v>19071675.84</v>
      </c>
      <c r="F34" s="80">
        <f t="shared" si="15"/>
        <v>1569030.96</v>
      </c>
      <c r="G34" s="80">
        <f t="shared" si="15"/>
        <v>95498.16</v>
      </c>
      <c r="H34" s="81">
        <f t="shared" si="15"/>
        <v>1664529.12</v>
      </c>
      <c r="I34" s="80">
        <f t="shared" si="15"/>
        <v>195263.4</v>
      </c>
      <c r="J34" s="80">
        <f t="shared" si="15"/>
        <v>24634.92</v>
      </c>
      <c r="K34" s="80">
        <f t="shared" si="15"/>
        <v>43736.04</v>
      </c>
      <c r="L34" s="80">
        <f t="shared" si="15"/>
        <v>20954.6</v>
      </c>
      <c r="M34" s="80">
        <f t="shared" si="15"/>
        <v>79809</v>
      </c>
      <c r="N34" s="80">
        <f t="shared" si="15"/>
        <v>703337.28</v>
      </c>
      <c r="O34" s="90">
        <f t="shared" si="2"/>
        <v>26253661.04</v>
      </c>
      <c r="P34" s="82">
        <f t="shared" si="15"/>
        <v>27918190.16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3" width="12.7109375" style="1" customWidth="1"/>
    <col min="4" max="4" width="11.57421875" style="1" customWidth="1"/>
    <col min="5" max="5" width="12.28125" style="1" customWidth="1"/>
    <col min="6" max="6" width="12.140625" style="1" customWidth="1"/>
    <col min="7" max="7" width="10.57421875" style="1" customWidth="1"/>
    <col min="8" max="8" width="11.57421875" style="1" customWidth="1"/>
    <col min="9" max="9" width="11.28125" style="1" customWidth="1"/>
    <col min="10" max="10" width="9.851562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3.71093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146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130</v>
      </c>
    </row>
    <row r="7" spans="1:16" s="13" customFormat="1" ht="25.5">
      <c r="A7" s="50">
        <v>1</v>
      </c>
      <c r="B7" s="51" t="s">
        <v>30</v>
      </c>
      <c r="C7" s="11">
        <f>1530000+2952890+450000-100000+117600+150000+100000+21414.51</f>
        <v>5221904.51</v>
      </c>
      <c r="D7" s="11">
        <f>300000-80000+1270000-30000-440000+68000-100000</f>
        <v>988000</v>
      </c>
      <c r="E7" s="11">
        <f>3775060+6228850+3938220+1530000+1531620+214430+641330+1500000</f>
        <v>19359510</v>
      </c>
      <c r="F7" s="11">
        <f>373810+1121410+44360+50000</f>
        <v>1589580</v>
      </c>
      <c r="G7" s="11">
        <f>22060+66170+8130</f>
        <v>96360</v>
      </c>
      <c r="H7" s="11">
        <f>ROUND(F7+G7,2)</f>
        <v>1685940</v>
      </c>
      <c r="I7" s="11">
        <f>52900+116380+15000+15000+15000</f>
        <v>214280</v>
      </c>
      <c r="J7" s="11">
        <f>11180+4820+16000+4000</f>
        <v>36000</v>
      </c>
      <c r="K7" s="11">
        <f>16340+35940+7660-10000</f>
        <v>49940</v>
      </c>
      <c r="L7" s="11">
        <f>11500+11500</f>
        <v>23000</v>
      </c>
      <c r="M7" s="11">
        <f>43920+43920+38890-38940-14630</f>
        <v>73160</v>
      </c>
      <c r="N7" s="11">
        <f>176150+343500+145430+54360+5000+10000</f>
        <v>734440</v>
      </c>
      <c r="O7" s="11">
        <f>ROUND(C7+D7+E7+I7+J7+K7+N7+L7+M7,2)</f>
        <v>26700234.51</v>
      </c>
      <c r="P7" s="12">
        <f aca="true" t="shared" si="0" ref="P7:P31">ROUND(H7+O7,2)</f>
        <v>28386174.51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1" ref="H8:H31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2" ref="O8:O31">ROUND(C8+D8+E8+I8+J8+K8+N8+L8+M8,2)</f>
        <v>2063819.26</v>
      </c>
      <c r="P8" s="12">
        <f t="shared" si="0"/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1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2"/>
        <v>1844084.76</v>
      </c>
      <c r="P9" s="12">
        <f t="shared" si="0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1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2"/>
        <v>2254375.62</v>
      </c>
      <c r="P10" s="12">
        <f t="shared" si="0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2"/>
        <v>6162279.64</v>
      </c>
      <c r="P11" s="12">
        <f t="shared" si="0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1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2"/>
        <v>2030235.51</v>
      </c>
      <c r="P12" s="12">
        <f t="shared" si="0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1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2"/>
        <v>2262730.49</v>
      </c>
      <c r="P13" s="12">
        <f t="shared" si="0"/>
        <v>2405770.49</v>
      </c>
    </row>
    <row r="14" spans="1:16" s="13" customFormat="1" ht="25.5">
      <c r="A14" s="14">
        <v>8</v>
      </c>
      <c r="B14" s="56" t="s">
        <v>105</v>
      </c>
      <c r="C14" s="16">
        <f>350000+215000+273670.88-403538.91</f>
        <v>435131.97000000003</v>
      </c>
      <c r="D14" s="16">
        <f>70000+34000+46529.94-53270.73</f>
        <v>97259.20999999999</v>
      </c>
      <c r="E14" s="17">
        <f>1333330+277379.66</f>
        <v>1610709.66</v>
      </c>
      <c r="F14" s="17">
        <f>130090+32402-25812</f>
        <v>136680</v>
      </c>
      <c r="G14" s="17">
        <f>6165+4335+4230-6570</f>
        <v>8160</v>
      </c>
      <c r="H14" s="18">
        <f t="shared" si="1"/>
        <v>144840</v>
      </c>
      <c r="I14" s="17">
        <f>15820+5590-238.53-6796.26</f>
        <v>14375.210000000001</v>
      </c>
      <c r="J14" s="17">
        <f>4820+11180-16000</f>
        <v>0</v>
      </c>
      <c r="K14" s="17">
        <f>9000+21515.05-28412.35</f>
        <v>2102.7000000000007</v>
      </c>
      <c r="L14" s="17">
        <v>0</v>
      </c>
      <c r="M14" s="17">
        <f>38945.02-38945.02</f>
        <v>0</v>
      </c>
      <c r="N14" s="17">
        <f>60000-34227.66+50000-35395.94</f>
        <v>40376.399999999994</v>
      </c>
      <c r="O14" s="11">
        <f t="shared" si="2"/>
        <v>2199955.15</v>
      </c>
      <c r="P14" s="12">
        <f t="shared" si="0"/>
        <v>2344795.15</v>
      </c>
    </row>
    <row r="15" spans="1:16" s="19" customFormat="1" ht="25.5">
      <c r="A15" s="57" t="s">
        <v>5</v>
      </c>
      <c r="B15" s="54" t="s">
        <v>106</v>
      </c>
      <c r="C15" s="18">
        <f aca="true" t="shared" si="4" ref="C15:N15">SUM(C12:C14)</f>
        <v>1349869.1600000001</v>
      </c>
      <c r="D15" s="18">
        <f t="shared" si="4"/>
        <v>276924.4</v>
      </c>
      <c r="E15" s="18">
        <f t="shared" si="4"/>
        <v>4609450.2</v>
      </c>
      <c r="F15" s="18">
        <f t="shared" si="4"/>
        <v>385320</v>
      </c>
      <c r="G15" s="18">
        <f t="shared" si="4"/>
        <v>25440</v>
      </c>
      <c r="H15" s="18">
        <f t="shared" si="4"/>
        <v>410760</v>
      </c>
      <c r="I15" s="18">
        <f t="shared" si="4"/>
        <v>48346</v>
      </c>
      <c r="J15" s="18">
        <f>SUM(J12:J14)</f>
        <v>0</v>
      </c>
      <c r="K15" s="18">
        <f>SUM(K12:K14)</f>
        <v>8130.410000000002</v>
      </c>
      <c r="L15" s="18">
        <f t="shared" si="4"/>
        <v>0</v>
      </c>
      <c r="M15" s="18">
        <f t="shared" si="4"/>
        <v>0</v>
      </c>
      <c r="N15" s="18">
        <f t="shared" si="4"/>
        <v>200200.98</v>
      </c>
      <c r="O15" s="11">
        <f t="shared" si="2"/>
        <v>6492921.15</v>
      </c>
      <c r="P15" s="12">
        <f t="shared" si="0"/>
        <v>6903681.15</v>
      </c>
    </row>
    <row r="16" spans="1:16" s="20" customFormat="1" ht="25.5">
      <c r="A16" s="53" t="s">
        <v>6</v>
      </c>
      <c r="B16" s="58" t="s">
        <v>107</v>
      </c>
      <c r="C16" s="18">
        <f aca="true" t="shared" si="5" ref="C16:N16">C11+C15</f>
        <v>2656461.0900000003</v>
      </c>
      <c r="D16" s="18">
        <f t="shared" si="5"/>
        <v>464729.27</v>
      </c>
      <c r="E16" s="18">
        <f t="shared" si="5"/>
        <v>8992670</v>
      </c>
      <c r="F16" s="18">
        <f t="shared" si="5"/>
        <v>769788</v>
      </c>
      <c r="G16" s="18">
        <f t="shared" si="5"/>
        <v>48180</v>
      </c>
      <c r="H16" s="18">
        <f t="shared" si="5"/>
        <v>817968</v>
      </c>
      <c r="I16" s="18">
        <f t="shared" si="5"/>
        <v>105103.73999999999</v>
      </c>
      <c r="J16" s="18">
        <f>J11+J15</f>
        <v>0</v>
      </c>
      <c r="K16" s="18">
        <f>K11+K15</f>
        <v>21587.65</v>
      </c>
      <c r="L16" s="18">
        <f t="shared" si="5"/>
        <v>0</v>
      </c>
      <c r="M16" s="18">
        <f t="shared" si="5"/>
        <v>43894.979999999996</v>
      </c>
      <c r="N16" s="18">
        <f t="shared" si="5"/>
        <v>370754.06000000006</v>
      </c>
      <c r="O16" s="11">
        <f t="shared" si="2"/>
        <v>12655200.79</v>
      </c>
      <c r="P16" s="12">
        <f t="shared" si="0"/>
        <v>13473168.79</v>
      </c>
    </row>
    <row r="17" spans="1:16" s="13" customFormat="1" ht="25.5">
      <c r="A17" s="14">
        <v>11</v>
      </c>
      <c r="B17" s="56" t="s">
        <v>113</v>
      </c>
      <c r="C17" s="16">
        <f>470000+403538.91-434463.31</f>
        <v>439075.5999999999</v>
      </c>
      <c r="D17" s="16">
        <f>100000+53270.73-76962.23</f>
        <v>76308.50000000001</v>
      </c>
      <c r="E17" s="59">
        <f>1527910-516670+607000-1126.68</f>
        <v>1617113.32</v>
      </c>
      <c r="F17" s="17">
        <f>130000+25812-30172</f>
        <v>125640</v>
      </c>
      <c r="G17" s="17">
        <f>10000+6570-9850</f>
        <v>6720</v>
      </c>
      <c r="H17" s="18">
        <f t="shared" si="1"/>
        <v>132360</v>
      </c>
      <c r="I17" s="60">
        <f>19380+6796.26-12133.36</f>
        <v>14042.900000000001</v>
      </c>
      <c r="J17" s="60">
        <f>16000-13017.77</f>
        <v>2982.2299999999996</v>
      </c>
      <c r="K17" s="17">
        <f>4500+28412.35-29548.04</f>
        <v>3364.3099999999977</v>
      </c>
      <c r="L17" s="17">
        <v>0</v>
      </c>
      <c r="M17" s="17">
        <v>0</v>
      </c>
      <c r="N17" s="17">
        <f>60000+35395.94-20898.29</f>
        <v>74497.65</v>
      </c>
      <c r="O17" s="11">
        <f t="shared" si="2"/>
        <v>2227384.51</v>
      </c>
      <c r="P17" s="12">
        <f t="shared" si="0"/>
        <v>2359744.51</v>
      </c>
    </row>
    <row r="18" spans="1:16" s="19" customFormat="1" ht="12.75">
      <c r="A18" s="14">
        <v>12</v>
      </c>
      <c r="B18" s="15" t="s">
        <v>118</v>
      </c>
      <c r="C18" s="16">
        <f>470000+434463.31-501252.77</f>
        <v>403210.54000000004</v>
      </c>
      <c r="D18" s="38">
        <f>100000+76962.23-101821.17</f>
        <v>75141.05999999998</v>
      </c>
      <c r="E18" s="38">
        <f>1666000+1126.68-23938.56</f>
        <v>1643188.1199999999</v>
      </c>
      <c r="F18" s="39">
        <f>130000+30172-27685.6</f>
        <v>132486.4</v>
      </c>
      <c r="G18" s="39">
        <f>10000+9850-13130</f>
        <v>6720</v>
      </c>
      <c r="H18" s="18">
        <f t="shared" si="1"/>
        <v>139206.4</v>
      </c>
      <c r="I18" s="17">
        <f>19000+12133.36-18391.66</f>
        <v>12741.7</v>
      </c>
      <c r="J18" s="16">
        <f>8000+13017.77-13735.45</f>
        <v>7282.32</v>
      </c>
      <c r="K18" s="17">
        <f>5440+29548.04-32044.27</f>
        <v>2943.7700000000004</v>
      </c>
      <c r="L18" s="17">
        <v>0</v>
      </c>
      <c r="M18" s="17">
        <f>38945.02-38945.02</f>
        <v>0</v>
      </c>
      <c r="N18" s="38">
        <f>60000-6500+72000+20898.29-100152.1</f>
        <v>46246.19</v>
      </c>
      <c r="O18" s="11">
        <f t="shared" si="2"/>
        <v>2190753.7</v>
      </c>
      <c r="P18" s="12">
        <f t="shared" si="0"/>
        <v>2329960.1</v>
      </c>
    </row>
    <row r="19" spans="1:16" s="21" customFormat="1" ht="12.75">
      <c r="A19" s="14">
        <v>13</v>
      </c>
      <c r="B19" s="43" t="s">
        <v>123</v>
      </c>
      <c r="C19" s="16">
        <f>482890+501252.77-643894.09</f>
        <v>340248.68000000005</v>
      </c>
      <c r="D19" s="38">
        <f>100000+101821.17-134268.47</f>
        <v>67552.69999999998</v>
      </c>
      <c r="E19" s="97">
        <f>1665220+23938.56-86265.15</f>
        <v>1602893.4100000001</v>
      </c>
      <c r="F19" s="39">
        <f>130000+27685.6+44360-72565.6</f>
        <v>129480</v>
      </c>
      <c r="G19" s="38">
        <f>10000+13130+8130-22140</f>
        <v>9120</v>
      </c>
      <c r="H19" s="18">
        <f t="shared" si="1"/>
        <v>138600</v>
      </c>
      <c r="I19" s="40">
        <f>19000+18391.66-11938.78</f>
        <v>25452.880000000005</v>
      </c>
      <c r="J19" s="41">
        <f>8000+13735.45+4000-25735.45</f>
        <v>0</v>
      </c>
      <c r="K19" s="17">
        <f>32044.27-27418.35</f>
        <v>4625.920000000002</v>
      </c>
      <c r="L19" s="17">
        <v>0</v>
      </c>
      <c r="M19" s="17">
        <f>38945.02+38890-77835.02</f>
        <v>0</v>
      </c>
      <c r="N19" s="38">
        <f>73430+100152.1-130849.13</f>
        <v>42732.97</v>
      </c>
      <c r="O19" s="11">
        <f t="shared" si="2"/>
        <v>2083506.56</v>
      </c>
      <c r="P19" s="12">
        <f t="shared" si="0"/>
        <v>2222106.56</v>
      </c>
    </row>
    <row r="20" spans="1:16" s="22" customFormat="1" ht="25.5">
      <c r="A20" s="53" t="s">
        <v>9</v>
      </c>
      <c r="B20" s="58" t="s">
        <v>124</v>
      </c>
      <c r="C20" s="62">
        <f>ROUND(C17+C18+C19,2)</f>
        <v>1182534.82</v>
      </c>
      <c r="D20" s="62">
        <f aca="true" t="shared" si="6" ref="D20:N20">ROUND(D17+D18+D19,2)</f>
        <v>219002.26</v>
      </c>
      <c r="E20" s="62">
        <f t="shared" si="6"/>
        <v>4863194.85</v>
      </c>
      <c r="F20" s="62">
        <f t="shared" si="6"/>
        <v>387606.4</v>
      </c>
      <c r="G20" s="62">
        <f t="shared" si="6"/>
        <v>22560</v>
      </c>
      <c r="H20" s="62">
        <f t="shared" si="6"/>
        <v>410166.4</v>
      </c>
      <c r="I20" s="62">
        <f t="shared" si="6"/>
        <v>52237.48</v>
      </c>
      <c r="J20" s="62">
        <f>ROUND(J17+J18+J19,2)</f>
        <v>10264.55</v>
      </c>
      <c r="K20" s="62">
        <f>ROUND(K17+K18+K19,2)</f>
        <v>10934</v>
      </c>
      <c r="L20" s="62">
        <f t="shared" si="6"/>
        <v>0</v>
      </c>
      <c r="M20" s="62">
        <f t="shared" si="6"/>
        <v>0</v>
      </c>
      <c r="N20" s="62">
        <f t="shared" si="6"/>
        <v>163476.81</v>
      </c>
      <c r="O20" s="11">
        <f t="shared" si="2"/>
        <v>6501644.77</v>
      </c>
      <c r="P20" s="12">
        <f t="shared" si="0"/>
        <v>6911811.17</v>
      </c>
    </row>
    <row r="21" spans="1:16" s="22" customFormat="1" ht="25.5">
      <c r="A21" s="53" t="s">
        <v>10</v>
      </c>
      <c r="B21" s="58" t="s">
        <v>125</v>
      </c>
      <c r="C21" s="62">
        <f>ROUND(C16+C20,2)</f>
        <v>3838995.91</v>
      </c>
      <c r="D21" s="62">
        <f aca="true" t="shared" si="7" ref="D21:N21">ROUND(D16+D20,2)</f>
        <v>683731.53</v>
      </c>
      <c r="E21" s="62">
        <f t="shared" si="7"/>
        <v>13855864.85</v>
      </c>
      <c r="F21" s="62">
        <f t="shared" si="7"/>
        <v>1157394.4</v>
      </c>
      <c r="G21" s="62">
        <f t="shared" si="7"/>
        <v>70740</v>
      </c>
      <c r="H21" s="62">
        <f t="shared" si="7"/>
        <v>1228134.4</v>
      </c>
      <c r="I21" s="62">
        <f t="shared" si="7"/>
        <v>157341.22</v>
      </c>
      <c r="J21" s="62">
        <f>ROUND(J16+J20,2)</f>
        <v>10264.55</v>
      </c>
      <c r="K21" s="62">
        <f>ROUND(K16+K20,2)</f>
        <v>32521.65</v>
      </c>
      <c r="L21" s="62">
        <f t="shared" si="7"/>
        <v>0</v>
      </c>
      <c r="M21" s="62">
        <f t="shared" si="7"/>
        <v>43894.98</v>
      </c>
      <c r="N21" s="62">
        <f t="shared" si="7"/>
        <v>534230.87</v>
      </c>
      <c r="O21" s="11">
        <f t="shared" si="2"/>
        <v>19156845.56</v>
      </c>
      <c r="P21" s="12">
        <f t="shared" si="0"/>
        <v>20384979.96</v>
      </c>
    </row>
    <row r="22" spans="1:16" s="21" customFormat="1" ht="12.75">
      <c r="A22" s="14">
        <v>16</v>
      </c>
      <c r="B22" s="63" t="s">
        <v>134</v>
      </c>
      <c r="C22" s="16">
        <f>450000+24136.08</f>
        <v>474136.08</v>
      </c>
      <c r="D22" s="38">
        <f>90000+134268.47-156715.77</f>
        <v>67552.70000000001</v>
      </c>
      <c r="E22" s="41">
        <f>1530000+86265.15+237772.94</f>
        <v>1854038.0899999999</v>
      </c>
      <c r="F22" s="39">
        <f>146570-2954</f>
        <v>143616</v>
      </c>
      <c r="G22" s="38">
        <f>12150-8670+6520-400</f>
        <v>9600</v>
      </c>
      <c r="H22" s="18">
        <f t="shared" si="1"/>
        <v>153216</v>
      </c>
      <c r="I22" s="97">
        <f>11938.78+5000-3963.6</f>
        <v>12975.179999999998</v>
      </c>
      <c r="J22" s="40">
        <f>25735.45-18453.13</f>
        <v>7282.32</v>
      </c>
      <c r="K22" s="39">
        <f>9000-6476.76</f>
        <v>2523.24</v>
      </c>
      <c r="L22" s="16">
        <f>11500-11500</f>
        <v>0</v>
      </c>
      <c r="M22" s="16">
        <f>28390-23390+77835.02-38940-29263.36</f>
        <v>14631.660000000003</v>
      </c>
      <c r="N22" s="16">
        <f>54360+20000+5000-13971.27</f>
        <v>65388.729999999996</v>
      </c>
      <c r="O22" s="11">
        <f t="shared" si="2"/>
        <v>2498528</v>
      </c>
      <c r="P22" s="12">
        <f t="shared" si="0"/>
        <v>2651744</v>
      </c>
    </row>
    <row r="23" spans="1:16" s="21" customFormat="1" ht="12.75">
      <c r="A23" s="14">
        <v>17</v>
      </c>
      <c r="B23" s="43" t="s">
        <v>142</v>
      </c>
      <c r="C23" s="61">
        <f>643894.09-100000-24136.08-46997.79</f>
        <v>472760.22</v>
      </c>
      <c r="D23" s="97">
        <f>90000+156715.77-100000-79163.07</f>
        <v>67552.69999999998</v>
      </c>
      <c r="E23" s="97">
        <f>1531620-237772.94+214430+641330-377140.52</f>
        <v>1772466.54</v>
      </c>
      <c r="F23" s="39">
        <f>146570+2954-12256</f>
        <v>137268</v>
      </c>
      <c r="G23" s="38">
        <f>10000+400-3200</f>
        <v>7200</v>
      </c>
      <c r="H23" s="18">
        <f t="shared" si="1"/>
        <v>144468</v>
      </c>
      <c r="I23" s="97">
        <f>10000+3963.6-5288.51</f>
        <v>8675.09</v>
      </c>
      <c r="J23" s="40">
        <f>18453.13-15470.9</f>
        <v>2982.2300000000014</v>
      </c>
      <c r="K23" s="39">
        <f>9000+6476.76-10430.31</f>
        <v>5046.450000000001</v>
      </c>
      <c r="L23" s="39">
        <f>11500-1022.7</f>
        <v>10477.3</v>
      </c>
      <c r="M23" s="39">
        <f>29263.36-14631.7</f>
        <v>14631.66</v>
      </c>
      <c r="N23" s="39">
        <f>70000+13971.27-38864.98</f>
        <v>45106.29</v>
      </c>
      <c r="O23" s="11">
        <f t="shared" si="2"/>
        <v>2399698.48</v>
      </c>
      <c r="P23" s="12">
        <f t="shared" si="0"/>
        <v>2544166.48</v>
      </c>
    </row>
    <row r="24" spans="1:16" s="21" customFormat="1" ht="12.75">
      <c r="A24" s="14">
        <v>18</v>
      </c>
      <c r="B24" s="43" t="s">
        <v>147</v>
      </c>
      <c r="C24" s="97">
        <v>436012.3</v>
      </c>
      <c r="D24" s="97">
        <v>67552.7</v>
      </c>
      <c r="E24" s="97">
        <v>1688330.88</v>
      </c>
      <c r="F24" s="16">
        <v>129276</v>
      </c>
      <c r="G24" s="38">
        <v>8640</v>
      </c>
      <c r="H24" s="18">
        <f t="shared" si="1"/>
        <v>137916</v>
      </c>
      <c r="I24" s="97">
        <v>19519.28</v>
      </c>
      <c r="J24" s="40">
        <v>7282.32</v>
      </c>
      <c r="K24" s="97">
        <v>2943.78</v>
      </c>
      <c r="L24" s="97">
        <v>10477.3</v>
      </c>
      <c r="M24" s="97">
        <v>0</v>
      </c>
      <c r="N24" s="97">
        <v>65704.95</v>
      </c>
      <c r="O24" s="11">
        <f t="shared" si="2"/>
        <v>2297823.51</v>
      </c>
      <c r="P24" s="12">
        <f t="shared" si="0"/>
        <v>2435739.51</v>
      </c>
    </row>
    <row r="25" spans="1:16" s="22" customFormat="1" ht="25.5">
      <c r="A25" s="53" t="s">
        <v>7</v>
      </c>
      <c r="B25" s="58" t="s">
        <v>148</v>
      </c>
      <c r="C25" s="62">
        <f>ROUND(C22+C23+C24,2)</f>
        <v>1382908.6</v>
      </c>
      <c r="D25" s="62">
        <f aca="true" t="shared" si="8" ref="D25:N25">ROUND(D22+D23+D24,2)</f>
        <v>202658.1</v>
      </c>
      <c r="E25" s="62">
        <f t="shared" si="8"/>
        <v>5314835.51</v>
      </c>
      <c r="F25" s="62">
        <f t="shared" si="8"/>
        <v>410160</v>
      </c>
      <c r="G25" s="62">
        <f t="shared" si="8"/>
        <v>25440</v>
      </c>
      <c r="H25" s="62">
        <f t="shared" si="8"/>
        <v>435600</v>
      </c>
      <c r="I25" s="62">
        <f t="shared" si="8"/>
        <v>41169.55</v>
      </c>
      <c r="J25" s="62">
        <f>ROUND(J22+J23+J24,2)</f>
        <v>17546.87</v>
      </c>
      <c r="K25" s="62">
        <f>ROUND(K22+K23+K24,2)</f>
        <v>10513.47</v>
      </c>
      <c r="L25" s="62">
        <f t="shared" si="8"/>
        <v>20954.6</v>
      </c>
      <c r="M25" s="62">
        <f t="shared" si="8"/>
        <v>29263.32</v>
      </c>
      <c r="N25" s="62">
        <f t="shared" si="8"/>
        <v>176199.97</v>
      </c>
      <c r="O25" s="11">
        <f t="shared" si="2"/>
        <v>7196049.99</v>
      </c>
      <c r="P25" s="12">
        <f t="shared" si="0"/>
        <v>7631649.99</v>
      </c>
    </row>
    <row r="26" spans="1:16" s="22" customFormat="1" ht="38.25">
      <c r="A26" s="64" t="s">
        <v>11</v>
      </c>
      <c r="B26" s="105" t="s">
        <v>149</v>
      </c>
      <c r="C26" s="66">
        <f>ROUND(C11+C15+C20+C25,2)</f>
        <v>5221904.51</v>
      </c>
      <c r="D26" s="66">
        <f aca="true" t="shared" si="9" ref="D26:N26">ROUND(D11+D15+D20+D25,2)</f>
        <v>886389.63</v>
      </c>
      <c r="E26" s="66">
        <f t="shared" si="9"/>
        <v>19170700.36</v>
      </c>
      <c r="F26" s="66">
        <f t="shared" si="9"/>
        <v>1567554.4</v>
      </c>
      <c r="G26" s="66">
        <f t="shared" si="9"/>
        <v>96180</v>
      </c>
      <c r="H26" s="66">
        <f t="shared" si="9"/>
        <v>1663734.4</v>
      </c>
      <c r="I26" s="66">
        <f t="shared" si="9"/>
        <v>198510.77</v>
      </c>
      <c r="J26" s="66">
        <f>ROUND(J11+J15+J20+J25,2)</f>
        <v>27811.42</v>
      </c>
      <c r="K26" s="66">
        <f>ROUND(K11+K15+K20+K25,2)</f>
        <v>43035.12</v>
      </c>
      <c r="L26" s="66">
        <f t="shared" si="9"/>
        <v>20954.6</v>
      </c>
      <c r="M26" s="66">
        <f t="shared" si="9"/>
        <v>73158.3</v>
      </c>
      <c r="N26" s="66">
        <f t="shared" si="9"/>
        <v>710430.84</v>
      </c>
      <c r="O26" s="67">
        <f t="shared" si="2"/>
        <v>26352895.55</v>
      </c>
      <c r="P26" s="68">
        <f t="shared" si="0"/>
        <v>28016629.95</v>
      </c>
    </row>
    <row r="27" spans="1:17" s="19" customFormat="1" ht="25.5">
      <c r="A27" s="69" t="s">
        <v>150</v>
      </c>
      <c r="B27" s="27" t="s">
        <v>50</v>
      </c>
      <c r="C27" s="17">
        <f>ROUND(C8+C9+C10+C12+C13+C14+C17+C18+C19+C22+C23+C24,2)</f>
        <v>5221904.51</v>
      </c>
      <c r="D27" s="17">
        <f aca="true" t="shared" si="10" ref="D27:N27">ROUND(D8+D9+D10+D12+D13+D14+D17+D18+D19+D22+D23+D24,2)</f>
        <v>886389.63</v>
      </c>
      <c r="E27" s="17">
        <f t="shared" si="10"/>
        <v>19170700.36</v>
      </c>
      <c r="F27" s="17">
        <f t="shared" si="10"/>
        <v>1567554.4</v>
      </c>
      <c r="G27" s="17">
        <f t="shared" si="10"/>
        <v>96180</v>
      </c>
      <c r="H27" s="18">
        <f t="shared" si="1"/>
        <v>1663734.4</v>
      </c>
      <c r="I27" s="17">
        <f t="shared" si="10"/>
        <v>198510.77</v>
      </c>
      <c r="J27" s="17">
        <f t="shared" si="10"/>
        <v>27811.42</v>
      </c>
      <c r="K27" s="17">
        <f t="shared" si="10"/>
        <v>43035.12</v>
      </c>
      <c r="L27" s="17">
        <f t="shared" si="10"/>
        <v>20954.6</v>
      </c>
      <c r="M27" s="17">
        <f t="shared" si="10"/>
        <v>73158.3</v>
      </c>
      <c r="N27" s="17">
        <f t="shared" si="10"/>
        <v>710430.84</v>
      </c>
      <c r="O27" s="11">
        <f t="shared" si="2"/>
        <v>26352895.55</v>
      </c>
      <c r="P27" s="12">
        <f t="shared" si="0"/>
        <v>28016629.95</v>
      </c>
      <c r="Q27" s="23"/>
    </row>
    <row r="28" spans="1:17" s="25" customFormat="1" ht="12.75">
      <c r="A28" s="14" t="s">
        <v>12</v>
      </c>
      <c r="B28" s="24" t="s">
        <v>151</v>
      </c>
      <c r="C28" s="17">
        <f>ROUND(C7-C27,2)</f>
        <v>0</v>
      </c>
      <c r="D28" s="17">
        <f>ROUND(D7-D27,2)</f>
        <v>101610.37</v>
      </c>
      <c r="E28" s="17">
        <f>ROUND(E7-E27,2)</f>
        <v>188809.64</v>
      </c>
      <c r="F28" s="17">
        <f>ROUND(F7-F27,2)</f>
        <v>22025.6</v>
      </c>
      <c r="G28" s="17">
        <f>ROUND(G7-G27,2)</f>
        <v>180</v>
      </c>
      <c r="H28" s="18">
        <f t="shared" si="1"/>
        <v>22205.6</v>
      </c>
      <c r="I28" s="17">
        <f aca="true" t="shared" si="11" ref="I28:N28">ROUND(I7-I27,2)</f>
        <v>15769.23</v>
      </c>
      <c r="J28" s="17">
        <f t="shared" si="11"/>
        <v>8188.58</v>
      </c>
      <c r="K28" s="17">
        <f t="shared" si="11"/>
        <v>6904.88</v>
      </c>
      <c r="L28" s="17">
        <f t="shared" si="11"/>
        <v>2045.4</v>
      </c>
      <c r="M28" s="17">
        <f t="shared" si="11"/>
        <v>1.7</v>
      </c>
      <c r="N28" s="17">
        <f t="shared" si="11"/>
        <v>24009.16</v>
      </c>
      <c r="O28" s="11">
        <f t="shared" si="2"/>
        <v>347338.96</v>
      </c>
      <c r="P28" s="12">
        <f t="shared" si="0"/>
        <v>369544.56</v>
      </c>
      <c r="Q28" s="23"/>
    </row>
    <row r="29" spans="1:17" s="25" customFormat="1" ht="26.25" customHeight="1">
      <c r="A29" s="70">
        <v>23</v>
      </c>
      <c r="B29" s="71" t="s">
        <v>152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2"/>
        <v>0</v>
      </c>
      <c r="P29" s="12">
        <f t="shared" si="0"/>
        <v>0</v>
      </c>
      <c r="Q29" s="75"/>
    </row>
    <row r="30" spans="1:17" s="13" customFormat="1" ht="12.75">
      <c r="A30" s="14">
        <v>24</v>
      </c>
      <c r="B30" s="27" t="s">
        <v>67</v>
      </c>
      <c r="C30" s="17">
        <v>487606.57</v>
      </c>
      <c r="D30" s="17">
        <v>53922.23</v>
      </c>
      <c r="E30" s="17">
        <v>1259261.68</v>
      </c>
      <c r="F30" s="17">
        <v>123789.2</v>
      </c>
      <c r="G30" s="17">
        <v>7155</v>
      </c>
      <c r="H30" s="26">
        <f t="shared" si="1"/>
        <v>130944.2</v>
      </c>
      <c r="I30" s="17">
        <v>17666.14</v>
      </c>
      <c r="J30" s="17">
        <v>0</v>
      </c>
      <c r="K30" s="17">
        <v>5099.02</v>
      </c>
      <c r="L30" s="17">
        <v>0</v>
      </c>
      <c r="M30" s="17">
        <v>0</v>
      </c>
      <c r="N30" s="17">
        <v>57342.3</v>
      </c>
      <c r="O30" s="11">
        <f t="shared" si="2"/>
        <v>1880897.94</v>
      </c>
      <c r="P30" s="12">
        <f t="shared" si="0"/>
        <v>2011842.14</v>
      </c>
      <c r="Q30" s="23"/>
    </row>
    <row r="31" spans="1:17" s="13" customFormat="1" ht="39" thickBot="1">
      <c r="A31" s="106" t="s">
        <v>153</v>
      </c>
      <c r="B31" s="107" t="s">
        <v>55</v>
      </c>
      <c r="C31" s="108">
        <f>ROUND((C27+C29)/12,2)</f>
        <v>435158.71</v>
      </c>
      <c r="D31" s="108">
        <f aca="true" t="shared" si="12" ref="D31:N31">ROUND((D27+D29)/12,2)</f>
        <v>73865.8</v>
      </c>
      <c r="E31" s="108">
        <f t="shared" si="12"/>
        <v>1597558.36</v>
      </c>
      <c r="F31" s="108">
        <f t="shared" si="12"/>
        <v>130629.53</v>
      </c>
      <c r="G31" s="108">
        <f t="shared" si="12"/>
        <v>8015</v>
      </c>
      <c r="H31" s="81">
        <f t="shared" si="1"/>
        <v>138644.53</v>
      </c>
      <c r="I31" s="108">
        <f t="shared" si="12"/>
        <v>16542.56</v>
      </c>
      <c r="J31" s="108">
        <f t="shared" si="12"/>
        <v>2317.62</v>
      </c>
      <c r="K31" s="108">
        <f t="shared" si="12"/>
        <v>3586.26</v>
      </c>
      <c r="L31" s="108">
        <f t="shared" si="12"/>
        <v>1746.22</v>
      </c>
      <c r="M31" s="108">
        <f t="shared" si="12"/>
        <v>6096.53</v>
      </c>
      <c r="N31" s="108">
        <f t="shared" si="12"/>
        <v>59202.57</v>
      </c>
      <c r="O31" s="90">
        <f t="shared" si="2"/>
        <v>2196074.63</v>
      </c>
      <c r="P31" s="109">
        <f t="shared" si="0"/>
        <v>2334719.16</v>
      </c>
      <c r="Q31" s="23"/>
    </row>
    <row r="32" spans="1:17" s="29" customFormat="1" ht="12.75">
      <c r="A32" s="30"/>
      <c r="B32" s="31"/>
      <c r="C32" s="8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28"/>
    </row>
    <row r="33" spans="3:13" ht="15.75">
      <c r="C33" s="84"/>
      <c r="D33" s="37"/>
      <c r="E33" s="19"/>
      <c r="G33" s="35"/>
      <c r="H33" s="35"/>
      <c r="I33" s="34"/>
      <c r="J33" s="34"/>
      <c r="K33" s="42"/>
      <c r="L33" s="42"/>
      <c r="M33" s="42"/>
    </row>
    <row r="34" spans="3:13" ht="15.75">
      <c r="C34" s="84"/>
      <c r="D34" s="37"/>
      <c r="E34" s="19"/>
      <c r="K34" s="42"/>
      <c r="L34" s="42"/>
      <c r="M34" s="42"/>
    </row>
    <row r="35" spans="3:17" ht="15.75">
      <c r="C35" s="36"/>
      <c r="D35" s="36"/>
      <c r="E35" s="3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3:17" ht="15.75">
      <c r="C36" s="36"/>
      <c r="D36" s="36"/>
      <c r="E36" s="3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3:17" ht="15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</sheetData>
  <mergeCells count="2">
    <mergeCell ref="A2:P2"/>
    <mergeCell ref="A3:P3"/>
  </mergeCells>
  <printOptions/>
  <pageMargins left="0.17" right="0.17" top="0.17" bottom="1" header="0.17" footer="0.5"/>
  <pageSetup horizontalDpi="600" verticalDpi="600" orientation="landscape" paperSize="9" scale="68" r:id="rId1"/>
  <headerFooter alignWithMargins="0"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23">
      <selection activeCell="E39" sqref="E39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9" width="11.7109375" style="1" customWidth="1"/>
    <col min="10" max="10" width="13.57421875" style="1" customWidth="1"/>
    <col min="11" max="11" width="11.57421875" style="1" customWidth="1"/>
    <col min="12" max="12" width="11.7109375" style="1" customWidth="1"/>
    <col min="13" max="13" width="11.8515625" style="1" customWidth="1"/>
    <col min="14" max="14" width="14.57421875" style="1" customWidth="1"/>
    <col min="15" max="15" width="13.8515625" style="1" customWidth="1"/>
    <col min="16" max="16" width="15.28125" style="1" customWidth="1"/>
    <col min="17" max="17" width="10.8515625" style="1" bestFit="1" customWidth="1"/>
    <col min="18" max="16384" width="9.140625" style="1" customWidth="1"/>
  </cols>
  <sheetData>
    <row r="1" spans="1:15" ht="15.75">
      <c r="A1" s="44" t="s">
        <v>0</v>
      </c>
      <c r="C1" s="2"/>
      <c r="D1" s="2"/>
      <c r="M1" s="3"/>
      <c r="N1" s="3"/>
      <c r="O1" s="3" t="s">
        <v>8</v>
      </c>
    </row>
    <row r="2" spans="1:16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4"/>
    </row>
    <row r="3" spans="1:16" s="6" customFormat="1" ht="38.25" customHeight="1">
      <c r="A3" s="104" t="s">
        <v>71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5"/>
    </row>
    <row r="4" ht="14.25" customHeight="1" thickBot="1"/>
    <row r="5" spans="1:15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45" t="s">
        <v>23</v>
      </c>
      <c r="L5" s="8" t="s">
        <v>24</v>
      </c>
      <c r="M5" s="8" t="s">
        <v>25</v>
      </c>
      <c r="N5" s="8" t="s">
        <v>26</v>
      </c>
      <c r="O5" s="9" t="s">
        <v>27</v>
      </c>
    </row>
    <row r="6" spans="1:15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 t="s">
        <v>28</v>
      </c>
      <c r="O6" s="48" t="s">
        <v>29</v>
      </c>
    </row>
    <row r="7" spans="1:15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</f>
        <v>1490000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f>16340+35940</f>
        <v>52280</v>
      </c>
      <c r="K7" s="11">
        <f>26070+26070-52140</f>
        <v>0</v>
      </c>
      <c r="L7" s="11">
        <v>43920</v>
      </c>
      <c r="M7" s="11">
        <f>176150+343500</f>
        <v>519650</v>
      </c>
      <c r="N7" s="11">
        <f>ROUND(C7+D7+E7+I7+J7+M7+K7+L7,2)</f>
        <v>16761930</v>
      </c>
      <c r="O7" s="12">
        <f>ROUND(H7+N7,2)</f>
        <v>18345380</v>
      </c>
    </row>
    <row r="8" spans="1:15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f>6000-112.47</f>
        <v>5887.53</v>
      </c>
      <c r="K8" s="17">
        <v>0</v>
      </c>
      <c r="L8" s="17">
        <v>0</v>
      </c>
      <c r="M8" s="17">
        <f>60000+10581.67</f>
        <v>70581.67</v>
      </c>
      <c r="N8" s="11">
        <f aca="true" t="shared" si="1" ref="N8:N33">ROUND(C8+D8+E8+I8+J8+M8+K8+L8,2)</f>
        <v>2063819.26</v>
      </c>
      <c r="O8" s="12">
        <f aca="true" t="shared" si="2" ref="O8:O33">ROUND(H8+N8,2)</f>
        <v>2203307.26</v>
      </c>
    </row>
    <row r="9" spans="1:15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f>6000+112.47-2327.62</f>
        <v>3784.8500000000004</v>
      </c>
      <c r="K9" s="16">
        <v>0</v>
      </c>
      <c r="L9" s="16">
        <f>21960-7328.34</f>
        <v>14631.66</v>
      </c>
      <c r="M9" s="16">
        <f>60000-10581.67+4628.64</f>
        <v>54046.97</v>
      </c>
      <c r="N9" s="11">
        <f t="shared" si="1"/>
        <v>1844084.76</v>
      </c>
      <c r="O9" s="12">
        <f t="shared" si="2"/>
        <v>1966964.76</v>
      </c>
    </row>
    <row r="10" spans="1:15" s="19" customFormat="1" ht="33" customHeight="1">
      <c r="A10" s="52">
        <v>4</v>
      </c>
      <c r="B10" s="15" t="s">
        <v>33</v>
      </c>
      <c r="C10" s="16">
        <f>510000+213524.84</f>
        <v>723524.84</v>
      </c>
      <c r="D10" s="16">
        <f>100000-252.16</f>
        <v>99747.84</v>
      </c>
      <c r="E10" s="17">
        <f>1175060-201136.23</f>
        <v>973923.77</v>
      </c>
      <c r="F10" s="17">
        <f>123810+4132</f>
        <v>127942</v>
      </c>
      <c r="G10" s="17">
        <f>6060-500</f>
        <v>5560</v>
      </c>
      <c r="H10" s="18">
        <f t="shared" si="0"/>
        <v>133502</v>
      </c>
      <c r="I10" s="17">
        <f>16900+4892.21</f>
        <v>21792.21</v>
      </c>
      <c r="J10" s="17">
        <f>4340+2327.62</f>
        <v>6667.62</v>
      </c>
      <c r="K10" s="17">
        <v>0</v>
      </c>
      <c r="L10" s="17">
        <f>21960+7328.34</f>
        <v>29288.34</v>
      </c>
      <c r="M10" s="17">
        <f>56150-4628.64</f>
        <v>51521.36</v>
      </c>
      <c r="N10" s="11">
        <f t="shared" si="1"/>
        <v>1906465.98</v>
      </c>
      <c r="O10" s="12">
        <f t="shared" si="2"/>
        <v>2039967.98</v>
      </c>
    </row>
    <row r="11" spans="1:15" s="20" customFormat="1" ht="25.5">
      <c r="A11" s="53" t="s">
        <v>4</v>
      </c>
      <c r="B11" s="54" t="s">
        <v>34</v>
      </c>
      <c r="C11" s="18">
        <f>SUM(C8:C10)</f>
        <v>1530000</v>
      </c>
      <c r="D11" s="18">
        <f aca="true" t="shared" si="3" ref="D11:M11">SUM(D8:D10)</f>
        <v>220000</v>
      </c>
      <c r="E11" s="18">
        <f t="shared" si="3"/>
        <v>3775060</v>
      </c>
      <c r="F11" s="18">
        <f t="shared" si="3"/>
        <v>373810</v>
      </c>
      <c r="G11" s="18">
        <f t="shared" si="3"/>
        <v>22060</v>
      </c>
      <c r="H11" s="18">
        <f t="shared" si="3"/>
        <v>395870</v>
      </c>
      <c r="I11" s="18">
        <f t="shared" si="3"/>
        <v>52900</v>
      </c>
      <c r="J11" s="18">
        <f t="shared" si="3"/>
        <v>16340</v>
      </c>
      <c r="K11" s="18">
        <f t="shared" si="3"/>
        <v>0</v>
      </c>
      <c r="L11" s="18">
        <f t="shared" si="3"/>
        <v>43920</v>
      </c>
      <c r="M11" s="18">
        <f t="shared" si="3"/>
        <v>176150</v>
      </c>
      <c r="N11" s="11">
        <f t="shared" si="1"/>
        <v>5814370</v>
      </c>
      <c r="O11" s="12">
        <f t="shared" si="2"/>
        <v>6210240</v>
      </c>
    </row>
    <row r="12" spans="1:15" s="19" customFormat="1" ht="12.75">
      <c r="A12" s="14">
        <v>6</v>
      </c>
      <c r="B12" s="55" t="s">
        <v>35</v>
      </c>
      <c r="C12" s="16"/>
      <c r="D12" s="16"/>
      <c r="E12" s="17"/>
      <c r="F12" s="17"/>
      <c r="G12" s="17"/>
      <c r="H12" s="18">
        <f t="shared" si="0"/>
        <v>0</v>
      </c>
      <c r="I12" s="17"/>
      <c r="J12" s="17"/>
      <c r="K12" s="17"/>
      <c r="L12" s="17"/>
      <c r="M12" s="17"/>
      <c r="N12" s="11">
        <f t="shared" si="1"/>
        <v>0</v>
      </c>
      <c r="O12" s="12">
        <f t="shared" si="2"/>
        <v>0</v>
      </c>
    </row>
    <row r="13" spans="1:15" s="19" customFormat="1" ht="12.75">
      <c r="A13" s="14">
        <v>7</v>
      </c>
      <c r="B13" s="15" t="s">
        <v>36</v>
      </c>
      <c r="C13" s="16"/>
      <c r="D13" s="16"/>
      <c r="E13" s="17"/>
      <c r="F13" s="17"/>
      <c r="G13" s="17"/>
      <c r="H13" s="18">
        <f t="shared" si="0"/>
        <v>0</v>
      </c>
      <c r="I13" s="17"/>
      <c r="J13" s="17"/>
      <c r="K13" s="17"/>
      <c r="L13" s="17"/>
      <c r="M13" s="17"/>
      <c r="N13" s="11">
        <f t="shared" si="1"/>
        <v>0</v>
      </c>
      <c r="O13" s="12">
        <f t="shared" si="2"/>
        <v>0</v>
      </c>
    </row>
    <row r="14" spans="1:15" s="13" customFormat="1" ht="12.75">
      <c r="A14" s="14">
        <v>8</v>
      </c>
      <c r="B14" s="56" t="s">
        <v>37</v>
      </c>
      <c r="C14" s="16"/>
      <c r="D14" s="16"/>
      <c r="E14" s="17"/>
      <c r="F14" s="17"/>
      <c r="G14" s="17"/>
      <c r="H14" s="18">
        <f t="shared" si="0"/>
        <v>0</v>
      </c>
      <c r="I14" s="17"/>
      <c r="J14" s="17"/>
      <c r="K14" s="17"/>
      <c r="L14" s="17"/>
      <c r="M14" s="17"/>
      <c r="N14" s="11">
        <f t="shared" si="1"/>
        <v>0</v>
      </c>
      <c r="O14" s="12">
        <f t="shared" si="2"/>
        <v>0</v>
      </c>
    </row>
    <row r="15" spans="1:15" s="19" customFormat="1" ht="25.5">
      <c r="A15" s="57" t="s">
        <v>5</v>
      </c>
      <c r="B15" s="54" t="s">
        <v>38</v>
      </c>
      <c r="C15" s="18">
        <f aca="true" t="shared" si="4" ref="C15:M15">SUM(C12:C14)</f>
        <v>0</v>
      </c>
      <c r="D15" s="18">
        <f t="shared" si="4"/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1">
        <f t="shared" si="1"/>
        <v>0</v>
      </c>
      <c r="O15" s="12">
        <f t="shared" si="2"/>
        <v>0</v>
      </c>
    </row>
    <row r="16" spans="1:15" s="20" customFormat="1" ht="12.75">
      <c r="A16" s="53" t="s">
        <v>6</v>
      </c>
      <c r="B16" s="58" t="s">
        <v>39</v>
      </c>
      <c r="C16" s="18">
        <f aca="true" t="shared" si="5" ref="C16:M16">C11+C15</f>
        <v>1530000</v>
      </c>
      <c r="D16" s="18">
        <f t="shared" si="5"/>
        <v>220000</v>
      </c>
      <c r="E16" s="18">
        <f t="shared" si="5"/>
        <v>3775060</v>
      </c>
      <c r="F16" s="18">
        <f t="shared" si="5"/>
        <v>373810</v>
      </c>
      <c r="G16" s="18">
        <f t="shared" si="5"/>
        <v>22060</v>
      </c>
      <c r="H16" s="18">
        <f t="shared" si="5"/>
        <v>395870</v>
      </c>
      <c r="I16" s="18">
        <f t="shared" si="5"/>
        <v>52900</v>
      </c>
      <c r="J16" s="18">
        <f t="shared" si="5"/>
        <v>16340</v>
      </c>
      <c r="K16" s="18">
        <f t="shared" si="5"/>
        <v>0</v>
      </c>
      <c r="L16" s="18">
        <f t="shared" si="5"/>
        <v>43920</v>
      </c>
      <c r="M16" s="18">
        <f t="shared" si="5"/>
        <v>176150</v>
      </c>
      <c r="N16" s="11">
        <f t="shared" si="1"/>
        <v>5814370</v>
      </c>
      <c r="O16" s="12">
        <f t="shared" si="2"/>
        <v>6210240</v>
      </c>
    </row>
    <row r="17" spans="1:15" s="13" customFormat="1" ht="12.75">
      <c r="A17" s="14">
        <v>11</v>
      </c>
      <c r="B17" s="15" t="s">
        <v>40</v>
      </c>
      <c r="C17" s="16"/>
      <c r="D17" s="16"/>
      <c r="E17" s="59"/>
      <c r="F17" s="17"/>
      <c r="G17" s="17"/>
      <c r="H17" s="18">
        <f t="shared" si="0"/>
        <v>0</v>
      </c>
      <c r="I17" s="60"/>
      <c r="J17" s="17"/>
      <c r="K17" s="17"/>
      <c r="L17" s="17"/>
      <c r="M17" s="17"/>
      <c r="N17" s="11">
        <f t="shared" si="1"/>
        <v>0</v>
      </c>
      <c r="O17" s="12">
        <f t="shared" si="2"/>
        <v>0</v>
      </c>
    </row>
    <row r="18" spans="1:15" s="19" customFormat="1" ht="12.75">
      <c r="A18" s="14">
        <v>12</v>
      </c>
      <c r="B18" s="15" t="s">
        <v>41</v>
      </c>
      <c r="C18" s="16"/>
      <c r="D18" s="38"/>
      <c r="E18" s="39"/>
      <c r="F18" s="39"/>
      <c r="G18" s="39"/>
      <c r="H18" s="18">
        <f t="shared" si="0"/>
        <v>0</v>
      </c>
      <c r="I18" s="17"/>
      <c r="J18" s="17"/>
      <c r="K18" s="17"/>
      <c r="L18" s="17"/>
      <c r="M18" s="39"/>
      <c r="N18" s="11">
        <f t="shared" si="1"/>
        <v>0</v>
      </c>
      <c r="O18" s="12">
        <f t="shared" si="2"/>
        <v>0</v>
      </c>
    </row>
    <row r="19" spans="1:15" s="21" customFormat="1" ht="12.75">
      <c r="A19" s="14">
        <v>13</v>
      </c>
      <c r="B19" s="43" t="s">
        <v>42</v>
      </c>
      <c r="C19" s="16"/>
      <c r="D19" s="38"/>
      <c r="E19" s="61"/>
      <c r="F19" s="39"/>
      <c r="G19" s="38"/>
      <c r="H19" s="18">
        <f t="shared" si="0"/>
        <v>0</v>
      </c>
      <c r="I19" s="40"/>
      <c r="J19" s="17"/>
      <c r="K19" s="17"/>
      <c r="L19" s="17"/>
      <c r="M19" s="39"/>
      <c r="N19" s="11">
        <f t="shared" si="1"/>
        <v>0</v>
      </c>
      <c r="O19" s="12">
        <f t="shared" si="2"/>
        <v>0</v>
      </c>
    </row>
    <row r="20" spans="1:15" s="22" customFormat="1" ht="25.5">
      <c r="A20" s="53" t="s">
        <v>9</v>
      </c>
      <c r="B20" s="58" t="s">
        <v>43</v>
      </c>
      <c r="C20" s="62">
        <f>ROUND(C17+C18+C19,2)</f>
        <v>0</v>
      </c>
      <c r="D20" s="62">
        <f aca="true" t="shared" si="6" ref="D20:M20">ROUND(D17+D18+D19,2)</f>
        <v>0</v>
      </c>
      <c r="E20" s="62">
        <f t="shared" si="6"/>
        <v>0</v>
      </c>
      <c r="F20" s="62">
        <f t="shared" si="6"/>
        <v>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 t="shared" si="6"/>
        <v>0</v>
      </c>
      <c r="K20" s="62">
        <f t="shared" si="6"/>
        <v>0</v>
      </c>
      <c r="L20" s="62">
        <f t="shared" si="6"/>
        <v>0</v>
      </c>
      <c r="M20" s="62">
        <f t="shared" si="6"/>
        <v>0</v>
      </c>
      <c r="N20" s="11">
        <f t="shared" si="1"/>
        <v>0</v>
      </c>
      <c r="O20" s="12">
        <f t="shared" si="2"/>
        <v>0</v>
      </c>
    </row>
    <row r="21" spans="1:15" s="22" customFormat="1" ht="25.5">
      <c r="A21" s="53" t="s">
        <v>10</v>
      </c>
      <c r="B21" s="58" t="s">
        <v>44</v>
      </c>
      <c r="C21" s="62">
        <f>ROUND(C16+C20,2)</f>
        <v>1530000</v>
      </c>
      <c r="D21" s="62">
        <f aca="true" t="shared" si="7" ref="D21:M21">ROUND(D16+D20,2)</f>
        <v>220000</v>
      </c>
      <c r="E21" s="62">
        <f t="shared" si="7"/>
        <v>3775060</v>
      </c>
      <c r="F21" s="62">
        <f t="shared" si="7"/>
        <v>373810</v>
      </c>
      <c r="G21" s="62">
        <f t="shared" si="7"/>
        <v>22060</v>
      </c>
      <c r="H21" s="62">
        <f t="shared" si="7"/>
        <v>395870</v>
      </c>
      <c r="I21" s="62">
        <f t="shared" si="7"/>
        <v>52900</v>
      </c>
      <c r="J21" s="62">
        <f t="shared" si="7"/>
        <v>16340</v>
      </c>
      <c r="K21" s="62">
        <f t="shared" si="7"/>
        <v>0</v>
      </c>
      <c r="L21" s="62">
        <f t="shared" si="7"/>
        <v>43920</v>
      </c>
      <c r="M21" s="62">
        <f t="shared" si="7"/>
        <v>176150</v>
      </c>
      <c r="N21" s="11">
        <f t="shared" si="1"/>
        <v>5814370</v>
      </c>
      <c r="O21" s="12">
        <f t="shared" si="2"/>
        <v>6210240</v>
      </c>
    </row>
    <row r="22" spans="1:15" s="21" customFormat="1" ht="12.75">
      <c r="A22" s="14">
        <v>16</v>
      </c>
      <c r="B22" s="63" t="s">
        <v>45</v>
      </c>
      <c r="C22" s="16"/>
      <c r="D22" s="38"/>
      <c r="E22" s="41"/>
      <c r="F22" s="39"/>
      <c r="G22" s="38"/>
      <c r="H22" s="18">
        <f t="shared" si="0"/>
        <v>0</v>
      </c>
      <c r="I22" s="40"/>
      <c r="J22" s="39"/>
      <c r="K22" s="39"/>
      <c r="L22" s="39"/>
      <c r="M22" s="39"/>
      <c r="N22" s="11">
        <f t="shared" si="1"/>
        <v>0</v>
      </c>
      <c r="O22" s="12">
        <f t="shared" si="2"/>
        <v>0</v>
      </c>
    </row>
    <row r="23" spans="1:15" s="21" customFormat="1" ht="12.75">
      <c r="A23" s="14">
        <v>17</v>
      </c>
      <c r="B23" s="43" t="s">
        <v>46</v>
      </c>
      <c r="C23" s="61"/>
      <c r="D23" s="40"/>
      <c r="E23" s="40"/>
      <c r="F23" s="41"/>
      <c r="G23" s="38"/>
      <c r="H23" s="18">
        <f t="shared" si="0"/>
        <v>0</v>
      </c>
      <c r="I23" s="40"/>
      <c r="J23" s="39"/>
      <c r="K23" s="39"/>
      <c r="L23" s="39"/>
      <c r="M23" s="39"/>
      <c r="N23" s="11">
        <f t="shared" si="1"/>
        <v>0</v>
      </c>
      <c r="O23" s="12">
        <f t="shared" si="2"/>
        <v>0</v>
      </c>
    </row>
    <row r="24" spans="1:15" s="21" customFormat="1" ht="12.75">
      <c r="A24" s="14">
        <v>18</v>
      </c>
      <c r="B24" s="43" t="s">
        <v>47</v>
      </c>
      <c r="C24" s="61"/>
      <c r="D24" s="40"/>
      <c r="E24" s="40"/>
      <c r="F24" s="41"/>
      <c r="G24" s="38"/>
      <c r="H24" s="18">
        <f t="shared" si="0"/>
        <v>0</v>
      </c>
      <c r="I24" s="40"/>
      <c r="J24" s="40"/>
      <c r="K24" s="40"/>
      <c r="L24" s="40"/>
      <c r="M24" s="61"/>
      <c r="N24" s="11">
        <f t="shared" si="1"/>
        <v>0</v>
      </c>
      <c r="O24" s="12">
        <f t="shared" si="2"/>
        <v>0</v>
      </c>
    </row>
    <row r="25" spans="1:15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M25">ROUND(D22+D23+D24,2)</f>
        <v>0</v>
      </c>
      <c r="E25" s="62">
        <f t="shared" si="8"/>
        <v>0</v>
      </c>
      <c r="F25" s="62">
        <f t="shared" si="8"/>
        <v>0</v>
      </c>
      <c r="G25" s="62">
        <f t="shared" si="8"/>
        <v>0</v>
      </c>
      <c r="H25" s="62">
        <f t="shared" si="8"/>
        <v>0</v>
      </c>
      <c r="I25" s="62">
        <f t="shared" si="8"/>
        <v>0</v>
      </c>
      <c r="J25" s="62">
        <f t="shared" si="8"/>
        <v>0</v>
      </c>
      <c r="K25" s="62">
        <f t="shared" si="8"/>
        <v>0</v>
      </c>
      <c r="L25" s="62">
        <f t="shared" si="8"/>
        <v>0</v>
      </c>
      <c r="M25" s="62">
        <f t="shared" si="8"/>
        <v>0</v>
      </c>
      <c r="N25" s="11">
        <f t="shared" si="1"/>
        <v>0</v>
      </c>
      <c r="O25" s="12">
        <f t="shared" si="2"/>
        <v>0</v>
      </c>
    </row>
    <row r="26" spans="1:15" s="22" customFormat="1" ht="38.25">
      <c r="A26" s="64" t="s">
        <v>11</v>
      </c>
      <c r="B26" s="65" t="s">
        <v>49</v>
      </c>
      <c r="C26" s="66">
        <f>ROUND(C11+C15+C20+C25,2)</f>
        <v>1530000</v>
      </c>
      <c r="D26" s="66">
        <f aca="true" t="shared" si="9" ref="D26:M26">ROUND(D11+D15+D20+D25,2)</f>
        <v>220000</v>
      </c>
      <c r="E26" s="66">
        <f t="shared" si="9"/>
        <v>3775060</v>
      </c>
      <c r="F26" s="66">
        <f t="shared" si="9"/>
        <v>373810</v>
      </c>
      <c r="G26" s="66">
        <f t="shared" si="9"/>
        <v>22060</v>
      </c>
      <c r="H26" s="66">
        <f t="shared" si="9"/>
        <v>395870</v>
      </c>
      <c r="I26" s="66">
        <f t="shared" si="9"/>
        <v>52900</v>
      </c>
      <c r="J26" s="66">
        <f t="shared" si="9"/>
        <v>16340</v>
      </c>
      <c r="K26" s="66">
        <f t="shared" si="9"/>
        <v>0</v>
      </c>
      <c r="L26" s="66">
        <f t="shared" si="9"/>
        <v>43920</v>
      </c>
      <c r="M26" s="66">
        <f t="shared" si="9"/>
        <v>176150</v>
      </c>
      <c r="N26" s="67">
        <f t="shared" si="1"/>
        <v>5814370</v>
      </c>
      <c r="O26" s="68">
        <f t="shared" si="2"/>
        <v>6210240</v>
      </c>
    </row>
    <row r="27" spans="1:16" s="19" customFormat="1" ht="39.75" customHeight="1">
      <c r="A27" s="69" t="s">
        <v>74</v>
      </c>
      <c r="B27" s="27" t="s">
        <v>50</v>
      </c>
      <c r="C27" s="17">
        <f>ROUND(C8+C9,2)</f>
        <v>806475.16</v>
      </c>
      <c r="D27" s="17">
        <f aca="true" t="shared" si="10" ref="D27:M27">ROUND(D8+D9,2)</f>
        <v>120252.16</v>
      </c>
      <c r="E27" s="17">
        <f t="shared" si="10"/>
        <v>2801136.23</v>
      </c>
      <c r="F27" s="17">
        <f t="shared" si="10"/>
        <v>245868</v>
      </c>
      <c r="G27" s="17">
        <f t="shared" si="10"/>
        <v>16500</v>
      </c>
      <c r="H27" s="18">
        <f t="shared" si="0"/>
        <v>262368</v>
      </c>
      <c r="I27" s="17">
        <f t="shared" si="10"/>
        <v>31107.79</v>
      </c>
      <c r="J27" s="17">
        <f t="shared" si="10"/>
        <v>9672.38</v>
      </c>
      <c r="K27" s="17">
        <f t="shared" si="10"/>
        <v>0</v>
      </c>
      <c r="L27" s="17">
        <f t="shared" si="10"/>
        <v>14631.66</v>
      </c>
      <c r="M27" s="17">
        <f t="shared" si="10"/>
        <v>124628.64</v>
      </c>
      <c r="N27" s="11">
        <f t="shared" si="1"/>
        <v>3907904.02</v>
      </c>
      <c r="O27" s="12">
        <f t="shared" si="2"/>
        <v>4170272.02</v>
      </c>
      <c r="P27" s="23"/>
    </row>
    <row r="28" spans="1:16" s="25" customFormat="1" ht="25.5">
      <c r="A28" s="14" t="s">
        <v>75</v>
      </c>
      <c r="B28" s="24" t="s">
        <v>76</v>
      </c>
      <c r="C28" s="17">
        <f>ROUND(C26-C27,2)</f>
        <v>723524.84</v>
      </c>
      <c r="D28" s="17">
        <f>ROUND(D26-D27,2)</f>
        <v>99747.84</v>
      </c>
      <c r="E28" s="17">
        <f>ROUND(E26-E27,2)</f>
        <v>973923.77</v>
      </c>
      <c r="F28" s="17">
        <f>ROUND(F26-F27,2)</f>
        <v>127942</v>
      </c>
      <c r="G28" s="17">
        <f>ROUND(G26-G27,2)</f>
        <v>5560</v>
      </c>
      <c r="H28" s="18">
        <f t="shared" si="0"/>
        <v>133502</v>
      </c>
      <c r="I28" s="17">
        <f>ROUND(I26-I27,2)</f>
        <v>21792.21</v>
      </c>
      <c r="J28" s="17">
        <f>ROUND(J26-J27,2)</f>
        <v>6667.62</v>
      </c>
      <c r="K28" s="17">
        <f>ROUND(K26-K27,2)</f>
        <v>0</v>
      </c>
      <c r="L28" s="17">
        <f>ROUND(L26-L27,2)</f>
        <v>29288.34</v>
      </c>
      <c r="M28" s="17">
        <f>ROUND(M26-M27,2)</f>
        <v>51521.36</v>
      </c>
      <c r="N28" s="11">
        <f t="shared" si="1"/>
        <v>1906465.98</v>
      </c>
      <c r="O28" s="12">
        <f t="shared" si="2"/>
        <v>2039967.98</v>
      </c>
      <c r="P28" s="23"/>
    </row>
    <row r="29" spans="1:16" s="25" customFormat="1" ht="26.25" customHeight="1">
      <c r="A29" s="70">
        <v>23</v>
      </c>
      <c r="B29" s="71" t="s">
        <v>64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11">
        <f t="shared" si="1"/>
        <v>0</v>
      </c>
      <c r="O29" s="12">
        <f>ROUND(H29+N29,2)</f>
        <v>0</v>
      </c>
      <c r="P29" s="75"/>
    </row>
    <row r="30" spans="1:16" s="20" customFormat="1" ht="26.25" customHeight="1">
      <c r="A30" s="85" t="s">
        <v>65</v>
      </c>
      <c r="B30" s="86" t="s">
        <v>66</v>
      </c>
      <c r="C30" s="87">
        <f>ROUND(C7-C11,2)</f>
        <v>2952890</v>
      </c>
      <c r="D30" s="87">
        <f aca="true" t="shared" si="11" ref="D30:M30">ROUND(D7-D11,2)</f>
        <v>1270000</v>
      </c>
      <c r="E30" s="87">
        <f t="shared" si="11"/>
        <v>6228850</v>
      </c>
      <c r="F30" s="87">
        <f t="shared" si="11"/>
        <v>1121410</v>
      </c>
      <c r="G30" s="87">
        <f t="shared" si="11"/>
        <v>66170</v>
      </c>
      <c r="H30" s="18">
        <f t="shared" si="0"/>
        <v>1187580</v>
      </c>
      <c r="I30" s="87">
        <f t="shared" si="11"/>
        <v>116380</v>
      </c>
      <c r="J30" s="87">
        <f t="shared" si="11"/>
        <v>35940</v>
      </c>
      <c r="K30" s="87">
        <f t="shared" si="11"/>
        <v>0</v>
      </c>
      <c r="L30" s="87">
        <f t="shared" si="11"/>
        <v>0</v>
      </c>
      <c r="M30" s="87">
        <f t="shared" si="11"/>
        <v>343500</v>
      </c>
      <c r="N30" s="11">
        <f>ROUND(C30+D30+E30+I30+J30+M30+K30+L30,2)</f>
        <v>10947560</v>
      </c>
      <c r="O30" s="12">
        <f>ROUND(H30+N30,2)</f>
        <v>12135140</v>
      </c>
      <c r="P30" s="88"/>
    </row>
    <row r="31" spans="1:16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5099.02</v>
      </c>
      <c r="K31" s="17">
        <v>0</v>
      </c>
      <c r="L31" s="17">
        <v>0</v>
      </c>
      <c r="M31" s="17">
        <v>57342.3</v>
      </c>
      <c r="N31" s="11">
        <f t="shared" si="1"/>
        <v>1880897.94</v>
      </c>
      <c r="O31" s="12">
        <f t="shared" si="2"/>
        <v>2011842.14</v>
      </c>
      <c r="P31" s="23"/>
    </row>
    <row r="32" spans="1:16" s="13" customFormat="1" ht="38.25">
      <c r="A32" s="14" t="s">
        <v>68</v>
      </c>
      <c r="B32" s="27" t="s">
        <v>55</v>
      </c>
      <c r="C32" s="17">
        <f>ROUND((C27)/2,2)</f>
        <v>403237.58</v>
      </c>
      <c r="D32" s="17">
        <f aca="true" t="shared" si="12" ref="D32:M32">ROUND((D27)/2,2)</f>
        <v>60126.08</v>
      </c>
      <c r="E32" s="17">
        <f t="shared" si="12"/>
        <v>1400568.12</v>
      </c>
      <c r="F32" s="17">
        <f t="shared" si="12"/>
        <v>122934</v>
      </c>
      <c r="G32" s="17">
        <f t="shared" si="12"/>
        <v>8250</v>
      </c>
      <c r="H32" s="26">
        <f t="shared" si="0"/>
        <v>131184</v>
      </c>
      <c r="I32" s="17">
        <f t="shared" si="12"/>
        <v>15553.9</v>
      </c>
      <c r="J32" s="17">
        <f t="shared" si="12"/>
        <v>4836.19</v>
      </c>
      <c r="K32" s="17">
        <f t="shared" si="12"/>
        <v>0</v>
      </c>
      <c r="L32" s="17">
        <f t="shared" si="12"/>
        <v>7315.83</v>
      </c>
      <c r="M32" s="17">
        <f t="shared" si="12"/>
        <v>62314.32</v>
      </c>
      <c r="N32" s="11">
        <f t="shared" si="1"/>
        <v>1953952.02</v>
      </c>
      <c r="O32" s="12">
        <f t="shared" si="2"/>
        <v>2085136.02</v>
      </c>
      <c r="P32" s="23"/>
    </row>
    <row r="33" spans="1:16" s="13" customFormat="1" ht="39" customHeight="1">
      <c r="A33" s="14" t="s">
        <v>69</v>
      </c>
      <c r="B33" s="27" t="s">
        <v>57</v>
      </c>
      <c r="C33" s="60">
        <f aca="true" t="shared" si="13" ref="C33:K33">ROUND(C32*12-C7,2)</f>
        <v>355960.96</v>
      </c>
      <c r="D33" s="60">
        <f t="shared" si="13"/>
        <v>-768487.04</v>
      </c>
      <c r="E33" s="60">
        <f t="shared" si="13"/>
        <v>6802907.44</v>
      </c>
      <c r="F33" s="60">
        <f t="shared" si="13"/>
        <v>-20012</v>
      </c>
      <c r="G33" s="60">
        <f t="shared" si="13"/>
        <v>10770</v>
      </c>
      <c r="H33" s="76">
        <f t="shared" si="13"/>
        <v>-9242</v>
      </c>
      <c r="I33" s="60">
        <f t="shared" si="13"/>
        <v>17366.8</v>
      </c>
      <c r="J33" s="60">
        <f t="shared" si="13"/>
        <v>5754.28</v>
      </c>
      <c r="K33" s="60">
        <f t="shared" si="13"/>
        <v>0</v>
      </c>
      <c r="L33" s="60">
        <f>ROUND(L32*12-L7,2)</f>
        <v>43869.96</v>
      </c>
      <c r="M33" s="60">
        <f>ROUND(M32*12-M7,2)</f>
        <v>228121.84</v>
      </c>
      <c r="N33" s="11">
        <f t="shared" si="1"/>
        <v>6685494.24</v>
      </c>
      <c r="O33" s="12">
        <f t="shared" si="2"/>
        <v>6676252.24</v>
      </c>
      <c r="P33" s="23"/>
    </row>
    <row r="34" spans="1:16" s="29" customFormat="1" ht="26.25" thickBot="1">
      <c r="A34" s="77" t="s">
        <v>70</v>
      </c>
      <c r="B34" s="78" t="s">
        <v>59</v>
      </c>
      <c r="C34" s="79">
        <f aca="true" t="shared" si="14" ref="C34:O34">ROUND(C7+C33,2)</f>
        <v>4838850.96</v>
      </c>
      <c r="D34" s="80">
        <f t="shared" si="14"/>
        <v>721512.96</v>
      </c>
      <c r="E34" s="80">
        <f t="shared" si="14"/>
        <v>16806817.44</v>
      </c>
      <c r="F34" s="80">
        <f t="shared" si="14"/>
        <v>1475208</v>
      </c>
      <c r="G34" s="80">
        <f t="shared" si="14"/>
        <v>99000</v>
      </c>
      <c r="H34" s="81">
        <f t="shared" si="14"/>
        <v>1574208</v>
      </c>
      <c r="I34" s="80">
        <f t="shared" si="14"/>
        <v>186646.8</v>
      </c>
      <c r="J34" s="80">
        <f t="shared" si="14"/>
        <v>58034.28</v>
      </c>
      <c r="K34" s="80">
        <f t="shared" si="14"/>
        <v>0</v>
      </c>
      <c r="L34" s="80">
        <f t="shared" si="14"/>
        <v>87789.96</v>
      </c>
      <c r="M34" s="80">
        <f t="shared" si="14"/>
        <v>747771.84</v>
      </c>
      <c r="N34" s="81">
        <f t="shared" si="14"/>
        <v>23447424.24</v>
      </c>
      <c r="O34" s="82">
        <f t="shared" si="14"/>
        <v>25021632.24</v>
      </c>
      <c r="P34" s="28"/>
    </row>
    <row r="35" spans="1:16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28"/>
    </row>
    <row r="36" spans="3:12" ht="15.75">
      <c r="C36" s="84"/>
      <c r="D36" s="37"/>
      <c r="E36" s="19"/>
      <c r="G36" s="35"/>
      <c r="H36" s="35"/>
      <c r="I36" s="34"/>
      <c r="J36" s="42"/>
      <c r="K36" s="42"/>
      <c r="L36" s="42"/>
    </row>
    <row r="37" spans="3:12" ht="15.75">
      <c r="C37" s="84"/>
      <c r="D37" s="37"/>
      <c r="E37" s="19"/>
      <c r="J37" s="42"/>
      <c r="K37" s="42"/>
      <c r="L37" s="42"/>
    </row>
    <row r="38" spans="3:16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3:16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3:16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2">
    <mergeCell ref="A2:O2"/>
    <mergeCell ref="A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H38" sqref="H38"/>
    </sheetView>
  </sheetViews>
  <sheetFormatPr defaultColWidth="9.140625" defaultRowHeight="12.75"/>
  <cols>
    <col min="1" max="1" width="7.140625" style="1" customWidth="1"/>
    <col min="2" max="2" width="34.14062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77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</f>
        <v>1490000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v>11180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</f>
        <v>519650</v>
      </c>
      <c r="O7" s="11">
        <f>ROUND(C7+D7+E7+I7+J7+K7+N7+L7+M7,2)</f>
        <v>16824690</v>
      </c>
      <c r="P7" s="12">
        <f>ROUND(H7+O7,2)</f>
        <v>18408140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33" customHeight="1">
      <c r="A10" s="52">
        <v>4</v>
      </c>
      <c r="B10" s="15" t="s">
        <v>33</v>
      </c>
      <c r="C10" s="16">
        <f>510000+213524.84</f>
        <v>723524.84</v>
      </c>
      <c r="D10" s="16">
        <f>100000-252.16</f>
        <v>99747.84</v>
      </c>
      <c r="E10" s="89">
        <f>1175060-201136.23+700940</f>
        <v>1674863.77</v>
      </c>
      <c r="F10" s="89">
        <f>123810+4132+21700</f>
        <v>149642</v>
      </c>
      <c r="G10" s="89">
        <f>6060-500+2690</f>
        <v>8250</v>
      </c>
      <c r="H10" s="18">
        <f t="shared" si="0"/>
        <v>157892</v>
      </c>
      <c r="I10" s="17">
        <f>16900+4892.21</f>
        <v>21792.21</v>
      </c>
      <c r="J10" s="17">
        <v>0</v>
      </c>
      <c r="K10" s="89">
        <f>4340+2327.62+7660</f>
        <v>14327.619999999999</v>
      </c>
      <c r="L10" s="17">
        <v>0</v>
      </c>
      <c r="M10" s="17">
        <f>21960+7328.34</f>
        <v>29288.34</v>
      </c>
      <c r="N10" s="17">
        <f>56150-4628.64</f>
        <v>51521.36</v>
      </c>
      <c r="O10" s="11">
        <f t="shared" si="1"/>
        <v>2615065.98</v>
      </c>
      <c r="P10" s="12">
        <f t="shared" si="2"/>
        <v>2772957.98</v>
      </c>
    </row>
    <row r="11" spans="1:16" s="20" customFormat="1" ht="25.5">
      <c r="A11" s="53" t="s">
        <v>4</v>
      </c>
      <c r="B11" s="54" t="s">
        <v>34</v>
      </c>
      <c r="C11" s="18">
        <f>SUM(C8:C10)</f>
        <v>1530000</v>
      </c>
      <c r="D11" s="18">
        <f aca="true" t="shared" si="3" ref="D11:N11">SUM(D8:D10)</f>
        <v>220000</v>
      </c>
      <c r="E11" s="18">
        <f t="shared" si="3"/>
        <v>4476000</v>
      </c>
      <c r="F11" s="18">
        <f t="shared" si="3"/>
        <v>395510</v>
      </c>
      <c r="G11" s="18">
        <f t="shared" si="3"/>
        <v>24750</v>
      </c>
      <c r="H11" s="18">
        <f t="shared" si="3"/>
        <v>420260</v>
      </c>
      <c r="I11" s="18">
        <f t="shared" si="3"/>
        <v>52900</v>
      </c>
      <c r="J11" s="18">
        <f>SUM(J8:J10)</f>
        <v>0</v>
      </c>
      <c r="K11" s="18">
        <f>SUM(K8:K10)</f>
        <v>24000</v>
      </c>
      <c r="L11" s="18">
        <f t="shared" si="3"/>
        <v>0</v>
      </c>
      <c r="M11" s="18">
        <f t="shared" si="3"/>
        <v>43920</v>
      </c>
      <c r="N11" s="18">
        <f t="shared" si="3"/>
        <v>176150</v>
      </c>
      <c r="O11" s="11">
        <f t="shared" si="1"/>
        <v>6522970</v>
      </c>
      <c r="P11" s="12">
        <f t="shared" si="2"/>
        <v>6943230</v>
      </c>
    </row>
    <row r="12" spans="1:16" s="19" customFormat="1" ht="12.75">
      <c r="A12" s="14">
        <v>6</v>
      </c>
      <c r="B12" s="55" t="s">
        <v>35</v>
      </c>
      <c r="C12" s="16"/>
      <c r="D12" s="16"/>
      <c r="E12" s="17"/>
      <c r="F12" s="17"/>
      <c r="G12" s="17"/>
      <c r="H12" s="18">
        <f t="shared" si="0"/>
        <v>0</v>
      </c>
      <c r="I12" s="17"/>
      <c r="J12" s="17"/>
      <c r="K12" s="17"/>
      <c r="L12" s="17"/>
      <c r="M12" s="17"/>
      <c r="N12" s="17"/>
      <c r="O12" s="11">
        <f t="shared" si="1"/>
        <v>0</v>
      </c>
      <c r="P12" s="12">
        <f t="shared" si="2"/>
        <v>0</v>
      </c>
    </row>
    <row r="13" spans="1:16" s="19" customFormat="1" ht="12.75">
      <c r="A13" s="14">
        <v>7</v>
      </c>
      <c r="B13" s="15" t="s">
        <v>36</v>
      </c>
      <c r="C13" s="16"/>
      <c r="D13" s="16"/>
      <c r="E13" s="17"/>
      <c r="F13" s="17"/>
      <c r="G13" s="17"/>
      <c r="H13" s="18">
        <f t="shared" si="0"/>
        <v>0</v>
      </c>
      <c r="I13" s="17"/>
      <c r="J13" s="17"/>
      <c r="K13" s="17"/>
      <c r="L13" s="17"/>
      <c r="M13" s="17"/>
      <c r="N13" s="17"/>
      <c r="O13" s="11">
        <f t="shared" si="1"/>
        <v>0</v>
      </c>
      <c r="P13" s="12">
        <f t="shared" si="2"/>
        <v>0</v>
      </c>
    </row>
    <row r="14" spans="1:16" s="13" customFormat="1" ht="12.75">
      <c r="A14" s="14">
        <v>8</v>
      </c>
      <c r="B14" s="56" t="s">
        <v>37</v>
      </c>
      <c r="C14" s="16"/>
      <c r="D14" s="16"/>
      <c r="E14" s="17"/>
      <c r="F14" s="17"/>
      <c r="G14" s="17"/>
      <c r="H14" s="18">
        <f t="shared" si="0"/>
        <v>0</v>
      </c>
      <c r="I14" s="17"/>
      <c r="J14" s="17"/>
      <c r="K14" s="17"/>
      <c r="L14" s="17"/>
      <c r="M14" s="17"/>
      <c r="N14" s="17"/>
      <c r="O14" s="11">
        <f t="shared" si="1"/>
        <v>0</v>
      </c>
      <c r="P14" s="12">
        <f t="shared" si="2"/>
        <v>0</v>
      </c>
    </row>
    <row r="15" spans="1:16" s="19" customFormat="1" ht="25.5">
      <c r="A15" s="57" t="s">
        <v>5</v>
      </c>
      <c r="B15" s="54" t="s">
        <v>38</v>
      </c>
      <c r="C15" s="18">
        <f aca="true" t="shared" si="4" ref="C15:N15">SUM(C12:C14)</f>
        <v>0</v>
      </c>
      <c r="D15" s="18">
        <f t="shared" si="4"/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>SUM(J12:J14)</f>
        <v>0</v>
      </c>
      <c r="K15" s="18">
        <f>SUM(K12:K14)</f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1">
        <f t="shared" si="1"/>
        <v>0</v>
      </c>
      <c r="P15" s="12">
        <f t="shared" si="2"/>
        <v>0</v>
      </c>
    </row>
    <row r="16" spans="1:16" s="20" customFormat="1" ht="12.75">
      <c r="A16" s="53" t="s">
        <v>6</v>
      </c>
      <c r="B16" s="58" t="s">
        <v>39</v>
      </c>
      <c r="C16" s="18">
        <f aca="true" t="shared" si="5" ref="C16:N16">C11+C15</f>
        <v>1530000</v>
      </c>
      <c r="D16" s="18">
        <f t="shared" si="5"/>
        <v>220000</v>
      </c>
      <c r="E16" s="18">
        <f t="shared" si="5"/>
        <v>4476000</v>
      </c>
      <c r="F16" s="18">
        <f t="shared" si="5"/>
        <v>395510</v>
      </c>
      <c r="G16" s="18">
        <f t="shared" si="5"/>
        <v>24750</v>
      </c>
      <c r="H16" s="18">
        <f t="shared" si="5"/>
        <v>420260</v>
      </c>
      <c r="I16" s="18">
        <f t="shared" si="5"/>
        <v>52900</v>
      </c>
      <c r="J16" s="18">
        <f>J11+J15</f>
        <v>0</v>
      </c>
      <c r="K16" s="18">
        <f>K11+K15</f>
        <v>24000</v>
      </c>
      <c r="L16" s="18">
        <f t="shared" si="5"/>
        <v>0</v>
      </c>
      <c r="M16" s="18">
        <f t="shared" si="5"/>
        <v>43920</v>
      </c>
      <c r="N16" s="18">
        <f t="shared" si="5"/>
        <v>176150</v>
      </c>
      <c r="O16" s="11">
        <f t="shared" si="1"/>
        <v>6522970</v>
      </c>
      <c r="P16" s="12">
        <f t="shared" si="2"/>
        <v>6943230</v>
      </c>
    </row>
    <row r="17" spans="1:16" s="13" customFormat="1" ht="12.75">
      <c r="A17" s="14">
        <v>11</v>
      </c>
      <c r="B17" s="15" t="s">
        <v>40</v>
      </c>
      <c r="C17" s="16"/>
      <c r="D17" s="16"/>
      <c r="E17" s="59"/>
      <c r="F17" s="17"/>
      <c r="G17" s="17"/>
      <c r="H17" s="18">
        <f t="shared" si="0"/>
        <v>0</v>
      </c>
      <c r="I17" s="60"/>
      <c r="J17" s="60"/>
      <c r="K17" s="17"/>
      <c r="L17" s="17"/>
      <c r="M17" s="17"/>
      <c r="N17" s="17"/>
      <c r="O17" s="11">
        <f t="shared" si="1"/>
        <v>0</v>
      </c>
      <c r="P17" s="12">
        <f t="shared" si="2"/>
        <v>0</v>
      </c>
    </row>
    <row r="18" spans="1:16" s="19" customFormat="1" ht="12.75">
      <c r="A18" s="14">
        <v>12</v>
      </c>
      <c r="B18" s="15" t="s">
        <v>41</v>
      </c>
      <c r="C18" s="16"/>
      <c r="D18" s="38"/>
      <c r="E18" s="39"/>
      <c r="F18" s="39"/>
      <c r="G18" s="39"/>
      <c r="H18" s="18">
        <f t="shared" si="0"/>
        <v>0</v>
      </c>
      <c r="I18" s="17"/>
      <c r="J18" s="17"/>
      <c r="K18" s="17"/>
      <c r="L18" s="17"/>
      <c r="M18" s="17"/>
      <c r="N18" s="39"/>
      <c r="O18" s="11">
        <f t="shared" si="1"/>
        <v>0</v>
      </c>
      <c r="P18" s="12">
        <f t="shared" si="2"/>
        <v>0</v>
      </c>
    </row>
    <row r="19" spans="1:16" s="21" customFormat="1" ht="12.75">
      <c r="A19" s="14">
        <v>13</v>
      </c>
      <c r="B19" s="43" t="s">
        <v>42</v>
      </c>
      <c r="C19" s="16"/>
      <c r="D19" s="38"/>
      <c r="E19" s="61"/>
      <c r="F19" s="39"/>
      <c r="G19" s="38"/>
      <c r="H19" s="18">
        <f t="shared" si="0"/>
        <v>0</v>
      </c>
      <c r="I19" s="40"/>
      <c r="J19" s="40"/>
      <c r="K19" s="17"/>
      <c r="L19" s="17"/>
      <c r="M19" s="17"/>
      <c r="N19" s="39"/>
      <c r="O19" s="11">
        <f t="shared" si="1"/>
        <v>0</v>
      </c>
      <c r="P19" s="12">
        <f t="shared" si="2"/>
        <v>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0</v>
      </c>
      <c r="D20" s="62">
        <f aca="true" t="shared" si="6" ref="D20:N20">ROUND(D17+D18+D19,2)</f>
        <v>0</v>
      </c>
      <c r="E20" s="62">
        <f t="shared" si="6"/>
        <v>0</v>
      </c>
      <c r="F20" s="62">
        <f t="shared" si="6"/>
        <v>0</v>
      </c>
      <c r="G20" s="62">
        <f t="shared" si="6"/>
        <v>0</v>
      </c>
      <c r="H20" s="62">
        <f t="shared" si="6"/>
        <v>0</v>
      </c>
      <c r="I20" s="62">
        <f t="shared" si="6"/>
        <v>0</v>
      </c>
      <c r="J20" s="62">
        <f>ROUND(J17+J18+J19,2)</f>
        <v>0</v>
      </c>
      <c r="K20" s="62">
        <f>ROUND(K17+K18+K19,2)</f>
        <v>0</v>
      </c>
      <c r="L20" s="62">
        <f t="shared" si="6"/>
        <v>0</v>
      </c>
      <c r="M20" s="62">
        <f t="shared" si="6"/>
        <v>0</v>
      </c>
      <c r="N20" s="62">
        <f t="shared" si="6"/>
        <v>0</v>
      </c>
      <c r="O20" s="11">
        <f t="shared" si="1"/>
        <v>0</v>
      </c>
      <c r="P20" s="12">
        <f t="shared" si="2"/>
        <v>0</v>
      </c>
    </row>
    <row r="21" spans="1:16" s="22" customFormat="1" ht="25.5">
      <c r="A21" s="53" t="s">
        <v>10</v>
      </c>
      <c r="B21" s="58" t="s">
        <v>44</v>
      </c>
      <c r="C21" s="62">
        <f>ROUND(C16+C20,2)</f>
        <v>1530000</v>
      </c>
      <c r="D21" s="62">
        <f aca="true" t="shared" si="7" ref="D21:N21">ROUND(D16+D20,2)</f>
        <v>220000</v>
      </c>
      <c r="E21" s="62">
        <f t="shared" si="7"/>
        <v>4476000</v>
      </c>
      <c r="F21" s="62">
        <f t="shared" si="7"/>
        <v>395510</v>
      </c>
      <c r="G21" s="62">
        <f t="shared" si="7"/>
        <v>24750</v>
      </c>
      <c r="H21" s="62">
        <f t="shared" si="7"/>
        <v>420260</v>
      </c>
      <c r="I21" s="62">
        <f t="shared" si="7"/>
        <v>52900</v>
      </c>
      <c r="J21" s="62">
        <f>ROUND(J16+J20,2)</f>
        <v>0</v>
      </c>
      <c r="K21" s="62">
        <f>ROUND(K16+K20,2)</f>
        <v>24000</v>
      </c>
      <c r="L21" s="62">
        <f t="shared" si="7"/>
        <v>0</v>
      </c>
      <c r="M21" s="62">
        <f t="shared" si="7"/>
        <v>43920</v>
      </c>
      <c r="N21" s="62">
        <f t="shared" si="7"/>
        <v>176150</v>
      </c>
      <c r="O21" s="11">
        <f t="shared" si="1"/>
        <v>6522970</v>
      </c>
      <c r="P21" s="12">
        <f t="shared" si="2"/>
        <v>6943230</v>
      </c>
    </row>
    <row r="22" spans="1:16" s="21" customFormat="1" ht="12.75">
      <c r="A22" s="14">
        <v>16</v>
      </c>
      <c r="B22" s="63" t="s">
        <v>45</v>
      </c>
      <c r="C22" s="16"/>
      <c r="D22" s="38"/>
      <c r="E22" s="41"/>
      <c r="F22" s="39"/>
      <c r="G22" s="38"/>
      <c r="H22" s="18">
        <f t="shared" si="0"/>
        <v>0</v>
      </c>
      <c r="I22" s="40"/>
      <c r="J22" s="40"/>
      <c r="K22" s="39"/>
      <c r="L22" s="39"/>
      <c r="M22" s="39"/>
      <c r="N22" s="39"/>
      <c r="O22" s="11">
        <f t="shared" si="1"/>
        <v>0</v>
      </c>
      <c r="P22" s="12">
        <f t="shared" si="2"/>
        <v>0</v>
      </c>
    </row>
    <row r="23" spans="1:16" s="21" customFormat="1" ht="12.75">
      <c r="A23" s="14">
        <v>17</v>
      </c>
      <c r="B23" s="43" t="s">
        <v>46</v>
      </c>
      <c r="C23" s="61"/>
      <c r="D23" s="40"/>
      <c r="E23" s="40"/>
      <c r="F23" s="41"/>
      <c r="G23" s="38"/>
      <c r="H23" s="18">
        <f t="shared" si="0"/>
        <v>0</v>
      </c>
      <c r="I23" s="40"/>
      <c r="J23" s="40"/>
      <c r="K23" s="39"/>
      <c r="L23" s="39"/>
      <c r="M23" s="39"/>
      <c r="N23" s="39"/>
      <c r="O23" s="11">
        <f t="shared" si="1"/>
        <v>0</v>
      </c>
      <c r="P23" s="12">
        <f t="shared" si="2"/>
        <v>0</v>
      </c>
    </row>
    <row r="24" spans="1:16" s="21" customFormat="1" ht="12.75">
      <c r="A24" s="14">
        <v>18</v>
      </c>
      <c r="B24" s="43" t="s">
        <v>47</v>
      </c>
      <c r="C24" s="61"/>
      <c r="D24" s="40"/>
      <c r="E24" s="40"/>
      <c r="F24" s="41"/>
      <c r="G24" s="38"/>
      <c r="H24" s="18">
        <f t="shared" si="0"/>
        <v>0</v>
      </c>
      <c r="I24" s="40"/>
      <c r="J24" s="40"/>
      <c r="K24" s="40"/>
      <c r="L24" s="40"/>
      <c r="M24" s="40"/>
      <c r="N24" s="61"/>
      <c r="O24" s="11">
        <f t="shared" si="1"/>
        <v>0</v>
      </c>
      <c r="P24" s="12">
        <f t="shared" si="2"/>
        <v>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0</v>
      </c>
      <c r="E25" s="62">
        <f t="shared" si="8"/>
        <v>0</v>
      </c>
      <c r="F25" s="62">
        <f t="shared" si="8"/>
        <v>0</v>
      </c>
      <c r="G25" s="62">
        <f t="shared" si="8"/>
        <v>0</v>
      </c>
      <c r="H25" s="62">
        <f t="shared" si="8"/>
        <v>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0</v>
      </c>
      <c r="N25" s="62">
        <f t="shared" si="8"/>
        <v>0</v>
      </c>
      <c r="O25" s="11">
        <f t="shared" si="1"/>
        <v>0</v>
      </c>
      <c r="P25" s="12">
        <f t="shared" si="2"/>
        <v>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1530000</v>
      </c>
      <c r="D26" s="66">
        <f aca="true" t="shared" si="9" ref="D26:N26">ROUND(D11+D15+D20+D25,2)</f>
        <v>220000</v>
      </c>
      <c r="E26" s="66">
        <f t="shared" si="9"/>
        <v>4476000</v>
      </c>
      <c r="F26" s="66">
        <f t="shared" si="9"/>
        <v>395510</v>
      </c>
      <c r="G26" s="66">
        <f t="shared" si="9"/>
        <v>24750</v>
      </c>
      <c r="H26" s="66">
        <f t="shared" si="9"/>
        <v>420260</v>
      </c>
      <c r="I26" s="66">
        <f t="shared" si="9"/>
        <v>52900</v>
      </c>
      <c r="J26" s="66">
        <f>ROUND(J11+J15+J20+J25,2)</f>
        <v>0</v>
      </c>
      <c r="K26" s="66">
        <f>ROUND(K11+K15+K20+K25,2)</f>
        <v>24000</v>
      </c>
      <c r="L26" s="66">
        <f t="shared" si="9"/>
        <v>0</v>
      </c>
      <c r="M26" s="66">
        <f t="shared" si="9"/>
        <v>43920</v>
      </c>
      <c r="N26" s="66">
        <f t="shared" si="9"/>
        <v>176150</v>
      </c>
      <c r="O26" s="67">
        <f t="shared" si="1"/>
        <v>6522970</v>
      </c>
      <c r="P26" s="68">
        <f t="shared" si="2"/>
        <v>6943230</v>
      </c>
    </row>
    <row r="27" spans="1:17" s="19" customFormat="1" ht="39.75" customHeight="1">
      <c r="A27" s="69" t="s">
        <v>74</v>
      </c>
      <c r="B27" s="27" t="s">
        <v>50</v>
      </c>
      <c r="C27" s="17">
        <f>ROUND(C8+C9,2)</f>
        <v>806475.16</v>
      </c>
      <c r="D27" s="17">
        <f aca="true" t="shared" si="10" ref="D27:N27">ROUND(D8+D9,2)</f>
        <v>120252.16</v>
      </c>
      <c r="E27" s="17">
        <f t="shared" si="10"/>
        <v>2801136.23</v>
      </c>
      <c r="F27" s="17">
        <f t="shared" si="10"/>
        <v>245868</v>
      </c>
      <c r="G27" s="17">
        <f t="shared" si="10"/>
        <v>16500</v>
      </c>
      <c r="H27" s="18">
        <f t="shared" si="0"/>
        <v>262368</v>
      </c>
      <c r="I27" s="17">
        <f t="shared" si="10"/>
        <v>31107.79</v>
      </c>
      <c r="J27" s="17">
        <f>ROUND(J8+J9,2)</f>
        <v>0</v>
      </c>
      <c r="K27" s="17">
        <f>ROUND(K8+K9,2)</f>
        <v>9672.38</v>
      </c>
      <c r="L27" s="17">
        <f t="shared" si="10"/>
        <v>0</v>
      </c>
      <c r="M27" s="17">
        <f t="shared" si="10"/>
        <v>14631.66</v>
      </c>
      <c r="N27" s="17">
        <f t="shared" si="10"/>
        <v>124628.64</v>
      </c>
      <c r="O27" s="11">
        <f t="shared" si="1"/>
        <v>3907904.02</v>
      </c>
      <c r="P27" s="12">
        <f t="shared" si="2"/>
        <v>4170272.02</v>
      </c>
      <c r="Q27" s="23"/>
    </row>
    <row r="28" spans="1:17" s="25" customFormat="1" ht="25.5">
      <c r="A28" s="14" t="s">
        <v>75</v>
      </c>
      <c r="B28" s="24" t="s">
        <v>76</v>
      </c>
      <c r="C28" s="17">
        <f>ROUND(C26-C27,2)</f>
        <v>723524.84</v>
      </c>
      <c r="D28" s="17">
        <f>ROUND(D26-D27,2)</f>
        <v>99747.84</v>
      </c>
      <c r="E28" s="17">
        <f>ROUND(E26-E27,2)</f>
        <v>1674863.77</v>
      </c>
      <c r="F28" s="17">
        <f>ROUND(F26-F27,2)</f>
        <v>149642</v>
      </c>
      <c r="G28" s="17">
        <f>ROUND(G26-G27,2)</f>
        <v>8250</v>
      </c>
      <c r="H28" s="18">
        <f t="shared" si="0"/>
        <v>157892</v>
      </c>
      <c r="I28" s="17">
        <f aca="true" t="shared" si="11" ref="I28:N28">ROUND(I26-I27,2)</f>
        <v>21792.21</v>
      </c>
      <c r="J28" s="17">
        <f t="shared" si="11"/>
        <v>0</v>
      </c>
      <c r="K28" s="17">
        <f t="shared" si="11"/>
        <v>14327.62</v>
      </c>
      <c r="L28" s="17">
        <f t="shared" si="11"/>
        <v>0</v>
      </c>
      <c r="M28" s="17">
        <f t="shared" si="11"/>
        <v>29288.34</v>
      </c>
      <c r="N28" s="17">
        <f t="shared" si="11"/>
        <v>51521.36</v>
      </c>
      <c r="O28" s="11">
        <f t="shared" si="1"/>
        <v>2615065.98</v>
      </c>
      <c r="P28" s="12">
        <f t="shared" si="2"/>
        <v>2772957.98</v>
      </c>
      <c r="Q28" s="23"/>
    </row>
    <row r="29" spans="1:17" s="25" customFormat="1" ht="26.25" customHeight="1">
      <c r="A29" s="70">
        <v>23</v>
      </c>
      <c r="B29" s="71" t="s">
        <v>64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65</v>
      </c>
      <c r="B30" s="86" t="s">
        <v>66</v>
      </c>
      <c r="C30" s="87">
        <f>ROUND(C7-C11,2)</f>
        <v>2952890</v>
      </c>
      <c r="D30" s="87">
        <f aca="true" t="shared" si="12" ref="D30:N30">ROUND(D7-D11,2)</f>
        <v>1270000</v>
      </c>
      <c r="E30" s="87">
        <f t="shared" si="12"/>
        <v>5527910</v>
      </c>
      <c r="F30" s="87">
        <f t="shared" si="12"/>
        <v>1099710</v>
      </c>
      <c r="G30" s="87">
        <f t="shared" si="12"/>
        <v>63480</v>
      </c>
      <c r="H30" s="18">
        <f t="shared" si="0"/>
        <v>1163190</v>
      </c>
      <c r="I30" s="87">
        <f t="shared" si="12"/>
        <v>116380</v>
      </c>
      <c r="J30" s="87">
        <f>ROUND(J7-J11,2)</f>
        <v>11180</v>
      </c>
      <c r="K30" s="87">
        <f>ROUND(K7-K11,2)</f>
        <v>35940</v>
      </c>
      <c r="L30" s="87">
        <f t="shared" si="12"/>
        <v>0</v>
      </c>
      <c r="M30" s="87">
        <f t="shared" si="12"/>
        <v>43920</v>
      </c>
      <c r="N30" s="87">
        <f t="shared" si="12"/>
        <v>343500</v>
      </c>
      <c r="O30" s="11">
        <f t="shared" si="1"/>
        <v>10301720</v>
      </c>
      <c r="P30" s="12">
        <f>ROUND(H30+O30,2)</f>
        <v>11464910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ROUND((C27)/2,2)</f>
        <v>403237.58</v>
      </c>
      <c r="D32" s="17">
        <f aca="true" t="shared" si="13" ref="D32:N32">ROUND((D27)/2,2)</f>
        <v>60126.08</v>
      </c>
      <c r="E32" s="17">
        <f t="shared" si="13"/>
        <v>1400568.12</v>
      </c>
      <c r="F32" s="17">
        <f t="shared" si="13"/>
        <v>122934</v>
      </c>
      <c r="G32" s="17">
        <f t="shared" si="13"/>
        <v>8250</v>
      </c>
      <c r="H32" s="26">
        <f t="shared" si="0"/>
        <v>131184</v>
      </c>
      <c r="I32" s="17">
        <f t="shared" si="13"/>
        <v>15553.9</v>
      </c>
      <c r="J32" s="17">
        <f>ROUND((J27)/2,2)</f>
        <v>0</v>
      </c>
      <c r="K32" s="17">
        <f t="shared" si="13"/>
        <v>4836.19</v>
      </c>
      <c r="L32" s="17">
        <f t="shared" si="13"/>
        <v>0</v>
      </c>
      <c r="M32" s="17">
        <f t="shared" si="13"/>
        <v>7315.83</v>
      </c>
      <c r="N32" s="17">
        <f t="shared" si="13"/>
        <v>62314.32</v>
      </c>
      <c r="O32" s="11">
        <f t="shared" si="1"/>
        <v>1953952.02</v>
      </c>
      <c r="P32" s="12">
        <f t="shared" si="2"/>
        <v>2085136.02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355960.96</v>
      </c>
      <c r="D33" s="60">
        <f t="shared" si="14"/>
        <v>-768487.04</v>
      </c>
      <c r="E33" s="60">
        <f t="shared" si="14"/>
        <v>6802907.44</v>
      </c>
      <c r="F33" s="60">
        <f t="shared" si="14"/>
        <v>-20012</v>
      </c>
      <c r="G33" s="60">
        <f t="shared" si="14"/>
        <v>10770</v>
      </c>
      <c r="H33" s="76">
        <f t="shared" si="14"/>
        <v>-9242</v>
      </c>
      <c r="I33" s="60">
        <f t="shared" si="14"/>
        <v>17366.8</v>
      </c>
      <c r="J33" s="60">
        <f t="shared" si="14"/>
        <v>-11180</v>
      </c>
      <c r="K33" s="60">
        <f t="shared" si="14"/>
        <v>-1905.72</v>
      </c>
      <c r="L33" s="60">
        <f t="shared" si="14"/>
        <v>0</v>
      </c>
      <c r="M33" s="60">
        <f>ROUND(M32*12-M7,2)</f>
        <v>-50.04</v>
      </c>
      <c r="N33" s="60">
        <f>ROUND(N32*12-N7,2)</f>
        <v>228121.84</v>
      </c>
      <c r="O33" s="11">
        <f t="shared" si="1"/>
        <v>6622734.24</v>
      </c>
      <c r="P33" s="12">
        <f t="shared" si="2"/>
        <v>6613492.24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4838850.96</v>
      </c>
      <c r="D34" s="80">
        <f t="shared" si="15"/>
        <v>721512.96</v>
      </c>
      <c r="E34" s="80">
        <f t="shared" si="15"/>
        <v>16806817.44</v>
      </c>
      <c r="F34" s="80">
        <f t="shared" si="15"/>
        <v>1475208</v>
      </c>
      <c r="G34" s="80">
        <f t="shared" si="15"/>
        <v>99000</v>
      </c>
      <c r="H34" s="81">
        <f t="shared" si="15"/>
        <v>1574208</v>
      </c>
      <c r="I34" s="80">
        <f t="shared" si="15"/>
        <v>186646.8</v>
      </c>
      <c r="J34" s="80">
        <f t="shared" si="15"/>
        <v>0</v>
      </c>
      <c r="K34" s="80">
        <f t="shared" si="15"/>
        <v>58034.28</v>
      </c>
      <c r="L34" s="80">
        <f t="shared" si="15"/>
        <v>0</v>
      </c>
      <c r="M34" s="80">
        <f t="shared" si="15"/>
        <v>87789.96</v>
      </c>
      <c r="N34" s="80">
        <f t="shared" si="15"/>
        <v>747771.84</v>
      </c>
      <c r="O34" s="90">
        <f t="shared" si="1"/>
        <v>23447424.24</v>
      </c>
      <c r="P34" s="82">
        <f t="shared" si="15"/>
        <v>25021632.24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17" right="0.17" top="0.17" bottom="0.34" header="0.18" footer="0.16"/>
  <pageSetup horizontalDpi="600" verticalDpi="600" orientation="landscape" paperSize="9" scale="65" r:id="rId1"/>
  <headerFooter alignWithMargins="0">
    <oddFooter>&amp;L&amp;Bcas olt Confidenţial&amp;B&amp;C&amp;D&amp;RPagina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3">
      <selection activeCell="A3" sqref="A3:P3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80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</f>
        <v>1020000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v>11180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</f>
        <v>519650</v>
      </c>
      <c r="O7" s="11">
        <f>ROUND(C7+D7+E7+I7+J7+K7+N7+L7+M7,2)</f>
        <v>16354690</v>
      </c>
      <c r="P7" s="12">
        <f>ROUND(H7+O7,2)</f>
        <v>17938140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33" customHeight="1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35</v>
      </c>
      <c r="C12" s="16">
        <f>400000+223408.07</f>
        <v>623408.0700000001</v>
      </c>
      <c r="D12" s="16">
        <f>90000+32195.13</f>
        <v>122195.13</v>
      </c>
      <c r="E12" s="17">
        <f>1500000+92780.2</f>
        <v>1592780.2</v>
      </c>
      <c r="F12" s="17">
        <f>125000+11042</f>
        <v>136042</v>
      </c>
      <c r="G12" s="17">
        <f>9000+2010</f>
        <v>11010</v>
      </c>
      <c r="H12" s="18">
        <f t="shared" si="0"/>
        <v>147052</v>
      </c>
      <c r="I12" s="17">
        <f>16000-3857.74</f>
        <v>12142.26</v>
      </c>
      <c r="J12" s="17">
        <v>0</v>
      </c>
      <c r="K12" s="17">
        <f>8000+10542.76</f>
        <v>18542.760000000002</v>
      </c>
      <c r="L12" s="17">
        <v>0</v>
      </c>
      <c r="M12" s="17">
        <f>15530+25.02</f>
        <v>15555.02</v>
      </c>
      <c r="N12" s="17">
        <f>70000+5596.92</f>
        <v>75596.92</v>
      </c>
      <c r="O12" s="11">
        <f t="shared" si="1"/>
        <v>2460220.36</v>
      </c>
      <c r="P12" s="12">
        <f t="shared" si="2"/>
        <v>2607272.36</v>
      </c>
    </row>
    <row r="13" spans="1:16" s="19" customFormat="1" ht="12.75">
      <c r="A13" s="14">
        <v>7</v>
      </c>
      <c r="B13" s="15" t="s">
        <v>36</v>
      </c>
      <c r="C13" s="16">
        <v>350000</v>
      </c>
      <c r="D13" s="16">
        <v>70000</v>
      </c>
      <c r="E13" s="17">
        <v>1166670</v>
      </c>
      <c r="F13" s="17">
        <v>145000</v>
      </c>
      <c r="G13" s="17">
        <v>6165</v>
      </c>
      <c r="H13" s="18">
        <f t="shared" si="0"/>
        <v>151165</v>
      </c>
      <c r="I13" s="17">
        <v>16000</v>
      </c>
      <c r="J13" s="17">
        <v>11180</v>
      </c>
      <c r="K13" s="17">
        <v>9000</v>
      </c>
      <c r="L13" s="17">
        <v>0</v>
      </c>
      <c r="M13" s="17">
        <v>0</v>
      </c>
      <c r="N13" s="17">
        <v>50000</v>
      </c>
      <c r="O13" s="11">
        <f t="shared" si="1"/>
        <v>1672850</v>
      </c>
      <c r="P13" s="12">
        <f t="shared" si="2"/>
        <v>1824015</v>
      </c>
    </row>
    <row r="14" spans="1:16" s="13" customFormat="1" ht="12.75">
      <c r="A14" s="14">
        <v>8</v>
      </c>
      <c r="B14" s="56" t="s">
        <v>37</v>
      </c>
      <c r="C14" s="16">
        <v>350000</v>
      </c>
      <c r="D14" s="16">
        <v>70000</v>
      </c>
      <c r="E14" s="17">
        <v>0</v>
      </c>
      <c r="F14" s="17">
        <v>0</v>
      </c>
      <c r="G14" s="17">
        <v>6165</v>
      </c>
      <c r="H14" s="18">
        <f t="shared" si="0"/>
        <v>6165</v>
      </c>
      <c r="I14" s="17">
        <v>15820</v>
      </c>
      <c r="J14" s="17">
        <v>0</v>
      </c>
      <c r="K14" s="17">
        <v>9000</v>
      </c>
      <c r="L14" s="17">
        <v>0</v>
      </c>
      <c r="M14" s="17">
        <v>0</v>
      </c>
      <c r="N14" s="17">
        <v>0</v>
      </c>
      <c r="O14" s="11">
        <f t="shared" si="1"/>
        <v>444820</v>
      </c>
      <c r="P14" s="12">
        <f t="shared" si="2"/>
        <v>450985</v>
      </c>
    </row>
    <row r="15" spans="1:16" s="19" customFormat="1" ht="25.5">
      <c r="A15" s="57" t="s">
        <v>5</v>
      </c>
      <c r="B15" s="54" t="s">
        <v>38</v>
      </c>
      <c r="C15" s="18">
        <f aca="true" t="shared" si="4" ref="C15:N15">SUM(C12:C14)</f>
        <v>1323408.07</v>
      </c>
      <c r="D15" s="18">
        <f t="shared" si="4"/>
        <v>262195.13</v>
      </c>
      <c r="E15" s="18">
        <f t="shared" si="4"/>
        <v>2759450.2</v>
      </c>
      <c r="F15" s="18">
        <f t="shared" si="4"/>
        <v>281042</v>
      </c>
      <c r="G15" s="18">
        <f t="shared" si="4"/>
        <v>23340</v>
      </c>
      <c r="H15" s="18">
        <f t="shared" si="4"/>
        <v>304382</v>
      </c>
      <c r="I15" s="18">
        <f t="shared" si="4"/>
        <v>43962.26</v>
      </c>
      <c r="J15" s="18">
        <f>SUM(J12:J14)</f>
        <v>11180</v>
      </c>
      <c r="K15" s="18">
        <f>SUM(K12:K14)</f>
        <v>36542.76</v>
      </c>
      <c r="L15" s="18">
        <f t="shared" si="4"/>
        <v>0</v>
      </c>
      <c r="M15" s="18">
        <f t="shared" si="4"/>
        <v>15555.02</v>
      </c>
      <c r="N15" s="18">
        <f t="shared" si="4"/>
        <v>125596.92</v>
      </c>
      <c r="O15" s="11">
        <f t="shared" si="1"/>
        <v>4577890.36</v>
      </c>
      <c r="P15" s="12">
        <f t="shared" si="2"/>
        <v>4882272.36</v>
      </c>
    </row>
    <row r="16" spans="1:16" s="20" customFormat="1" ht="12.75">
      <c r="A16" s="53" t="s">
        <v>6</v>
      </c>
      <c r="B16" s="58" t="s">
        <v>39</v>
      </c>
      <c r="C16" s="18">
        <f aca="true" t="shared" si="5" ref="C16:N16">C11+C15</f>
        <v>2630000</v>
      </c>
      <c r="D16" s="18">
        <f t="shared" si="5"/>
        <v>450000</v>
      </c>
      <c r="E16" s="18">
        <f t="shared" si="5"/>
        <v>7142670</v>
      </c>
      <c r="F16" s="18">
        <f t="shared" si="5"/>
        <v>665510</v>
      </c>
      <c r="G16" s="18">
        <f t="shared" si="5"/>
        <v>46080</v>
      </c>
      <c r="H16" s="18">
        <f t="shared" si="5"/>
        <v>711590</v>
      </c>
      <c r="I16" s="18">
        <f t="shared" si="5"/>
        <v>100720</v>
      </c>
      <c r="J16" s="18">
        <f>J11+J15</f>
        <v>11180</v>
      </c>
      <c r="K16" s="18">
        <f>K11+K15</f>
        <v>50000</v>
      </c>
      <c r="L16" s="18">
        <f t="shared" si="5"/>
        <v>0</v>
      </c>
      <c r="M16" s="18">
        <f t="shared" si="5"/>
        <v>59450</v>
      </c>
      <c r="N16" s="18">
        <f t="shared" si="5"/>
        <v>296150</v>
      </c>
      <c r="O16" s="11">
        <f t="shared" si="1"/>
        <v>10740170</v>
      </c>
      <c r="P16" s="12">
        <f t="shared" si="2"/>
        <v>11451760</v>
      </c>
    </row>
    <row r="17" spans="1:16" s="13" customFormat="1" ht="12.75">
      <c r="A17" s="14">
        <v>11</v>
      </c>
      <c r="B17" s="15" t="s">
        <v>40</v>
      </c>
      <c r="C17" s="16">
        <v>470000</v>
      </c>
      <c r="D17" s="16">
        <v>100000</v>
      </c>
      <c r="E17" s="59">
        <v>1527910</v>
      </c>
      <c r="F17" s="17">
        <v>130000</v>
      </c>
      <c r="G17" s="17">
        <v>10000</v>
      </c>
      <c r="H17" s="18">
        <f t="shared" si="0"/>
        <v>140000</v>
      </c>
      <c r="I17" s="60">
        <v>19380</v>
      </c>
      <c r="J17" s="60">
        <v>0</v>
      </c>
      <c r="K17" s="17">
        <v>4500</v>
      </c>
      <c r="L17" s="17">
        <v>0</v>
      </c>
      <c r="M17" s="17">
        <v>0</v>
      </c>
      <c r="N17" s="17">
        <v>60000</v>
      </c>
      <c r="O17" s="11">
        <f t="shared" si="1"/>
        <v>2181790</v>
      </c>
      <c r="P17" s="12">
        <f t="shared" si="2"/>
        <v>2321790</v>
      </c>
    </row>
    <row r="18" spans="1:16" s="19" customFormat="1" ht="12.75">
      <c r="A18" s="14">
        <v>12</v>
      </c>
      <c r="B18" s="15" t="s">
        <v>41</v>
      </c>
      <c r="C18" s="16">
        <v>470000</v>
      </c>
      <c r="D18" s="38">
        <v>100000</v>
      </c>
      <c r="E18" s="39">
        <v>0</v>
      </c>
      <c r="F18" s="39">
        <v>130000</v>
      </c>
      <c r="G18" s="39">
        <v>10000</v>
      </c>
      <c r="H18" s="18">
        <f t="shared" si="0"/>
        <v>140000</v>
      </c>
      <c r="I18" s="17">
        <v>19000</v>
      </c>
      <c r="J18" s="17">
        <v>0</v>
      </c>
      <c r="K18" s="17">
        <v>5440</v>
      </c>
      <c r="L18" s="17">
        <v>0</v>
      </c>
      <c r="M18" s="17">
        <v>0</v>
      </c>
      <c r="N18" s="39">
        <v>60000</v>
      </c>
      <c r="O18" s="11">
        <f t="shared" si="1"/>
        <v>654440</v>
      </c>
      <c r="P18" s="12">
        <f t="shared" si="2"/>
        <v>794440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61">
        <v>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40">
        <v>0</v>
      </c>
      <c r="K19" s="17">
        <v>0</v>
      </c>
      <c r="L19" s="17">
        <v>0</v>
      </c>
      <c r="M19" s="17">
        <v>0</v>
      </c>
      <c r="N19" s="39">
        <v>43500</v>
      </c>
      <c r="O19" s="11">
        <f t="shared" si="1"/>
        <v>645390</v>
      </c>
      <c r="P19" s="12">
        <f t="shared" si="2"/>
        <v>785390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1422890</v>
      </c>
      <c r="D20" s="62">
        <f aca="true" t="shared" si="6" ref="D20:N20">ROUND(D17+D18+D19,2)</f>
        <v>300000</v>
      </c>
      <c r="E20" s="62">
        <f t="shared" si="6"/>
        <v>1527910</v>
      </c>
      <c r="F20" s="62">
        <f t="shared" si="6"/>
        <v>390000</v>
      </c>
      <c r="G20" s="62">
        <f t="shared" si="6"/>
        <v>30000</v>
      </c>
      <c r="H20" s="62">
        <f t="shared" si="6"/>
        <v>420000</v>
      </c>
      <c r="I20" s="62">
        <f t="shared" si="6"/>
        <v>57380</v>
      </c>
      <c r="J20" s="62">
        <f>ROUND(J17+J18+J19,2)</f>
        <v>0</v>
      </c>
      <c r="K20" s="62">
        <f>ROUND(K17+K18+K19,2)</f>
        <v>9940</v>
      </c>
      <c r="L20" s="62">
        <f t="shared" si="6"/>
        <v>0</v>
      </c>
      <c r="M20" s="62">
        <f t="shared" si="6"/>
        <v>0</v>
      </c>
      <c r="N20" s="62">
        <f t="shared" si="6"/>
        <v>163500</v>
      </c>
      <c r="O20" s="11">
        <f t="shared" si="1"/>
        <v>3481620</v>
      </c>
      <c r="P20" s="12">
        <f t="shared" si="2"/>
        <v>3901620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4052890</v>
      </c>
      <c r="D21" s="62">
        <f aca="true" t="shared" si="7" ref="D21:N21">ROUND(D16+D20,2)</f>
        <v>750000</v>
      </c>
      <c r="E21" s="62">
        <f t="shared" si="7"/>
        <v>8670580</v>
      </c>
      <c r="F21" s="62">
        <f t="shared" si="7"/>
        <v>1055510</v>
      </c>
      <c r="G21" s="62">
        <f t="shared" si="7"/>
        <v>76080</v>
      </c>
      <c r="H21" s="62">
        <f t="shared" si="7"/>
        <v>1131590</v>
      </c>
      <c r="I21" s="62">
        <f t="shared" si="7"/>
        <v>158100</v>
      </c>
      <c r="J21" s="62">
        <f>ROUND(J16+J20,2)</f>
        <v>11180</v>
      </c>
      <c r="K21" s="62">
        <f>ROUND(K16+K20,2)</f>
        <v>59940</v>
      </c>
      <c r="L21" s="62">
        <f t="shared" si="7"/>
        <v>0</v>
      </c>
      <c r="M21" s="62">
        <f t="shared" si="7"/>
        <v>59450</v>
      </c>
      <c r="N21" s="62">
        <f t="shared" si="7"/>
        <v>459650</v>
      </c>
      <c r="O21" s="11">
        <f t="shared" si="1"/>
        <v>14221790</v>
      </c>
      <c r="P21" s="12">
        <f t="shared" si="2"/>
        <v>15353380</v>
      </c>
    </row>
    <row r="22" spans="1:16" s="21" customFormat="1" ht="12.75">
      <c r="A22" s="14">
        <v>16</v>
      </c>
      <c r="B22" s="63" t="s">
        <v>45</v>
      </c>
      <c r="C22" s="16">
        <v>430000</v>
      </c>
      <c r="D22" s="38">
        <v>90000</v>
      </c>
      <c r="E22" s="41">
        <v>1333330</v>
      </c>
      <c r="F22" s="39">
        <v>146570</v>
      </c>
      <c r="G22" s="38">
        <v>12150</v>
      </c>
      <c r="H22" s="18">
        <f t="shared" si="0"/>
        <v>158720</v>
      </c>
      <c r="I22" s="40">
        <v>11180</v>
      </c>
      <c r="J22" s="40">
        <v>0</v>
      </c>
      <c r="K22" s="39">
        <v>0</v>
      </c>
      <c r="L22" s="39">
        <v>0</v>
      </c>
      <c r="M22" s="39">
        <v>28390</v>
      </c>
      <c r="N22" s="39">
        <v>60000</v>
      </c>
      <c r="O22" s="11">
        <f t="shared" si="1"/>
        <v>1952900</v>
      </c>
      <c r="P22" s="12">
        <f t="shared" si="2"/>
        <v>2111620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v>146570</v>
      </c>
      <c r="G24" s="38">
        <v>0</v>
      </c>
      <c r="H24" s="18">
        <f t="shared" si="0"/>
        <v>146570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236570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430000</v>
      </c>
      <c r="D25" s="62">
        <f aca="true" t="shared" si="8" ref="D25:N25">ROUND(D22+D23+D24,2)</f>
        <v>270000</v>
      </c>
      <c r="E25" s="62">
        <f t="shared" si="8"/>
        <v>1333330</v>
      </c>
      <c r="F25" s="62">
        <f t="shared" si="8"/>
        <v>439710</v>
      </c>
      <c r="G25" s="62">
        <f t="shared" si="8"/>
        <v>12150</v>
      </c>
      <c r="H25" s="62">
        <f t="shared" si="8"/>
        <v>451860</v>
      </c>
      <c r="I25" s="62">
        <f t="shared" si="8"/>
        <v>11180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28390</v>
      </c>
      <c r="N25" s="62">
        <f t="shared" si="8"/>
        <v>60000</v>
      </c>
      <c r="O25" s="11">
        <f t="shared" si="1"/>
        <v>2132900</v>
      </c>
      <c r="P25" s="12">
        <f t="shared" si="2"/>
        <v>2584760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1020000</v>
      </c>
      <c r="E26" s="66">
        <f t="shared" si="9"/>
        <v>10003910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11180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519650</v>
      </c>
      <c r="O26" s="67">
        <f t="shared" si="1"/>
        <v>16354690</v>
      </c>
      <c r="P26" s="68">
        <f t="shared" si="2"/>
        <v>17938140</v>
      </c>
    </row>
    <row r="27" spans="1:17" s="19" customFormat="1" ht="39.75" customHeight="1">
      <c r="A27" s="69" t="s">
        <v>83</v>
      </c>
      <c r="B27" s="27" t="s">
        <v>50</v>
      </c>
      <c r="C27" s="17">
        <f>ROUND(C8+C9+C10,2)</f>
        <v>1306591.93</v>
      </c>
      <c r="D27" s="17">
        <f aca="true" t="shared" si="10" ref="D27:N27">ROUND(D8+D9+D10,2)</f>
        <v>187804.87</v>
      </c>
      <c r="E27" s="17">
        <f t="shared" si="10"/>
        <v>4383219.8</v>
      </c>
      <c r="F27" s="17">
        <f t="shared" si="10"/>
        <v>384468</v>
      </c>
      <c r="G27" s="17">
        <f t="shared" si="10"/>
        <v>22740</v>
      </c>
      <c r="H27" s="18">
        <f t="shared" si="0"/>
        <v>407208</v>
      </c>
      <c r="I27" s="17">
        <f t="shared" si="10"/>
        <v>56757.74</v>
      </c>
      <c r="J27" s="17">
        <f t="shared" si="10"/>
        <v>0</v>
      </c>
      <c r="K27" s="17">
        <f t="shared" si="10"/>
        <v>13457.24</v>
      </c>
      <c r="L27" s="17">
        <f t="shared" si="10"/>
        <v>0</v>
      </c>
      <c r="M27" s="17">
        <f t="shared" si="10"/>
        <v>43894.98</v>
      </c>
      <c r="N27" s="17">
        <f t="shared" si="10"/>
        <v>170553.08</v>
      </c>
      <c r="O27" s="11">
        <f t="shared" si="1"/>
        <v>6162279.64</v>
      </c>
      <c r="P27" s="12">
        <f t="shared" si="2"/>
        <v>6569487.64</v>
      </c>
      <c r="Q27" s="23"/>
    </row>
    <row r="28" spans="1:17" s="25" customFormat="1" ht="25.5">
      <c r="A28" s="14" t="s">
        <v>75</v>
      </c>
      <c r="B28" s="24" t="s">
        <v>84</v>
      </c>
      <c r="C28" s="17">
        <f>ROUND(C26-C27,2)</f>
        <v>3176298.07</v>
      </c>
      <c r="D28" s="17">
        <f>ROUND(D26-D27,2)</f>
        <v>832195.13</v>
      </c>
      <c r="E28" s="17">
        <f>ROUND(E26-E27,2)</f>
        <v>5620690.2</v>
      </c>
      <c r="F28" s="17">
        <f>ROUND(F26-F27,2)</f>
        <v>1110752</v>
      </c>
      <c r="G28" s="17">
        <f>ROUND(G26-G27,2)</f>
        <v>65490</v>
      </c>
      <c r="H28" s="18">
        <f t="shared" si="0"/>
        <v>1176242</v>
      </c>
      <c r="I28" s="17">
        <f aca="true" t="shared" si="11" ref="I28:N28">ROUND(I26-I27,2)</f>
        <v>112522.26</v>
      </c>
      <c r="J28" s="17">
        <f t="shared" si="11"/>
        <v>11180</v>
      </c>
      <c r="K28" s="17">
        <f t="shared" si="11"/>
        <v>46482.76</v>
      </c>
      <c r="L28" s="17">
        <f t="shared" si="11"/>
        <v>0</v>
      </c>
      <c r="M28" s="17">
        <f t="shared" si="11"/>
        <v>43945.02</v>
      </c>
      <c r="N28" s="17">
        <f t="shared" si="11"/>
        <v>349096.92</v>
      </c>
      <c r="O28" s="11">
        <f t="shared" si="1"/>
        <v>10192410.36</v>
      </c>
      <c r="P28" s="12">
        <f t="shared" si="2"/>
        <v>11368652.36</v>
      </c>
      <c r="Q28" s="23"/>
    </row>
    <row r="29" spans="1:17" s="25" customFormat="1" ht="26.25" customHeight="1">
      <c r="A29" s="70">
        <v>23</v>
      </c>
      <c r="B29" s="71" t="s">
        <v>85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ROUND((C27)/3,2)</f>
        <v>435530.64</v>
      </c>
      <c r="D32" s="17">
        <f aca="true" t="shared" si="13" ref="D32:N32">ROUND((D27)/3,2)</f>
        <v>62601.62</v>
      </c>
      <c r="E32" s="17">
        <f t="shared" si="13"/>
        <v>1461073.27</v>
      </c>
      <c r="F32" s="17">
        <f t="shared" si="13"/>
        <v>128156</v>
      </c>
      <c r="G32" s="17">
        <f t="shared" si="13"/>
        <v>7580</v>
      </c>
      <c r="H32" s="26">
        <f t="shared" si="0"/>
        <v>135736</v>
      </c>
      <c r="I32" s="17">
        <f t="shared" si="13"/>
        <v>18919.25</v>
      </c>
      <c r="J32" s="17">
        <f t="shared" si="13"/>
        <v>0</v>
      </c>
      <c r="K32" s="17">
        <f t="shared" si="13"/>
        <v>4485.75</v>
      </c>
      <c r="L32" s="17">
        <f t="shared" si="13"/>
        <v>0</v>
      </c>
      <c r="M32" s="17">
        <f t="shared" si="13"/>
        <v>14631.66</v>
      </c>
      <c r="N32" s="17">
        <f t="shared" si="13"/>
        <v>56851.03</v>
      </c>
      <c r="O32" s="11">
        <f t="shared" si="1"/>
        <v>2054093.22</v>
      </c>
      <c r="P32" s="12">
        <f t="shared" si="2"/>
        <v>2189829.22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743477.68</v>
      </c>
      <c r="D33" s="60">
        <f t="shared" si="14"/>
        <v>-268780.56</v>
      </c>
      <c r="E33" s="60">
        <f t="shared" si="14"/>
        <v>7528969.24</v>
      </c>
      <c r="F33" s="60">
        <f t="shared" si="14"/>
        <v>42652</v>
      </c>
      <c r="G33" s="60">
        <f t="shared" si="14"/>
        <v>2730</v>
      </c>
      <c r="H33" s="76">
        <f t="shared" si="14"/>
        <v>45382</v>
      </c>
      <c r="I33" s="60">
        <f t="shared" si="14"/>
        <v>57751</v>
      </c>
      <c r="J33" s="60">
        <f t="shared" si="14"/>
        <v>-11180</v>
      </c>
      <c r="K33" s="60">
        <f t="shared" si="14"/>
        <v>-6111</v>
      </c>
      <c r="L33" s="60">
        <f t="shared" si="14"/>
        <v>0</v>
      </c>
      <c r="M33" s="60">
        <f>ROUND(M32*12-M7,2)</f>
        <v>87739.92</v>
      </c>
      <c r="N33" s="60">
        <f>ROUND(N32*12-N7,2)</f>
        <v>162562.36</v>
      </c>
      <c r="O33" s="11">
        <f t="shared" si="1"/>
        <v>8294428.64</v>
      </c>
      <c r="P33" s="12">
        <f t="shared" si="2"/>
        <v>8339810.64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5226367.68</v>
      </c>
      <c r="D34" s="80">
        <f t="shared" si="15"/>
        <v>751219.44</v>
      </c>
      <c r="E34" s="80">
        <f t="shared" si="15"/>
        <v>17532879.24</v>
      </c>
      <c r="F34" s="80">
        <f t="shared" si="15"/>
        <v>1537872</v>
      </c>
      <c r="G34" s="80">
        <f t="shared" si="15"/>
        <v>90960</v>
      </c>
      <c r="H34" s="81">
        <f t="shared" si="15"/>
        <v>1628832</v>
      </c>
      <c r="I34" s="80">
        <f t="shared" si="15"/>
        <v>227031</v>
      </c>
      <c r="J34" s="80">
        <f t="shared" si="15"/>
        <v>0</v>
      </c>
      <c r="K34" s="80">
        <f t="shared" si="15"/>
        <v>53829</v>
      </c>
      <c r="L34" s="80">
        <f t="shared" si="15"/>
        <v>0</v>
      </c>
      <c r="M34" s="80">
        <f t="shared" si="15"/>
        <v>175579.92</v>
      </c>
      <c r="N34" s="80">
        <f t="shared" si="15"/>
        <v>682212.36</v>
      </c>
      <c r="O34" s="90">
        <f t="shared" si="1"/>
        <v>24649118.64</v>
      </c>
      <c r="P34" s="82">
        <f t="shared" si="15"/>
        <v>26277950.64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17" right="0.17" top="0.17" bottom="0.19" header="0.18" footer="0.21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3">
      <selection activeCell="C36" sqref="C36:L37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88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300000-80000+1270000-30000-440000+68000</f>
        <v>1088000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v>11180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</f>
        <v>519650</v>
      </c>
      <c r="O7" s="11">
        <f>ROUND(C7+D7+E7+I7+J7+K7+N7+L7+M7,2)</f>
        <v>16422690</v>
      </c>
      <c r="P7" s="12">
        <f>ROUND(H7+O7,2)</f>
        <v>18006140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33" customHeight="1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35</v>
      </c>
      <c r="C12" s="16">
        <f>400000+223408.07</f>
        <v>623408.0700000001</v>
      </c>
      <c r="D12" s="16">
        <f>90000+32195.13</f>
        <v>122195.13</v>
      </c>
      <c r="E12" s="17">
        <f>1500000+92780.2</f>
        <v>1592780.2</v>
      </c>
      <c r="F12" s="17">
        <f>125000+11042</f>
        <v>136042</v>
      </c>
      <c r="G12" s="17">
        <f>9000+2010</f>
        <v>11010</v>
      </c>
      <c r="H12" s="18">
        <f t="shared" si="0"/>
        <v>147052</v>
      </c>
      <c r="I12" s="17">
        <f>16000-3857.74</f>
        <v>12142.26</v>
      </c>
      <c r="J12" s="17">
        <v>0</v>
      </c>
      <c r="K12" s="17">
        <f>8000+10542.76</f>
        <v>18542.760000000002</v>
      </c>
      <c r="L12" s="17">
        <v>0</v>
      </c>
      <c r="M12" s="17">
        <f>15530+25.02</f>
        <v>15555.02</v>
      </c>
      <c r="N12" s="17">
        <f>70000+5596.92</f>
        <v>75596.92</v>
      </c>
      <c r="O12" s="11">
        <f t="shared" si="1"/>
        <v>2460220.36</v>
      </c>
      <c r="P12" s="12">
        <f t="shared" si="2"/>
        <v>2607272.36</v>
      </c>
    </row>
    <row r="13" spans="1:16" s="19" customFormat="1" ht="12.75">
      <c r="A13" s="14">
        <v>7</v>
      </c>
      <c r="B13" s="15" t="s">
        <v>36</v>
      </c>
      <c r="C13" s="16">
        <f>350000+215000</f>
        <v>565000</v>
      </c>
      <c r="D13" s="16">
        <f>70000+34000</f>
        <v>104000</v>
      </c>
      <c r="E13" s="17">
        <f>1166670+516670</f>
        <v>1683340</v>
      </c>
      <c r="F13" s="17">
        <v>145000</v>
      </c>
      <c r="G13" s="17">
        <f>6165+4335</f>
        <v>10500</v>
      </c>
      <c r="H13" s="18">
        <f t="shared" si="0"/>
        <v>155500</v>
      </c>
      <c r="I13" s="17">
        <f>16000+5590</f>
        <v>21590</v>
      </c>
      <c r="J13" s="17">
        <v>11180</v>
      </c>
      <c r="K13" s="17">
        <v>9000</v>
      </c>
      <c r="L13" s="17">
        <v>0</v>
      </c>
      <c r="M13" s="17">
        <v>23390</v>
      </c>
      <c r="N13" s="17">
        <v>50000</v>
      </c>
      <c r="O13" s="11">
        <f t="shared" si="1"/>
        <v>2467500</v>
      </c>
      <c r="P13" s="12">
        <f t="shared" si="2"/>
        <v>2623000</v>
      </c>
    </row>
    <row r="14" spans="1:16" s="13" customFormat="1" ht="12.75">
      <c r="A14" s="14">
        <v>8</v>
      </c>
      <c r="B14" s="56" t="s">
        <v>37</v>
      </c>
      <c r="C14" s="16">
        <f>350000+215000</f>
        <v>565000</v>
      </c>
      <c r="D14" s="16">
        <f>70000+34000</f>
        <v>104000</v>
      </c>
      <c r="E14" s="17">
        <v>1333330</v>
      </c>
      <c r="F14" s="17">
        <v>130090</v>
      </c>
      <c r="G14" s="17">
        <f>6165+4335</f>
        <v>10500</v>
      </c>
      <c r="H14" s="18">
        <f t="shared" si="0"/>
        <v>140590</v>
      </c>
      <c r="I14" s="17">
        <f>15820+5590</f>
        <v>21410</v>
      </c>
      <c r="J14" s="17">
        <v>0</v>
      </c>
      <c r="K14" s="17">
        <v>9000</v>
      </c>
      <c r="L14" s="17">
        <v>0</v>
      </c>
      <c r="M14" s="17">
        <v>0</v>
      </c>
      <c r="N14" s="17">
        <v>60000</v>
      </c>
      <c r="O14" s="11">
        <f t="shared" si="1"/>
        <v>2092740</v>
      </c>
      <c r="P14" s="12">
        <f t="shared" si="2"/>
        <v>2233330</v>
      </c>
    </row>
    <row r="15" spans="1:16" s="19" customFormat="1" ht="25.5">
      <c r="A15" s="57" t="s">
        <v>5</v>
      </c>
      <c r="B15" s="54" t="s">
        <v>38</v>
      </c>
      <c r="C15" s="18">
        <f aca="true" t="shared" si="4" ref="C15:N15">SUM(C12:C14)</f>
        <v>1753408.07</v>
      </c>
      <c r="D15" s="18">
        <f t="shared" si="4"/>
        <v>330195.13</v>
      </c>
      <c r="E15" s="18">
        <f t="shared" si="4"/>
        <v>4609450.2</v>
      </c>
      <c r="F15" s="18">
        <f t="shared" si="4"/>
        <v>411132</v>
      </c>
      <c r="G15" s="18">
        <f t="shared" si="4"/>
        <v>32010</v>
      </c>
      <c r="H15" s="18">
        <f t="shared" si="4"/>
        <v>443142</v>
      </c>
      <c r="I15" s="18">
        <f t="shared" si="4"/>
        <v>55142.26</v>
      </c>
      <c r="J15" s="18">
        <f>SUM(J12:J14)</f>
        <v>11180</v>
      </c>
      <c r="K15" s="18">
        <f>SUM(K12:K14)</f>
        <v>36542.76</v>
      </c>
      <c r="L15" s="18">
        <f t="shared" si="4"/>
        <v>0</v>
      </c>
      <c r="M15" s="18">
        <f t="shared" si="4"/>
        <v>38945.020000000004</v>
      </c>
      <c r="N15" s="18">
        <f t="shared" si="4"/>
        <v>185596.91999999998</v>
      </c>
      <c r="O15" s="11">
        <f t="shared" si="1"/>
        <v>7020460.36</v>
      </c>
      <c r="P15" s="12">
        <f t="shared" si="2"/>
        <v>7463602.36</v>
      </c>
    </row>
    <row r="16" spans="1:16" s="20" customFormat="1" ht="12.75">
      <c r="A16" s="53" t="s">
        <v>6</v>
      </c>
      <c r="B16" s="58" t="s">
        <v>39</v>
      </c>
      <c r="C16" s="18">
        <f aca="true" t="shared" si="5" ref="C16:N16">C11+C15</f>
        <v>3060000</v>
      </c>
      <c r="D16" s="18">
        <f t="shared" si="5"/>
        <v>518000</v>
      </c>
      <c r="E16" s="18">
        <f t="shared" si="5"/>
        <v>8992670</v>
      </c>
      <c r="F16" s="18">
        <f t="shared" si="5"/>
        <v>795600</v>
      </c>
      <c r="G16" s="18">
        <f t="shared" si="5"/>
        <v>54750</v>
      </c>
      <c r="H16" s="18">
        <f t="shared" si="5"/>
        <v>850350</v>
      </c>
      <c r="I16" s="18">
        <f t="shared" si="5"/>
        <v>111900</v>
      </c>
      <c r="J16" s="18">
        <f>J11+J15</f>
        <v>11180</v>
      </c>
      <c r="K16" s="18">
        <f>K11+K15</f>
        <v>50000</v>
      </c>
      <c r="L16" s="18">
        <f t="shared" si="5"/>
        <v>0</v>
      </c>
      <c r="M16" s="18">
        <f t="shared" si="5"/>
        <v>82840</v>
      </c>
      <c r="N16" s="18">
        <f t="shared" si="5"/>
        <v>356150</v>
      </c>
      <c r="O16" s="11">
        <f t="shared" si="1"/>
        <v>13182740</v>
      </c>
      <c r="P16" s="12">
        <f t="shared" si="2"/>
        <v>14033090</v>
      </c>
    </row>
    <row r="17" spans="1:16" s="13" customFormat="1" ht="12.75">
      <c r="A17" s="14">
        <v>11</v>
      </c>
      <c r="B17" s="15" t="s">
        <v>40</v>
      </c>
      <c r="C17" s="16">
        <v>470000</v>
      </c>
      <c r="D17" s="16">
        <v>100000</v>
      </c>
      <c r="E17" s="59">
        <f>1527910-516670</f>
        <v>1011240</v>
      </c>
      <c r="F17" s="17">
        <v>130000</v>
      </c>
      <c r="G17" s="17">
        <v>10000</v>
      </c>
      <c r="H17" s="18">
        <f t="shared" si="0"/>
        <v>140000</v>
      </c>
      <c r="I17" s="60">
        <v>19380</v>
      </c>
      <c r="J17" s="60">
        <v>0</v>
      </c>
      <c r="K17" s="17">
        <v>4500</v>
      </c>
      <c r="L17" s="17">
        <v>0</v>
      </c>
      <c r="M17" s="17">
        <v>0</v>
      </c>
      <c r="N17" s="17">
        <v>60000</v>
      </c>
      <c r="O17" s="11">
        <f t="shared" si="1"/>
        <v>1665120</v>
      </c>
      <c r="P17" s="12">
        <f t="shared" si="2"/>
        <v>1805120</v>
      </c>
    </row>
    <row r="18" spans="1:16" s="19" customFormat="1" ht="12.75">
      <c r="A18" s="14">
        <v>12</v>
      </c>
      <c r="B18" s="15" t="s">
        <v>41</v>
      </c>
      <c r="C18" s="16">
        <v>470000</v>
      </c>
      <c r="D18" s="38">
        <v>100000</v>
      </c>
      <c r="E18" s="39">
        <v>0</v>
      </c>
      <c r="F18" s="39">
        <v>130000</v>
      </c>
      <c r="G18" s="39">
        <v>10000</v>
      </c>
      <c r="H18" s="18">
        <f t="shared" si="0"/>
        <v>140000</v>
      </c>
      <c r="I18" s="17">
        <v>19000</v>
      </c>
      <c r="J18" s="17">
        <v>0</v>
      </c>
      <c r="K18" s="17">
        <v>5440</v>
      </c>
      <c r="L18" s="17">
        <v>0</v>
      </c>
      <c r="M18" s="17">
        <v>0</v>
      </c>
      <c r="N18" s="39">
        <v>60000</v>
      </c>
      <c r="O18" s="11">
        <f t="shared" si="1"/>
        <v>654440</v>
      </c>
      <c r="P18" s="12">
        <f t="shared" si="2"/>
        <v>794440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61">
        <v>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40">
        <v>0</v>
      </c>
      <c r="K19" s="17">
        <v>0</v>
      </c>
      <c r="L19" s="17">
        <v>0</v>
      </c>
      <c r="M19" s="17">
        <v>0</v>
      </c>
      <c r="N19" s="39">
        <v>43500</v>
      </c>
      <c r="O19" s="11">
        <f t="shared" si="1"/>
        <v>645390</v>
      </c>
      <c r="P19" s="12">
        <f t="shared" si="2"/>
        <v>785390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1422890</v>
      </c>
      <c r="D20" s="62">
        <f aca="true" t="shared" si="6" ref="D20:N20">ROUND(D17+D18+D19,2)</f>
        <v>300000</v>
      </c>
      <c r="E20" s="62">
        <f t="shared" si="6"/>
        <v>1011240</v>
      </c>
      <c r="F20" s="62">
        <f t="shared" si="6"/>
        <v>390000</v>
      </c>
      <c r="G20" s="62">
        <f t="shared" si="6"/>
        <v>30000</v>
      </c>
      <c r="H20" s="62">
        <f t="shared" si="6"/>
        <v>420000</v>
      </c>
      <c r="I20" s="62">
        <f t="shared" si="6"/>
        <v>57380</v>
      </c>
      <c r="J20" s="62">
        <f>ROUND(J17+J18+J19,2)</f>
        <v>0</v>
      </c>
      <c r="K20" s="62">
        <f>ROUND(K17+K18+K19,2)</f>
        <v>9940</v>
      </c>
      <c r="L20" s="62">
        <f t="shared" si="6"/>
        <v>0</v>
      </c>
      <c r="M20" s="62">
        <f t="shared" si="6"/>
        <v>0</v>
      </c>
      <c r="N20" s="62">
        <f t="shared" si="6"/>
        <v>163500</v>
      </c>
      <c r="O20" s="11">
        <f t="shared" si="1"/>
        <v>2964950</v>
      </c>
      <c r="P20" s="12">
        <f t="shared" si="2"/>
        <v>3384950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10003910</v>
      </c>
      <c r="F21" s="62">
        <f t="shared" si="7"/>
        <v>1185600</v>
      </c>
      <c r="G21" s="62">
        <f t="shared" si="7"/>
        <v>84750</v>
      </c>
      <c r="H21" s="62">
        <f t="shared" si="7"/>
        <v>1270350</v>
      </c>
      <c r="I21" s="62">
        <f t="shared" si="7"/>
        <v>169280</v>
      </c>
      <c r="J21" s="62">
        <f>ROUND(J16+J20,2)</f>
        <v>11180</v>
      </c>
      <c r="K21" s="62">
        <f>ROUND(K16+K20,2)</f>
        <v>59940</v>
      </c>
      <c r="L21" s="62">
        <f t="shared" si="7"/>
        <v>0</v>
      </c>
      <c r="M21" s="62">
        <f t="shared" si="7"/>
        <v>82840</v>
      </c>
      <c r="N21" s="62">
        <f t="shared" si="7"/>
        <v>519650</v>
      </c>
      <c r="O21" s="11">
        <f t="shared" si="1"/>
        <v>16147690</v>
      </c>
      <c r="P21" s="12">
        <f t="shared" si="2"/>
        <v>17418040</v>
      </c>
    </row>
    <row r="22" spans="1:16" s="21" customFormat="1" ht="12.75">
      <c r="A22" s="14">
        <v>16</v>
      </c>
      <c r="B22" s="63" t="s">
        <v>45</v>
      </c>
      <c r="C22" s="16">
        <f>430000-430000</f>
        <v>0</v>
      </c>
      <c r="D22" s="38">
        <v>90000</v>
      </c>
      <c r="E22" s="41">
        <f>1333330-1333330</f>
        <v>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f>60000-60000</f>
        <v>0</v>
      </c>
      <c r="O22" s="11">
        <f t="shared" si="1"/>
        <v>95000</v>
      </c>
      <c r="P22" s="12">
        <f t="shared" si="2"/>
        <v>245050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270000</v>
      </c>
      <c r="E25" s="62">
        <f t="shared" si="8"/>
        <v>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0</v>
      </c>
      <c r="O25" s="11">
        <f t="shared" si="1"/>
        <v>275000</v>
      </c>
      <c r="P25" s="12">
        <f t="shared" si="2"/>
        <v>588100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1088000</v>
      </c>
      <c r="E26" s="66">
        <f t="shared" si="9"/>
        <v>10003910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11180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519650</v>
      </c>
      <c r="O26" s="67">
        <f t="shared" si="1"/>
        <v>16422690</v>
      </c>
      <c r="P26" s="68">
        <f t="shared" si="2"/>
        <v>18006140</v>
      </c>
    </row>
    <row r="27" spans="1:17" s="19" customFormat="1" ht="39.75" customHeight="1">
      <c r="A27" s="69" t="s">
        <v>83</v>
      </c>
      <c r="B27" s="27" t="s">
        <v>50</v>
      </c>
      <c r="C27" s="17">
        <f>ROUND(C8+C9+C10,2)</f>
        <v>1306591.93</v>
      </c>
      <c r="D27" s="17">
        <f aca="true" t="shared" si="10" ref="D27:N27">ROUND(D8+D9+D10,2)</f>
        <v>187804.87</v>
      </c>
      <c r="E27" s="17">
        <f t="shared" si="10"/>
        <v>4383219.8</v>
      </c>
      <c r="F27" s="17">
        <f t="shared" si="10"/>
        <v>384468</v>
      </c>
      <c r="G27" s="17">
        <f t="shared" si="10"/>
        <v>22740</v>
      </c>
      <c r="H27" s="18">
        <f t="shared" si="0"/>
        <v>407208</v>
      </c>
      <c r="I27" s="17">
        <f t="shared" si="10"/>
        <v>56757.74</v>
      </c>
      <c r="J27" s="17">
        <f t="shared" si="10"/>
        <v>0</v>
      </c>
      <c r="K27" s="17">
        <f t="shared" si="10"/>
        <v>13457.24</v>
      </c>
      <c r="L27" s="17">
        <f t="shared" si="10"/>
        <v>0</v>
      </c>
      <c r="M27" s="17">
        <f t="shared" si="10"/>
        <v>43894.98</v>
      </c>
      <c r="N27" s="17">
        <f t="shared" si="10"/>
        <v>170553.08</v>
      </c>
      <c r="O27" s="11">
        <f t="shared" si="1"/>
        <v>6162279.64</v>
      </c>
      <c r="P27" s="12">
        <f t="shared" si="2"/>
        <v>6569487.64</v>
      </c>
      <c r="Q27" s="23"/>
    </row>
    <row r="28" spans="1:17" s="25" customFormat="1" ht="25.5">
      <c r="A28" s="14" t="s">
        <v>75</v>
      </c>
      <c r="B28" s="24" t="s">
        <v>84</v>
      </c>
      <c r="C28" s="17">
        <f>ROUND(C26-C27,2)</f>
        <v>3176298.07</v>
      </c>
      <c r="D28" s="17">
        <f>ROUND(D26-D27,2)</f>
        <v>900195.13</v>
      </c>
      <c r="E28" s="17">
        <f>ROUND(E26-E27,2)</f>
        <v>5620690.2</v>
      </c>
      <c r="F28" s="17">
        <f>ROUND(F26-F27,2)</f>
        <v>1110752</v>
      </c>
      <c r="G28" s="17">
        <f>ROUND(G26-G27,2)</f>
        <v>65490</v>
      </c>
      <c r="H28" s="18">
        <f t="shared" si="0"/>
        <v>1176242</v>
      </c>
      <c r="I28" s="17">
        <f aca="true" t="shared" si="11" ref="I28:N28">ROUND(I26-I27,2)</f>
        <v>112522.26</v>
      </c>
      <c r="J28" s="17">
        <f t="shared" si="11"/>
        <v>11180</v>
      </c>
      <c r="K28" s="17">
        <f t="shared" si="11"/>
        <v>46482.76</v>
      </c>
      <c r="L28" s="17">
        <f t="shared" si="11"/>
        <v>0</v>
      </c>
      <c r="M28" s="17">
        <f t="shared" si="11"/>
        <v>43945.02</v>
      </c>
      <c r="N28" s="17">
        <f t="shared" si="11"/>
        <v>349096.92</v>
      </c>
      <c r="O28" s="11">
        <f t="shared" si="1"/>
        <v>10260410.36</v>
      </c>
      <c r="P28" s="12">
        <f t="shared" si="2"/>
        <v>11436652.36</v>
      </c>
      <c r="Q28" s="23"/>
    </row>
    <row r="29" spans="1:17" s="25" customFormat="1" ht="26.25" customHeight="1">
      <c r="A29" s="70">
        <v>23</v>
      </c>
      <c r="B29" s="71" t="s">
        <v>85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ROUND((C27)/3,2)</f>
        <v>435530.64</v>
      </c>
      <c r="D32" s="17">
        <f aca="true" t="shared" si="13" ref="D32:N32">ROUND((D27)/3,2)</f>
        <v>62601.62</v>
      </c>
      <c r="E32" s="17">
        <f t="shared" si="13"/>
        <v>1461073.27</v>
      </c>
      <c r="F32" s="17">
        <f t="shared" si="13"/>
        <v>128156</v>
      </c>
      <c r="G32" s="17">
        <f t="shared" si="13"/>
        <v>7580</v>
      </c>
      <c r="H32" s="26">
        <f t="shared" si="0"/>
        <v>135736</v>
      </c>
      <c r="I32" s="17">
        <f t="shared" si="13"/>
        <v>18919.25</v>
      </c>
      <c r="J32" s="17">
        <f t="shared" si="13"/>
        <v>0</v>
      </c>
      <c r="K32" s="17">
        <f t="shared" si="13"/>
        <v>4485.75</v>
      </c>
      <c r="L32" s="17">
        <f t="shared" si="13"/>
        <v>0</v>
      </c>
      <c r="M32" s="17">
        <f t="shared" si="13"/>
        <v>14631.66</v>
      </c>
      <c r="N32" s="17">
        <f t="shared" si="13"/>
        <v>56851.03</v>
      </c>
      <c r="O32" s="11">
        <f t="shared" si="1"/>
        <v>2054093.22</v>
      </c>
      <c r="P32" s="12">
        <f t="shared" si="2"/>
        <v>2189829.22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743477.68</v>
      </c>
      <c r="D33" s="60">
        <f t="shared" si="14"/>
        <v>-336780.56</v>
      </c>
      <c r="E33" s="60">
        <f t="shared" si="14"/>
        <v>7528969.24</v>
      </c>
      <c r="F33" s="60">
        <f t="shared" si="14"/>
        <v>42652</v>
      </c>
      <c r="G33" s="60">
        <f t="shared" si="14"/>
        <v>2730</v>
      </c>
      <c r="H33" s="76">
        <f t="shared" si="14"/>
        <v>45382</v>
      </c>
      <c r="I33" s="60">
        <f t="shared" si="14"/>
        <v>57751</v>
      </c>
      <c r="J33" s="60">
        <f t="shared" si="14"/>
        <v>-11180</v>
      </c>
      <c r="K33" s="60">
        <f t="shared" si="14"/>
        <v>-6111</v>
      </c>
      <c r="L33" s="60">
        <f t="shared" si="14"/>
        <v>0</v>
      </c>
      <c r="M33" s="60">
        <f>ROUND(M32*12-M7,2)</f>
        <v>87739.92</v>
      </c>
      <c r="N33" s="60">
        <f>ROUND(N32*12-N7,2)</f>
        <v>162562.36</v>
      </c>
      <c r="O33" s="11">
        <f t="shared" si="1"/>
        <v>8226428.64</v>
      </c>
      <c r="P33" s="12">
        <f t="shared" si="2"/>
        <v>8271810.64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5226367.68</v>
      </c>
      <c r="D34" s="80">
        <f t="shared" si="15"/>
        <v>751219.44</v>
      </c>
      <c r="E34" s="80">
        <f t="shared" si="15"/>
        <v>17532879.24</v>
      </c>
      <c r="F34" s="80">
        <f t="shared" si="15"/>
        <v>1537872</v>
      </c>
      <c r="G34" s="80">
        <f t="shared" si="15"/>
        <v>90960</v>
      </c>
      <c r="H34" s="81">
        <f t="shared" si="15"/>
        <v>1628832</v>
      </c>
      <c r="I34" s="80">
        <f t="shared" si="15"/>
        <v>227031</v>
      </c>
      <c r="J34" s="80">
        <f t="shared" si="15"/>
        <v>0</v>
      </c>
      <c r="K34" s="80">
        <f t="shared" si="15"/>
        <v>53829</v>
      </c>
      <c r="L34" s="80">
        <f t="shared" si="15"/>
        <v>0</v>
      </c>
      <c r="M34" s="80">
        <f t="shared" si="15"/>
        <v>175579.92</v>
      </c>
      <c r="N34" s="80">
        <f t="shared" si="15"/>
        <v>682212.36</v>
      </c>
      <c r="O34" s="90">
        <f t="shared" si="1"/>
        <v>24649118.64</v>
      </c>
      <c r="P34" s="82">
        <f t="shared" si="15"/>
        <v>26277950.64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3">
      <selection activeCell="C36" sqref="C36:K38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93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300000-80000+1270000-30000-440000+68000</f>
        <v>1088000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v>11180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</f>
        <v>519650</v>
      </c>
      <c r="O7" s="11">
        <f>ROUND(C7+D7+E7+I7+J7+K7+N7+L7+M7,2)</f>
        <v>16422690</v>
      </c>
      <c r="P7" s="12">
        <f>ROUND(H7+O7,2)</f>
        <v>18006140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33" customHeight="1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36</v>
      </c>
      <c r="C13" s="16">
        <f>350000+215000+157572.31</f>
        <v>722572.31</v>
      </c>
      <c r="D13" s="16">
        <f>70000+34000+39789.16</f>
        <v>143789.16</v>
      </c>
      <c r="E13" s="17">
        <f>1166670+516670+199251.13</f>
        <v>1882591.13</v>
      </c>
      <c r="F13" s="17">
        <f>145000+21322</f>
        <v>166322</v>
      </c>
      <c r="G13" s="17">
        <f>6165+4335+2850</f>
        <v>13350</v>
      </c>
      <c r="H13" s="18">
        <f t="shared" si="0"/>
        <v>179672</v>
      </c>
      <c r="I13" s="17">
        <f>16000+5590+6542.62</f>
        <v>28132.62</v>
      </c>
      <c r="J13" s="17">
        <v>11180</v>
      </c>
      <c r="K13" s="17">
        <f>9000+15739.17</f>
        <v>24739.17</v>
      </c>
      <c r="L13" s="17">
        <v>0</v>
      </c>
      <c r="M13" s="17">
        <f>23390+15555.02</f>
        <v>38945.020000000004</v>
      </c>
      <c r="N13" s="17">
        <f>50000-4464.56</f>
        <v>45535.44</v>
      </c>
      <c r="O13" s="11">
        <f t="shared" si="1"/>
        <v>2897484.85</v>
      </c>
      <c r="P13" s="12">
        <f t="shared" si="2"/>
        <v>3077156.85</v>
      </c>
    </row>
    <row r="14" spans="1:16" s="13" customFormat="1" ht="12.75">
      <c r="A14" s="14">
        <v>8</v>
      </c>
      <c r="B14" s="56" t="s">
        <v>37</v>
      </c>
      <c r="C14" s="16">
        <f>350000+215000</f>
        <v>565000</v>
      </c>
      <c r="D14" s="16">
        <f>70000+34000</f>
        <v>104000</v>
      </c>
      <c r="E14" s="17">
        <v>1333330</v>
      </c>
      <c r="F14" s="17">
        <v>130090</v>
      </c>
      <c r="G14" s="17">
        <f>6165+4335</f>
        <v>10500</v>
      </c>
      <c r="H14" s="18">
        <f t="shared" si="0"/>
        <v>140590</v>
      </c>
      <c r="I14" s="17">
        <f>15820+5590</f>
        <v>21410</v>
      </c>
      <c r="J14" s="17">
        <v>0</v>
      </c>
      <c r="K14" s="17">
        <v>9000</v>
      </c>
      <c r="L14" s="17">
        <v>0</v>
      </c>
      <c r="M14" s="17">
        <v>0</v>
      </c>
      <c r="N14" s="17">
        <v>60000</v>
      </c>
      <c r="O14" s="11">
        <f t="shared" si="1"/>
        <v>2092740</v>
      </c>
      <c r="P14" s="12">
        <f t="shared" si="2"/>
        <v>2233330</v>
      </c>
    </row>
    <row r="15" spans="1:16" s="19" customFormat="1" ht="25.5">
      <c r="A15" s="57" t="s">
        <v>5</v>
      </c>
      <c r="B15" s="54" t="s">
        <v>38</v>
      </c>
      <c r="C15" s="18">
        <f aca="true" t="shared" si="4" ref="C15:N15">SUM(C12:C14)</f>
        <v>1753408.07</v>
      </c>
      <c r="D15" s="18">
        <f t="shared" si="4"/>
        <v>330195.13</v>
      </c>
      <c r="E15" s="18">
        <f t="shared" si="4"/>
        <v>4609450.199999999</v>
      </c>
      <c r="F15" s="18">
        <f t="shared" si="4"/>
        <v>411132</v>
      </c>
      <c r="G15" s="18">
        <f t="shared" si="4"/>
        <v>32010</v>
      </c>
      <c r="H15" s="18">
        <f t="shared" si="4"/>
        <v>443142</v>
      </c>
      <c r="I15" s="18">
        <f t="shared" si="4"/>
        <v>55142.26</v>
      </c>
      <c r="J15" s="18">
        <f>SUM(J12:J14)</f>
        <v>11180</v>
      </c>
      <c r="K15" s="18">
        <f>SUM(K12:K14)</f>
        <v>36542.76</v>
      </c>
      <c r="L15" s="18">
        <f t="shared" si="4"/>
        <v>0</v>
      </c>
      <c r="M15" s="18">
        <f t="shared" si="4"/>
        <v>38945.020000000004</v>
      </c>
      <c r="N15" s="18">
        <f t="shared" si="4"/>
        <v>185596.91999999998</v>
      </c>
      <c r="O15" s="11">
        <f t="shared" si="1"/>
        <v>7020460.36</v>
      </c>
      <c r="P15" s="12">
        <f t="shared" si="2"/>
        <v>7463602.36</v>
      </c>
    </row>
    <row r="16" spans="1:16" s="20" customFormat="1" ht="12.75">
      <c r="A16" s="53" t="s">
        <v>6</v>
      </c>
      <c r="B16" s="58" t="s">
        <v>39</v>
      </c>
      <c r="C16" s="18">
        <f aca="true" t="shared" si="5" ref="C16:N16">C11+C15</f>
        <v>3060000</v>
      </c>
      <c r="D16" s="18">
        <f t="shared" si="5"/>
        <v>518000</v>
      </c>
      <c r="E16" s="18">
        <f t="shared" si="5"/>
        <v>8992670</v>
      </c>
      <c r="F16" s="18">
        <f t="shared" si="5"/>
        <v>795600</v>
      </c>
      <c r="G16" s="18">
        <f t="shared" si="5"/>
        <v>54750</v>
      </c>
      <c r="H16" s="18">
        <f t="shared" si="5"/>
        <v>850350</v>
      </c>
      <c r="I16" s="18">
        <f t="shared" si="5"/>
        <v>111900</v>
      </c>
      <c r="J16" s="18">
        <f>J11+J15</f>
        <v>11180</v>
      </c>
      <c r="K16" s="18">
        <f>K11+K15</f>
        <v>50000</v>
      </c>
      <c r="L16" s="18">
        <f t="shared" si="5"/>
        <v>0</v>
      </c>
      <c r="M16" s="18">
        <f t="shared" si="5"/>
        <v>82840</v>
      </c>
      <c r="N16" s="18">
        <f t="shared" si="5"/>
        <v>356150</v>
      </c>
      <c r="O16" s="11">
        <f t="shared" si="1"/>
        <v>13182740</v>
      </c>
      <c r="P16" s="12">
        <f t="shared" si="2"/>
        <v>14033090</v>
      </c>
    </row>
    <row r="17" spans="1:16" s="13" customFormat="1" ht="12.75">
      <c r="A17" s="14">
        <v>11</v>
      </c>
      <c r="B17" s="15" t="s">
        <v>40</v>
      </c>
      <c r="C17" s="16">
        <v>470000</v>
      </c>
      <c r="D17" s="16">
        <v>100000</v>
      </c>
      <c r="E17" s="59">
        <f>1527910-516670</f>
        <v>1011240</v>
      </c>
      <c r="F17" s="17">
        <v>130000</v>
      </c>
      <c r="G17" s="17">
        <v>10000</v>
      </c>
      <c r="H17" s="18">
        <f t="shared" si="0"/>
        <v>140000</v>
      </c>
      <c r="I17" s="60">
        <v>19380</v>
      </c>
      <c r="J17" s="60">
        <v>0</v>
      </c>
      <c r="K17" s="17">
        <v>4500</v>
      </c>
      <c r="L17" s="17">
        <v>0</v>
      </c>
      <c r="M17" s="17">
        <v>0</v>
      </c>
      <c r="N17" s="17">
        <v>60000</v>
      </c>
      <c r="O17" s="11">
        <f t="shared" si="1"/>
        <v>1665120</v>
      </c>
      <c r="P17" s="12">
        <f t="shared" si="2"/>
        <v>1805120</v>
      </c>
    </row>
    <row r="18" spans="1:16" s="19" customFormat="1" ht="12.75">
      <c r="A18" s="14">
        <v>12</v>
      </c>
      <c r="B18" s="15" t="s">
        <v>41</v>
      </c>
      <c r="C18" s="16">
        <v>470000</v>
      </c>
      <c r="D18" s="38">
        <v>100000</v>
      </c>
      <c r="E18" s="39">
        <v>0</v>
      </c>
      <c r="F18" s="39">
        <v>130000</v>
      </c>
      <c r="G18" s="39">
        <v>10000</v>
      </c>
      <c r="H18" s="18">
        <f t="shared" si="0"/>
        <v>140000</v>
      </c>
      <c r="I18" s="17">
        <v>19000</v>
      </c>
      <c r="J18" s="17">
        <v>0</v>
      </c>
      <c r="K18" s="17">
        <v>5440</v>
      </c>
      <c r="L18" s="17">
        <v>0</v>
      </c>
      <c r="M18" s="17">
        <v>0</v>
      </c>
      <c r="N18" s="39">
        <v>60000</v>
      </c>
      <c r="O18" s="11">
        <f t="shared" si="1"/>
        <v>654440</v>
      </c>
      <c r="P18" s="12">
        <f t="shared" si="2"/>
        <v>794440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61">
        <v>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40">
        <v>0</v>
      </c>
      <c r="K19" s="17">
        <v>0</v>
      </c>
      <c r="L19" s="17">
        <v>0</v>
      </c>
      <c r="M19" s="17">
        <v>0</v>
      </c>
      <c r="N19" s="39">
        <v>43500</v>
      </c>
      <c r="O19" s="11">
        <f t="shared" si="1"/>
        <v>645390</v>
      </c>
      <c r="P19" s="12">
        <f t="shared" si="2"/>
        <v>785390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1422890</v>
      </c>
      <c r="D20" s="62">
        <f aca="true" t="shared" si="6" ref="D20:N20">ROUND(D17+D18+D19,2)</f>
        <v>300000</v>
      </c>
      <c r="E20" s="62">
        <f t="shared" si="6"/>
        <v>1011240</v>
      </c>
      <c r="F20" s="62">
        <f t="shared" si="6"/>
        <v>390000</v>
      </c>
      <c r="G20" s="62">
        <f t="shared" si="6"/>
        <v>30000</v>
      </c>
      <c r="H20" s="62">
        <f t="shared" si="6"/>
        <v>420000</v>
      </c>
      <c r="I20" s="62">
        <f t="shared" si="6"/>
        <v>57380</v>
      </c>
      <c r="J20" s="62">
        <f>ROUND(J17+J18+J19,2)</f>
        <v>0</v>
      </c>
      <c r="K20" s="62">
        <f>ROUND(K17+K18+K19,2)</f>
        <v>9940</v>
      </c>
      <c r="L20" s="62">
        <f t="shared" si="6"/>
        <v>0</v>
      </c>
      <c r="M20" s="62">
        <f t="shared" si="6"/>
        <v>0</v>
      </c>
      <c r="N20" s="62">
        <f t="shared" si="6"/>
        <v>163500</v>
      </c>
      <c r="O20" s="11">
        <f t="shared" si="1"/>
        <v>2964950</v>
      </c>
      <c r="P20" s="12">
        <f t="shared" si="2"/>
        <v>3384950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10003910</v>
      </c>
      <c r="F21" s="62">
        <f t="shared" si="7"/>
        <v>1185600</v>
      </c>
      <c r="G21" s="62">
        <f t="shared" si="7"/>
        <v>84750</v>
      </c>
      <c r="H21" s="62">
        <f t="shared" si="7"/>
        <v>1270350</v>
      </c>
      <c r="I21" s="62">
        <f t="shared" si="7"/>
        <v>169280</v>
      </c>
      <c r="J21" s="62">
        <f>ROUND(J16+J20,2)</f>
        <v>11180</v>
      </c>
      <c r="K21" s="62">
        <f>ROUND(K16+K20,2)</f>
        <v>59940</v>
      </c>
      <c r="L21" s="62">
        <f t="shared" si="7"/>
        <v>0</v>
      </c>
      <c r="M21" s="62">
        <f t="shared" si="7"/>
        <v>82840</v>
      </c>
      <c r="N21" s="62">
        <f t="shared" si="7"/>
        <v>519650</v>
      </c>
      <c r="O21" s="11">
        <f t="shared" si="1"/>
        <v>16147690</v>
      </c>
      <c r="P21" s="12">
        <f t="shared" si="2"/>
        <v>17418040</v>
      </c>
    </row>
    <row r="22" spans="1:16" s="21" customFormat="1" ht="12.75">
      <c r="A22" s="14">
        <v>16</v>
      </c>
      <c r="B22" s="63" t="s">
        <v>45</v>
      </c>
      <c r="C22" s="16">
        <f>430000-430000</f>
        <v>0</v>
      </c>
      <c r="D22" s="38">
        <v>90000</v>
      </c>
      <c r="E22" s="41">
        <f>1333330-1333330</f>
        <v>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f>60000-60000</f>
        <v>0</v>
      </c>
      <c r="O22" s="11">
        <f t="shared" si="1"/>
        <v>95000</v>
      </c>
      <c r="P22" s="12">
        <f t="shared" si="2"/>
        <v>245050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270000</v>
      </c>
      <c r="E25" s="62">
        <f t="shared" si="8"/>
        <v>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0</v>
      </c>
      <c r="O25" s="11">
        <f t="shared" si="1"/>
        <v>275000</v>
      </c>
      <c r="P25" s="12">
        <f t="shared" si="2"/>
        <v>588100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1088000</v>
      </c>
      <c r="E26" s="66">
        <f t="shared" si="9"/>
        <v>10003910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11180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519650</v>
      </c>
      <c r="O26" s="67">
        <f t="shared" si="1"/>
        <v>16422690</v>
      </c>
      <c r="P26" s="68">
        <f t="shared" si="2"/>
        <v>18006140</v>
      </c>
    </row>
    <row r="27" spans="1:17" s="19" customFormat="1" ht="39.75" customHeight="1">
      <c r="A27" s="69" t="s">
        <v>95</v>
      </c>
      <c r="B27" s="27" t="s">
        <v>50</v>
      </c>
      <c r="C27" s="17">
        <f>ROUND(C8+C9+C10+C12,2)</f>
        <v>1772427.69</v>
      </c>
      <c r="D27" s="17">
        <f aca="true" t="shared" si="10" ref="D27:N27">ROUND(D8+D9+D10+D12,2)</f>
        <v>270210.84</v>
      </c>
      <c r="E27" s="17">
        <f t="shared" si="10"/>
        <v>5776748.87</v>
      </c>
      <c r="F27" s="17">
        <f t="shared" si="10"/>
        <v>499188</v>
      </c>
      <c r="G27" s="17">
        <f t="shared" si="10"/>
        <v>30900</v>
      </c>
      <c r="H27" s="18">
        <f t="shared" si="0"/>
        <v>530088</v>
      </c>
      <c r="I27" s="17">
        <f t="shared" si="10"/>
        <v>62357.38</v>
      </c>
      <c r="J27" s="17">
        <f t="shared" si="10"/>
        <v>0</v>
      </c>
      <c r="K27" s="17">
        <f t="shared" si="10"/>
        <v>16260.83</v>
      </c>
      <c r="L27" s="17">
        <f t="shared" si="10"/>
        <v>0</v>
      </c>
      <c r="M27" s="17">
        <f t="shared" si="10"/>
        <v>43894.98</v>
      </c>
      <c r="N27" s="17">
        <f t="shared" si="10"/>
        <v>250614.56</v>
      </c>
      <c r="O27" s="11">
        <f t="shared" si="1"/>
        <v>8192515.15</v>
      </c>
      <c r="P27" s="12">
        <f t="shared" si="2"/>
        <v>8722603.15</v>
      </c>
      <c r="Q27" s="23"/>
    </row>
    <row r="28" spans="1:17" s="25" customFormat="1" ht="25.5">
      <c r="A28" s="14" t="s">
        <v>75</v>
      </c>
      <c r="B28" s="24" t="s">
        <v>96</v>
      </c>
      <c r="C28" s="17">
        <f>ROUND(C26-C27,2)</f>
        <v>2710462.31</v>
      </c>
      <c r="D28" s="17">
        <f>ROUND(D26-D27,2)</f>
        <v>817789.16</v>
      </c>
      <c r="E28" s="17">
        <f>ROUND(E26-E27,2)</f>
        <v>4227161.13</v>
      </c>
      <c r="F28" s="17">
        <f>ROUND(F26-F27,2)</f>
        <v>996032</v>
      </c>
      <c r="G28" s="17">
        <f>ROUND(G26-G27,2)</f>
        <v>57330</v>
      </c>
      <c r="H28" s="18">
        <f t="shared" si="0"/>
        <v>1053362</v>
      </c>
      <c r="I28" s="17">
        <f aca="true" t="shared" si="11" ref="I28:N28">ROUND(I26-I27,2)</f>
        <v>106922.62</v>
      </c>
      <c r="J28" s="17">
        <f t="shared" si="11"/>
        <v>11180</v>
      </c>
      <c r="K28" s="17">
        <f t="shared" si="11"/>
        <v>43679.17</v>
      </c>
      <c r="L28" s="17">
        <f t="shared" si="11"/>
        <v>0</v>
      </c>
      <c r="M28" s="17">
        <f t="shared" si="11"/>
        <v>43945.02</v>
      </c>
      <c r="N28" s="17">
        <f t="shared" si="11"/>
        <v>269035.44</v>
      </c>
      <c r="O28" s="11">
        <f t="shared" si="1"/>
        <v>8230174.85</v>
      </c>
      <c r="P28" s="12">
        <f t="shared" si="2"/>
        <v>9283536.85</v>
      </c>
      <c r="Q28" s="23"/>
    </row>
    <row r="29" spans="1:17" s="25" customFormat="1" ht="26.25" customHeight="1">
      <c r="A29" s="70">
        <v>23</v>
      </c>
      <c r="B29" s="71" t="s">
        <v>97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ROUND((C27)/4,2)</f>
        <v>443106.92</v>
      </c>
      <c r="D32" s="17">
        <f aca="true" t="shared" si="13" ref="D32:N32">ROUND((D27)/4,2)</f>
        <v>67552.71</v>
      </c>
      <c r="E32" s="17">
        <f t="shared" si="13"/>
        <v>1444187.22</v>
      </c>
      <c r="F32" s="17">
        <f t="shared" si="13"/>
        <v>124797</v>
      </c>
      <c r="G32" s="17">
        <f t="shared" si="13"/>
        <v>7725</v>
      </c>
      <c r="H32" s="26">
        <f t="shared" si="0"/>
        <v>132522</v>
      </c>
      <c r="I32" s="17">
        <f t="shared" si="13"/>
        <v>15589.35</v>
      </c>
      <c r="J32" s="17">
        <f t="shared" si="13"/>
        <v>0</v>
      </c>
      <c r="K32" s="17">
        <f t="shared" si="13"/>
        <v>4065.21</v>
      </c>
      <c r="L32" s="17">
        <f t="shared" si="13"/>
        <v>0</v>
      </c>
      <c r="M32" s="17">
        <f t="shared" si="13"/>
        <v>10973.75</v>
      </c>
      <c r="N32" s="17">
        <f t="shared" si="13"/>
        <v>62653.64</v>
      </c>
      <c r="O32" s="11">
        <f t="shared" si="1"/>
        <v>2048128.8</v>
      </c>
      <c r="P32" s="12">
        <f t="shared" si="2"/>
        <v>2180650.8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834393.04</v>
      </c>
      <c r="D33" s="60">
        <f t="shared" si="14"/>
        <v>-277367.48</v>
      </c>
      <c r="E33" s="60">
        <f t="shared" si="14"/>
        <v>7326336.64</v>
      </c>
      <c r="F33" s="60">
        <f t="shared" si="14"/>
        <v>2344</v>
      </c>
      <c r="G33" s="60">
        <f t="shared" si="14"/>
        <v>4470</v>
      </c>
      <c r="H33" s="76">
        <f t="shared" si="14"/>
        <v>6814</v>
      </c>
      <c r="I33" s="60">
        <f t="shared" si="14"/>
        <v>17792.2</v>
      </c>
      <c r="J33" s="60">
        <f t="shared" si="14"/>
        <v>-11180</v>
      </c>
      <c r="K33" s="60">
        <f t="shared" si="14"/>
        <v>-11157.48</v>
      </c>
      <c r="L33" s="60">
        <f t="shared" si="14"/>
        <v>0</v>
      </c>
      <c r="M33" s="60">
        <f>ROUND(M32*12-M7,2)</f>
        <v>43845</v>
      </c>
      <c r="N33" s="60">
        <f>ROUND(N32*12-N7,2)</f>
        <v>232193.68</v>
      </c>
      <c r="O33" s="11">
        <f t="shared" si="1"/>
        <v>8154855.6</v>
      </c>
      <c r="P33" s="12">
        <f t="shared" si="2"/>
        <v>8161669.6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5317283.04</v>
      </c>
      <c r="D34" s="80">
        <f t="shared" si="15"/>
        <v>810632.52</v>
      </c>
      <c r="E34" s="80">
        <f t="shared" si="15"/>
        <v>17330246.64</v>
      </c>
      <c r="F34" s="80">
        <f t="shared" si="15"/>
        <v>1497564</v>
      </c>
      <c r="G34" s="80">
        <f t="shared" si="15"/>
        <v>92700</v>
      </c>
      <c r="H34" s="81">
        <f t="shared" si="15"/>
        <v>1590264</v>
      </c>
      <c r="I34" s="80">
        <f t="shared" si="15"/>
        <v>187072.2</v>
      </c>
      <c r="J34" s="80">
        <f t="shared" si="15"/>
        <v>0</v>
      </c>
      <c r="K34" s="80">
        <f t="shared" si="15"/>
        <v>48782.52</v>
      </c>
      <c r="L34" s="80">
        <f t="shared" si="15"/>
        <v>0</v>
      </c>
      <c r="M34" s="80">
        <f t="shared" si="15"/>
        <v>131685</v>
      </c>
      <c r="N34" s="80">
        <f t="shared" si="15"/>
        <v>751843.68</v>
      </c>
      <c r="O34" s="90">
        <f t="shared" si="1"/>
        <v>24577545.6</v>
      </c>
      <c r="P34" s="82">
        <f t="shared" si="15"/>
        <v>26167809.6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66" customHeight="1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300000-80000+1270000-30000-440000+68000</f>
        <v>1088000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f>11180+4820</f>
        <v>16000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</f>
        <v>519650</v>
      </c>
      <c r="O7" s="11">
        <f>ROUND(C7+D7+E7+I7+J7+K7+N7+L7+M7,2)</f>
        <v>16427510</v>
      </c>
      <c r="P7" s="12">
        <f>ROUND(H7+O7,2)</f>
        <v>18010960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33" customHeight="1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36</v>
      </c>
      <c r="C13" s="16">
        <f>350000+215000+157572.31</f>
        <v>722572.31</v>
      </c>
      <c r="D13" s="16">
        <f>70000+34000+39789.16</f>
        <v>143789.16</v>
      </c>
      <c r="E13" s="17">
        <f>1166670+516670+199251.13</f>
        <v>1882591.13</v>
      </c>
      <c r="F13" s="17">
        <f>145000+21322</f>
        <v>166322</v>
      </c>
      <c r="G13" s="17">
        <f>6165+4335+2850</f>
        <v>13350</v>
      </c>
      <c r="H13" s="18">
        <f t="shared" si="0"/>
        <v>179672</v>
      </c>
      <c r="I13" s="17">
        <f>16000+5590+6542.62</f>
        <v>28132.62</v>
      </c>
      <c r="J13" s="17">
        <v>11180</v>
      </c>
      <c r="K13" s="17">
        <f>9000+15739.17</f>
        <v>24739.17</v>
      </c>
      <c r="L13" s="17">
        <v>0</v>
      </c>
      <c r="M13" s="17">
        <f>23390+15555.02</f>
        <v>38945.020000000004</v>
      </c>
      <c r="N13" s="17">
        <f>50000-4464.56</f>
        <v>45535.44</v>
      </c>
      <c r="O13" s="11">
        <f t="shared" si="1"/>
        <v>2897484.85</v>
      </c>
      <c r="P13" s="12">
        <f t="shared" si="2"/>
        <v>3077156.85</v>
      </c>
    </row>
    <row r="14" spans="1:16" s="13" customFormat="1" ht="12.75">
      <c r="A14" s="14">
        <v>8</v>
      </c>
      <c r="B14" s="56" t="s">
        <v>37</v>
      </c>
      <c r="C14" s="16">
        <f>350000+215000</f>
        <v>565000</v>
      </c>
      <c r="D14" s="16">
        <f>70000+34000</f>
        <v>104000</v>
      </c>
      <c r="E14" s="17">
        <v>1333330</v>
      </c>
      <c r="F14" s="17">
        <v>130090</v>
      </c>
      <c r="G14" s="17">
        <f>6165+4335</f>
        <v>10500</v>
      </c>
      <c r="H14" s="18">
        <f t="shared" si="0"/>
        <v>140590</v>
      </c>
      <c r="I14" s="17">
        <f>15820+5590</f>
        <v>21410</v>
      </c>
      <c r="J14" s="17">
        <v>4820</v>
      </c>
      <c r="K14" s="17">
        <v>9000</v>
      </c>
      <c r="L14" s="17">
        <v>0</v>
      </c>
      <c r="M14" s="17">
        <v>0</v>
      </c>
      <c r="N14" s="17">
        <v>60000</v>
      </c>
      <c r="O14" s="11">
        <f t="shared" si="1"/>
        <v>2097560</v>
      </c>
      <c r="P14" s="12">
        <f t="shared" si="2"/>
        <v>2238150</v>
      </c>
    </row>
    <row r="15" spans="1:16" s="19" customFormat="1" ht="25.5">
      <c r="A15" s="57" t="s">
        <v>5</v>
      </c>
      <c r="B15" s="54" t="s">
        <v>38</v>
      </c>
      <c r="C15" s="18">
        <f aca="true" t="shared" si="4" ref="C15:N15">SUM(C12:C14)</f>
        <v>1753408.07</v>
      </c>
      <c r="D15" s="18">
        <f t="shared" si="4"/>
        <v>330195.13</v>
      </c>
      <c r="E15" s="18">
        <f t="shared" si="4"/>
        <v>4609450.199999999</v>
      </c>
      <c r="F15" s="18">
        <f t="shared" si="4"/>
        <v>411132</v>
      </c>
      <c r="G15" s="18">
        <f t="shared" si="4"/>
        <v>32010</v>
      </c>
      <c r="H15" s="18">
        <f t="shared" si="4"/>
        <v>443142</v>
      </c>
      <c r="I15" s="18">
        <f t="shared" si="4"/>
        <v>55142.26</v>
      </c>
      <c r="J15" s="18">
        <f>SUM(J12:J14)</f>
        <v>16000</v>
      </c>
      <c r="K15" s="18">
        <f>SUM(K12:K14)</f>
        <v>36542.76</v>
      </c>
      <c r="L15" s="18">
        <f t="shared" si="4"/>
        <v>0</v>
      </c>
      <c r="M15" s="18">
        <f t="shared" si="4"/>
        <v>38945.020000000004</v>
      </c>
      <c r="N15" s="18">
        <f t="shared" si="4"/>
        <v>185596.91999999998</v>
      </c>
      <c r="O15" s="11">
        <f t="shared" si="1"/>
        <v>7025280.36</v>
      </c>
      <c r="P15" s="12">
        <f t="shared" si="2"/>
        <v>7468422.36</v>
      </c>
    </row>
    <row r="16" spans="1:16" s="20" customFormat="1" ht="12.75">
      <c r="A16" s="53" t="s">
        <v>6</v>
      </c>
      <c r="B16" s="58" t="s">
        <v>39</v>
      </c>
      <c r="C16" s="18">
        <f aca="true" t="shared" si="5" ref="C16:N16">C11+C15</f>
        <v>3060000</v>
      </c>
      <c r="D16" s="18">
        <f t="shared" si="5"/>
        <v>518000</v>
      </c>
      <c r="E16" s="18">
        <f t="shared" si="5"/>
        <v>8992670</v>
      </c>
      <c r="F16" s="18">
        <f t="shared" si="5"/>
        <v>795600</v>
      </c>
      <c r="G16" s="18">
        <f t="shared" si="5"/>
        <v>54750</v>
      </c>
      <c r="H16" s="18">
        <f t="shared" si="5"/>
        <v>850350</v>
      </c>
      <c r="I16" s="18">
        <f t="shared" si="5"/>
        <v>111900</v>
      </c>
      <c r="J16" s="18">
        <f>J11+J15</f>
        <v>16000</v>
      </c>
      <c r="K16" s="18">
        <f>K11+K15</f>
        <v>50000</v>
      </c>
      <c r="L16" s="18">
        <f t="shared" si="5"/>
        <v>0</v>
      </c>
      <c r="M16" s="18">
        <f t="shared" si="5"/>
        <v>82840</v>
      </c>
      <c r="N16" s="18">
        <f t="shared" si="5"/>
        <v>356150</v>
      </c>
      <c r="O16" s="11">
        <f t="shared" si="1"/>
        <v>13187560</v>
      </c>
      <c r="P16" s="12">
        <f t="shared" si="2"/>
        <v>14037910</v>
      </c>
    </row>
    <row r="17" spans="1:16" s="13" customFormat="1" ht="12.75">
      <c r="A17" s="14">
        <v>11</v>
      </c>
      <c r="B17" s="15" t="s">
        <v>40</v>
      </c>
      <c r="C17" s="16">
        <v>470000</v>
      </c>
      <c r="D17" s="16">
        <v>100000</v>
      </c>
      <c r="E17" s="59">
        <f>1527910-516670</f>
        <v>1011240</v>
      </c>
      <c r="F17" s="17">
        <v>130000</v>
      </c>
      <c r="G17" s="17">
        <v>10000</v>
      </c>
      <c r="H17" s="18">
        <f t="shared" si="0"/>
        <v>140000</v>
      </c>
      <c r="I17" s="60">
        <v>19380</v>
      </c>
      <c r="J17" s="60">
        <v>0</v>
      </c>
      <c r="K17" s="17">
        <v>4500</v>
      </c>
      <c r="L17" s="17">
        <v>0</v>
      </c>
      <c r="M17" s="17">
        <v>0</v>
      </c>
      <c r="N17" s="17">
        <v>60000</v>
      </c>
      <c r="O17" s="11">
        <f t="shared" si="1"/>
        <v>1665120</v>
      </c>
      <c r="P17" s="12">
        <f t="shared" si="2"/>
        <v>1805120</v>
      </c>
    </row>
    <row r="18" spans="1:16" s="19" customFormat="1" ht="12.75">
      <c r="A18" s="14">
        <v>12</v>
      </c>
      <c r="B18" s="15" t="s">
        <v>41</v>
      </c>
      <c r="C18" s="16">
        <v>470000</v>
      </c>
      <c r="D18" s="38">
        <v>100000</v>
      </c>
      <c r="E18" s="39">
        <v>0</v>
      </c>
      <c r="F18" s="39">
        <v>130000</v>
      </c>
      <c r="G18" s="39">
        <v>10000</v>
      </c>
      <c r="H18" s="18">
        <f t="shared" si="0"/>
        <v>140000</v>
      </c>
      <c r="I18" s="17">
        <v>19000</v>
      </c>
      <c r="J18" s="17">
        <v>0</v>
      </c>
      <c r="K18" s="17">
        <v>5440</v>
      </c>
      <c r="L18" s="17">
        <v>0</v>
      </c>
      <c r="M18" s="17">
        <v>0</v>
      </c>
      <c r="N18" s="39">
        <v>60000</v>
      </c>
      <c r="O18" s="11">
        <f t="shared" si="1"/>
        <v>654440</v>
      </c>
      <c r="P18" s="12">
        <f t="shared" si="2"/>
        <v>794440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61">
        <v>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40">
        <v>0</v>
      </c>
      <c r="K19" s="17">
        <v>0</v>
      </c>
      <c r="L19" s="17">
        <v>0</v>
      </c>
      <c r="M19" s="17">
        <v>0</v>
      </c>
      <c r="N19" s="39">
        <v>43500</v>
      </c>
      <c r="O19" s="11">
        <f t="shared" si="1"/>
        <v>645390</v>
      </c>
      <c r="P19" s="12">
        <f t="shared" si="2"/>
        <v>785390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1422890</v>
      </c>
      <c r="D20" s="62">
        <f aca="true" t="shared" si="6" ref="D20:N20">ROUND(D17+D18+D19,2)</f>
        <v>300000</v>
      </c>
      <c r="E20" s="62">
        <f t="shared" si="6"/>
        <v>1011240</v>
      </c>
      <c r="F20" s="62">
        <f t="shared" si="6"/>
        <v>390000</v>
      </c>
      <c r="G20" s="62">
        <f t="shared" si="6"/>
        <v>30000</v>
      </c>
      <c r="H20" s="62">
        <f t="shared" si="6"/>
        <v>420000</v>
      </c>
      <c r="I20" s="62">
        <f t="shared" si="6"/>
        <v>57380</v>
      </c>
      <c r="J20" s="62">
        <f>ROUND(J17+J18+J19,2)</f>
        <v>0</v>
      </c>
      <c r="K20" s="62">
        <f>ROUND(K17+K18+K19,2)</f>
        <v>9940</v>
      </c>
      <c r="L20" s="62">
        <f t="shared" si="6"/>
        <v>0</v>
      </c>
      <c r="M20" s="62">
        <f t="shared" si="6"/>
        <v>0</v>
      </c>
      <c r="N20" s="62">
        <f t="shared" si="6"/>
        <v>163500</v>
      </c>
      <c r="O20" s="11">
        <f t="shared" si="1"/>
        <v>2964950</v>
      </c>
      <c r="P20" s="12">
        <f t="shared" si="2"/>
        <v>3384950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10003910</v>
      </c>
      <c r="F21" s="62">
        <f t="shared" si="7"/>
        <v>1185600</v>
      </c>
      <c r="G21" s="62">
        <f t="shared" si="7"/>
        <v>84750</v>
      </c>
      <c r="H21" s="62">
        <f t="shared" si="7"/>
        <v>1270350</v>
      </c>
      <c r="I21" s="62">
        <f t="shared" si="7"/>
        <v>169280</v>
      </c>
      <c r="J21" s="62">
        <f>ROUND(J16+J20,2)</f>
        <v>16000</v>
      </c>
      <c r="K21" s="62">
        <f>ROUND(K16+K20,2)</f>
        <v>59940</v>
      </c>
      <c r="L21" s="62">
        <f t="shared" si="7"/>
        <v>0</v>
      </c>
      <c r="M21" s="62">
        <f t="shared" si="7"/>
        <v>82840</v>
      </c>
      <c r="N21" s="62">
        <f t="shared" si="7"/>
        <v>519650</v>
      </c>
      <c r="O21" s="11">
        <f t="shared" si="1"/>
        <v>16152510</v>
      </c>
      <c r="P21" s="12">
        <f t="shared" si="2"/>
        <v>17422860</v>
      </c>
    </row>
    <row r="22" spans="1:16" s="21" customFormat="1" ht="12.75">
      <c r="A22" s="14">
        <v>16</v>
      </c>
      <c r="B22" s="63" t="s">
        <v>45</v>
      </c>
      <c r="C22" s="16">
        <f>430000-430000</f>
        <v>0</v>
      </c>
      <c r="D22" s="38">
        <v>90000</v>
      </c>
      <c r="E22" s="41">
        <f>1333330-1333330</f>
        <v>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f>60000-60000</f>
        <v>0</v>
      </c>
      <c r="O22" s="11">
        <f t="shared" si="1"/>
        <v>95000</v>
      </c>
      <c r="P22" s="12">
        <f t="shared" si="2"/>
        <v>245050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270000</v>
      </c>
      <c r="E25" s="62">
        <f t="shared" si="8"/>
        <v>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0</v>
      </c>
      <c r="O25" s="11">
        <f t="shared" si="1"/>
        <v>275000</v>
      </c>
      <c r="P25" s="12">
        <f t="shared" si="2"/>
        <v>588100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1088000</v>
      </c>
      <c r="E26" s="66">
        <f t="shared" si="9"/>
        <v>10003910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16000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519650</v>
      </c>
      <c r="O26" s="67">
        <f t="shared" si="1"/>
        <v>16427510</v>
      </c>
      <c r="P26" s="68">
        <f t="shared" si="2"/>
        <v>18010960</v>
      </c>
    </row>
    <row r="27" spans="1:17" s="19" customFormat="1" ht="39.75" customHeight="1">
      <c r="A27" s="69" t="s">
        <v>95</v>
      </c>
      <c r="B27" s="27" t="s">
        <v>50</v>
      </c>
      <c r="C27" s="17">
        <f>ROUND(C8+C9+C10+C12,2)</f>
        <v>1772427.69</v>
      </c>
      <c r="D27" s="17">
        <f aca="true" t="shared" si="10" ref="D27:N27">ROUND(D8+D9+D10+D12,2)</f>
        <v>270210.84</v>
      </c>
      <c r="E27" s="17">
        <f t="shared" si="10"/>
        <v>5776748.87</v>
      </c>
      <c r="F27" s="17">
        <f t="shared" si="10"/>
        <v>499188</v>
      </c>
      <c r="G27" s="17">
        <f t="shared" si="10"/>
        <v>30900</v>
      </c>
      <c r="H27" s="18">
        <f t="shared" si="0"/>
        <v>530088</v>
      </c>
      <c r="I27" s="17">
        <f t="shared" si="10"/>
        <v>62357.38</v>
      </c>
      <c r="J27" s="17">
        <f t="shared" si="10"/>
        <v>0</v>
      </c>
      <c r="K27" s="17">
        <f t="shared" si="10"/>
        <v>16260.83</v>
      </c>
      <c r="L27" s="17">
        <f t="shared" si="10"/>
        <v>0</v>
      </c>
      <c r="M27" s="17">
        <f t="shared" si="10"/>
        <v>43894.98</v>
      </c>
      <c r="N27" s="17">
        <f t="shared" si="10"/>
        <v>250614.56</v>
      </c>
      <c r="O27" s="11">
        <f t="shared" si="1"/>
        <v>8192515.15</v>
      </c>
      <c r="P27" s="12">
        <f t="shared" si="2"/>
        <v>8722603.15</v>
      </c>
      <c r="Q27" s="23"/>
    </row>
    <row r="28" spans="1:17" s="25" customFormat="1" ht="25.5">
      <c r="A28" s="14" t="s">
        <v>75</v>
      </c>
      <c r="B28" s="24" t="s">
        <v>96</v>
      </c>
      <c r="C28" s="17">
        <f>ROUND(C26-C27,2)</f>
        <v>2710462.31</v>
      </c>
      <c r="D28" s="17">
        <f>ROUND(D26-D27,2)</f>
        <v>817789.16</v>
      </c>
      <c r="E28" s="17">
        <f>ROUND(E26-E27,2)</f>
        <v>4227161.13</v>
      </c>
      <c r="F28" s="17">
        <f>ROUND(F26-F27,2)</f>
        <v>996032</v>
      </c>
      <c r="G28" s="17">
        <f>ROUND(G26-G27,2)</f>
        <v>57330</v>
      </c>
      <c r="H28" s="18">
        <f t="shared" si="0"/>
        <v>1053362</v>
      </c>
      <c r="I28" s="17">
        <f aca="true" t="shared" si="11" ref="I28:N28">ROUND(I26-I27,2)</f>
        <v>106922.62</v>
      </c>
      <c r="J28" s="17">
        <f t="shared" si="11"/>
        <v>16000</v>
      </c>
      <c r="K28" s="17">
        <f t="shared" si="11"/>
        <v>43679.17</v>
      </c>
      <c r="L28" s="17">
        <f t="shared" si="11"/>
        <v>0</v>
      </c>
      <c r="M28" s="17">
        <f t="shared" si="11"/>
        <v>43945.02</v>
      </c>
      <c r="N28" s="17">
        <f t="shared" si="11"/>
        <v>269035.44</v>
      </c>
      <c r="O28" s="11">
        <f t="shared" si="1"/>
        <v>8234994.85</v>
      </c>
      <c r="P28" s="12">
        <f t="shared" si="2"/>
        <v>9288356.85</v>
      </c>
      <c r="Q28" s="23"/>
    </row>
    <row r="29" spans="1:17" s="25" customFormat="1" ht="26.25" customHeight="1">
      <c r="A29" s="70">
        <v>23</v>
      </c>
      <c r="B29" s="71" t="s">
        <v>97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ROUND((C27)/4,2)</f>
        <v>443106.92</v>
      </c>
      <c r="D32" s="17">
        <f aca="true" t="shared" si="13" ref="D32:N32">ROUND((D27)/4,2)</f>
        <v>67552.71</v>
      </c>
      <c r="E32" s="17">
        <f t="shared" si="13"/>
        <v>1444187.22</v>
      </c>
      <c r="F32" s="17">
        <f t="shared" si="13"/>
        <v>124797</v>
      </c>
      <c r="G32" s="17">
        <f t="shared" si="13"/>
        <v>7725</v>
      </c>
      <c r="H32" s="26">
        <f t="shared" si="0"/>
        <v>132522</v>
      </c>
      <c r="I32" s="17">
        <f t="shared" si="13"/>
        <v>15589.35</v>
      </c>
      <c r="J32" s="17">
        <f t="shared" si="13"/>
        <v>0</v>
      </c>
      <c r="K32" s="17">
        <f t="shared" si="13"/>
        <v>4065.21</v>
      </c>
      <c r="L32" s="17">
        <f t="shared" si="13"/>
        <v>0</v>
      </c>
      <c r="M32" s="17">
        <f t="shared" si="13"/>
        <v>10973.75</v>
      </c>
      <c r="N32" s="17">
        <f t="shared" si="13"/>
        <v>62653.64</v>
      </c>
      <c r="O32" s="11">
        <f t="shared" si="1"/>
        <v>2048128.8</v>
      </c>
      <c r="P32" s="12">
        <f t="shared" si="2"/>
        <v>2180650.8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834393.04</v>
      </c>
      <c r="D33" s="60">
        <f t="shared" si="14"/>
        <v>-277367.48</v>
      </c>
      <c r="E33" s="60">
        <f t="shared" si="14"/>
        <v>7326336.64</v>
      </c>
      <c r="F33" s="60">
        <f t="shared" si="14"/>
        <v>2344</v>
      </c>
      <c r="G33" s="60">
        <f t="shared" si="14"/>
        <v>4470</v>
      </c>
      <c r="H33" s="76">
        <f t="shared" si="14"/>
        <v>6814</v>
      </c>
      <c r="I33" s="60">
        <f t="shared" si="14"/>
        <v>17792.2</v>
      </c>
      <c r="J33" s="60">
        <f t="shared" si="14"/>
        <v>-16000</v>
      </c>
      <c r="K33" s="60">
        <f t="shared" si="14"/>
        <v>-11157.48</v>
      </c>
      <c r="L33" s="60">
        <f t="shared" si="14"/>
        <v>0</v>
      </c>
      <c r="M33" s="60">
        <f>ROUND(M32*12-M7,2)</f>
        <v>43845</v>
      </c>
      <c r="N33" s="60">
        <f>ROUND(N32*12-N7,2)</f>
        <v>232193.68</v>
      </c>
      <c r="O33" s="11">
        <f t="shared" si="1"/>
        <v>8150035.6</v>
      </c>
      <c r="P33" s="12">
        <f t="shared" si="2"/>
        <v>8156849.6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5317283.04</v>
      </c>
      <c r="D34" s="80">
        <f t="shared" si="15"/>
        <v>810632.52</v>
      </c>
      <c r="E34" s="80">
        <f t="shared" si="15"/>
        <v>17330246.64</v>
      </c>
      <c r="F34" s="80">
        <f t="shared" si="15"/>
        <v>1497564</v>
      </c>
      <c r="G34" s="80">
        <f t="shared" si="15"/>
        <v>92700</v>
      </c>
      <c r="H34" s="81">
        <f t="shared" si="15"/>
        <v>1590264</v>
      </c>
      <c r="I34" s="80">
        <f t="shared" si="15"/>
        <v>187072.2</v>
      </c>
      <c r="J34" s="80">
        <f t="shared" si="15"/>
        <v>0</v>
      </c>
      <c r="K34" s="80">
        <f t="shared" si="15"/>
        <v>48782.52</v>
      </c>
      <c r="L34" s="80">
        <f t="shared" si="15"/>
        <v>0</v>
      </c>
      <c r="M34" s="80">
        <f t="shared" si="15"/>
        <v>131685</v>
      </c>
      <c r="N34" s="80">
        <f t="shared" si="15"/>
        <v>751843.68</v>
      </c>
      <c r="O34" s="90">
        <f t="shared" si="1"/>
        <v>24577545.6</v>
      </c>
      <c r="P34" s="82">
        <f t="shared" si="15"/>
        <v>26167809.6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 t="s">
        <v>89</v>
      </c>
      <c r="D36" s="37"/>
      <c r="E36" s="19"/>
      <c r="G36" s="35"/>
      <c r="H36" s="35"/>
      <c r="I36" s="34"/>
      <c r="J36" s="34"/>
      <c r="K36" s="42" t="s">
        <v>90</v>
      </c>
      <c r="L36" s="42"/>
      <c r="M36" s="42"/>
    </row>
    <row r="37" spans="3:13" ht="15.75">
      <c r="C37" s="84" t="s">
        <v>91</v>
      </c>
      <c r="D37" s="37"/>
      <c r="E37" s="19"/>
      <c r="K37" s="42" t="s">
        <v>92</v>
      </c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22">
      <selection activeCell="G39" sqref="G39"/>
    </sheetView>
  </sheetViews>
  <sheetFormatPr defaultColWidth="9.140625" defaultRowHeight="12.75"/>
  <cols>
    <col min="1" max="1" width="7.140625" style="1" customWidth="1"/>
    <col min="2" max="2" width="37.7109375" style="1" customWidth="1"/>
    <col min="3" max="4" width="16.8515625" style="1" customWidth="1"/>
    <col min="5" max="5" width="14.28125" style="1" customWidth="1"/>
    <col min="6" max="6" width="12.140625" style="1" customWidth="1"/>
    <col min="7" max="7" width="10.57421875" style="1" customWidth="1"/>
    <col min="8" max="8" width="13.421875" style="1" customWidth="1"/>
    <col min="9" max="10" width="11.7109375" style="1" customWidth="1"/>
    <col min="11" max="11" width="13.57421875" style="1" customWidth="1"/>
    <col min="12" max="12" width="11.57421875" style="1" customWidth="1"/>
    <col min="13" max="13" width="11.7109375" style="1" customWidth="1"/>
    <col min="14" max="14" width="11.8515625" style="1" customWidth="1"/>
    <col min="15" max="15" width="14.57421875" style="1" customWidth="1"/>
    <col min="16" max="16" width="13.8515625" style="1" customWidth="1"/>
    <col min="17" max="17" width="15.28125" style="1" customWidth="1"/>
    <col min="18" max="18" width="10.8515625" style="1" bestFit="1" customWidth="1"/>
    <col min="19" max="16384" width="9.140625" style="1" customWidth="1"/>
  </cols>
  <sheetData>
    <row r="1" spans="1:16" ht="15.75">
      <c r="A1" s="44" t="s">
        <v>0</v>
      </c>
      <c r="C1" s="2"/>
      <c r="D1" s="2"/>
      <c r="N1" s="3"/>
      <c r="O1" s="3"/>
      <c r="P1" s="3" t="s">
        <v>8</v>
      </c>
    </row>
    <row r="2" spans="1:17" ht="14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"/>
    </row>
    <row r="3" spans="1:17" s="6" customFormat="1" ht="38.25" customHeight="1">
      <c r="A3" s="104" t="s">
        <v>99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"/>
    </row>
    <row r="4" ht="14.25" customHeight="1" thickBot="1"/>
    <row r="5" spans="1:16" s="10" customFormat="1" ht="48">
      <c r="A5" s="7" t="s">
        <v>2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78</v>
      </c>
      <c r="K5" s="8" t="s">
        <v>22</v>
      </c>
      <c r="L5" s="45" t="s">
        <v>23</v>
      </c>
      <c r="M5" s="8" t="s">
        <v>24</v>
      </c>
      <c r="N5" s="8" t="s">
        <v>25</v>
      </c>
      <c r="O5" s="8" t="s">
        <v>26</v>
      </c>
      <c r="P5" s="9" t="s">
        <v>27</v>
      </c>
    </row>
    <row r="6" spans="1:16" s="49" customFormat="1" ht="22.5">
      <c r="A6" s="46">
        <v>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 t="s">
        <v>3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 t="s">
        <v>79</v>
      </c>
      <c r="P6" s="48" t="s">
        <v>29</v>
      </c>
    </row>
    <row r="7" spans="1:16" s="13" customFormat="1" ht="25.5">
      <c r="A7" s="50">
        <v>1</v>
      </c>
      <c r="B7" s="51" t="s">
        <v>30</v>
      </c>
      <c r="C7" s="11">
        <f>1530000+2952890</f>
        <v>4482890</v>
      </c>
      <c r="D7" s="11">
        <f>300000-80000+1270000-30000-440000+68000</f>
        <v>1088000</v>
      </c>
      <c r="E7" s="11">
        <f>3775060+6228850</f>
        <v>10003910</v>
      </c>
      <c r="F7" s="11">
        <f>373810+1121410</f>
        <v>1495220</v>
      </c>
      <c r="G7" s="11">
        <f>22060+66170</f>
        <v>88230</v>
      </c>
      <c r="H7" s="11">
        <f>ROUND(F7+G7,2)</f>
        <v>1583450</v>
      </c>
      <c r="I7" s="11">
        <f>52900+116380</f>
        <v>169280</v>
      </c>
      <c r="J7" s="11">
        <f>11180+4820</f>
        <v>16000</v>
      </c>
      <c r="K7" s="11">
        <f>16340+35940+7660</f>
        <v>59940</v>
      </c>
      <c r="L7" s="11">
        <f>26070+26070-52140</f>
        <v>0</v>
      </c>
      <c r="M7" s="11">
        <f>43920+43920</f>
        <v>87840</v>
      </c>
      <c r="N7" s="11">
        <f>176150+343500</f>
        <v>519650</v>
      </c>
      <c r="O7" s="11">
        <f>ROUND(C7+D7+E7+I7+J7+K7+N7+L7+M7,2)</f>
        <v>16427510</v>
      </c>
      <c r="P7" s="12">
        <f>ROUND(H7+O7,2)</f>
        <v>18010960</v>
      </c>
    </row>
    <row r="8" spans="1:16" s="19" customFormat="1" ht="12.75">
      <c r="A8" s="14">
        <v>2</v>
      </c>
      <c r="B8" s="15" t="s">
        <v>72</v>
      </c>
      <c r="C8" s="16">
        <f>510000-80644.67</f>
        <v>429355.33</v>
      </c>
      <c r="D8" s="16">
        <f>100000-47300.55</f>
        <v>52699.45</v>
      </c>
      <c r="E8" s="17">
        <f>1300000+191092.66</f>
        <v>1491092.66</v>
      </c>
      <c r="F8" s="17">
        <f>125000+7228</f>
        <v>132228</v>
      </c>
      <c r="G8" s="17">
        <f>8000-740</f>
        <v>7260</v>
      </c>
      <c r="H8" s="18">
        <f aca="true" t="shared" si="0" ref="H8:H32">ROUND(F8+G8,2)</f>
        <v>139488</v>
      </c>
      <c r="I8" s="17">
        <f>18000-3797.38</f>
        <v>14202.619999999999</v>
      </c>
      <c r="J8" s="17">
        <v>0</v>
      </c>
      <c r="K8" s="17">
        <f>6000-112.47</f>
        <v>5887.53</v>
      </c>
      <c r="L8" s="17">
        <v>0</v>
      </c>
      <c r="M8" s="17">
        <v>0</v>
      </c>
      <c r="N8" s="17">
        <f>60000+10581.67</f>
        <v>70581.67</v>
      </c>
      <c r="O8" s="11">
        <f aca="true" t="shared" si="1" ref="O8:O34">ROUND(C8+D8+E8+I8+J8+K8+N8+L8+M8,2)</f>
        <v>2063819.26</v>
      </c>
      <c r="P8" s="12">
        <f aca="true" t="shared" si="2" ref="P8:P33">ROUND(H8+O8,2)</f>
        <v>2203307.26</v>
      </c>
    </row>
    <row r="9" spans="1:16" s="19" customFormat="1" ht="12.75">
      <c r="A9" s="14">
        <v>3</v>
      </c>
      <c r="B9" s="15" t="s">
        <v>73</v>
      </c>
      <c r="C9" s="16">
        <f>510000+80644.67-213524.84</f>
        <v>377119.8300000001</v>
      </c>
      <c r="D9" s="16">
        <f>100000+47300.55-80000+252.16</f>
        <v>67552.70999999999</v>
      </c>
      <c r="E9" s="16">
        <f>1300000-191092.66+201136.23</f>
        <v>1310043.57</v>
      </c>
      <c r="F9" s="16">
        <f>125000-7228-4132</f>
        <v>113640</v>
      </c>
      <c r="G9" s="16">
        <f>8000+740+500</f>
        <v>9240</v>
      </c>
      <c r="H9" s="18">
        <f t="shared" si="0"/>
        <v>122880</v>
      </c>
      <c r="I9" s="16">
        <f>18000+3797.38-4892.21</f>
        <v>16905.170000000002</v>
      </c>
      <c r="J9" s="16">
        <v>0</v>
      </c>
      <c r="K9" s="16">
        <f>6000+112.47-2327.62</f>
        <v>3784.8500000000004</v>
      </c>
      <c r="L9" s="16">
        <v>0</v>
      </c>
      <c r="M9" s="16">
        <f>21960-7328.34</f>
        <v>14631.66</v>
      </c>
      <c r="N9" s="16">
        <f>60000-10581.67+4628.64</f>
        <v>54046.97</v>
      </c>
      <c r="O9" s="11">
        <f t="shared" si="1"/>
        <v>1844084.76</v>
      </c>
      <c r="P9" s="12">
        <f t="shared" si="2"/>
        <v>1966964.76</v>
      </c>
    </row>
    <row r="10" spans="1:16" s="19" customFormat="1" ht="12.75">
      <c r="A10" s="52">
        <v>4</v>
      </c>
      <c r="B10" s="15" t="s">
        <v>81</v>
      </c>
      <c r="C10" s="16">
        <f>510000+213524.84-223408.07</f>
        <v>500116.76999999996</v>
      </c>
      <c r="D10" s="16">
        <f>100000-252.16-32195.13</f>
        <v>67552.70999999999</v>
      </c>
      <c r="E10" s="16">
        <f>1175060-201136.23+700940-92780.2</f>
        <v>1582083.57</v>
      </c>
      <c r="F10" s="16">
        <f>123810+4132+21700-11042</f>
        <v>138600</v>
      </c>
      <c r="G10" s="16">
        <f>6060-500+2690-2010</f>
        <v>6240</v>
      </c>
      <c r="H10" s="18">
        <f t="shared" si="0"/>
        <v>144840</v>
      </c>
      <c r="I10" s="17">
        <f>16900+4892.21+3857.74</f>
        <v>25649.949999999997</v>
      </c>
      <c r="J10" s="17">
        <v>0</v>
      </c>
      <c r="K10" s="16">
        <f>4340+2327.62+7660-10542.76</f>
        <v>3784.8599999999988</v>
      </c>
      <c r="L10" s="17">
        <v>0</v>
      </c>
      <c r="M10" s="17">
        <f>21960+7328.34-25.02</f>
        <v>29263.32</v>
      </c>
      <c r="N10" s="17">
        <f>56150-4628.64-5596.92</f>
        <v>45924.44</v>
      </c>
      <c r="O10" s="11">
        <f t="shared" si="1"/>
        <v>2254375.62</v>
      </c>
      <c r="P10" s="12">
        <f t="shared" si="2"/>
        <v>2399215.62</v>
      </c>
    </row>
    <row r="11" spans="1:16" s="20" customFormat="1" ht="25.5">
      <c r="A11" s="53" t="s">
        <v>4</v>
      </c>
      <c r="B11" s="54" t="s">
        <v>82</v>
      </c>
      <c r="C11" s="18">
        <f>SUM(C8:C10)</f>
        <v>1306591.9300000002</v>
      </c>
      <c r="D11" s="18">
        <f aca="true" t="shared" si="3" ref="D11:N11">SUM(D8:D10)</f>
        <v>187804.87</v>
      </c>
      <c r="E11" s="18">
        <f t="shared" si="3"/>
        <v>4383219.8</v>
      </c>
      <c r="F11" s="18">
        <f t="shared" si="3"/>
        <v>384468</v>
      </c>
      <c r="G11" s="18">
        <f t="shared" si="3"/>
        <v>22740</v>
      </c>
      <c r="H11" s="18">
        <f t="shared" si="3"/>
        <v>407208</v>
      </c>
      <c r="I11" s="18">
        <f t="shared" si="3"/>
        <v>56757.74</v>
      </c>
      <c r="J11" s="18">
        <f>SUM(J8:J10)</f>
        <v>0</v>
      </c>
      <c r="K11" s="18">
        <f>SUM(K8:K10)</f>
        <v>13457.24</v>
      </c>
      <c r="L11" s="18">
        <f t="shared" si="3"/>
        <v>0</v>
      </c>
      <c r="M11" s="18">
        <f t="shared" si="3"/>
        <v>43894.979999999996</v>
      </c>
      <c r="N11" s="18">
        <f t="shared" si="3"/>
        <v>170553.08000000002</v>
      </c>
      <c r="O11" s="11">
        <f t="shared" si="1"/>
        <v>6162279.64</v>
      </c>
      <c r="P11" s="12">
        <f t="shared" si="2"/>
        <v>6569487.64</v>
      </c>
    </row>
    <row r="12" spans="1:16" s="19" customFormat="1" ht="12.75">
      <c r="A12" s="14">
        <v>6</v>
      </c>
      <c r="B12" s="55" t="s">
        <v>94</v>
      </c>
      <c r="C12" s="16">
        <f>400000+223408.07-157572.31</f>
        <v>465835.76000000007</v>
      </c>
      <c r="D12" s="16">
        <f>90000+32195.13-39789.16</f>
        <v>82405.97</v>
      </c>
      <c r="E12" s="17">
        <f>1500000+92780.2-199251.13</f>
        <v>1393529.0699999998</v>
      </c>
      <c r="F12" s="17">
        <f>125000+11042-21322</f>
        <v>114720</v>
      </c>
      <c r="G12" s="17">
        <f>9000+2010-2850</f>
        <v>8160</v>
      </c>
      <c r="H12" s="18">
        <f t="shared" si="0"/>
        <v>122880</v>
      </c>
      <c r="I12" s="17">
        <f>16000-3857.74-6542.62</f>
        <v>5599.64</v>
      </c>
      <c r="J12" s="17">
        <v>0</v>
      </c>
      <c r="K12" s="17">
        <f>8000+10542.76-15739.17</f>
        <v>2803.590000000002</v>
      </c>
      <c r="L12" s="17">
        <v>0</v>
      </c>
      <c r="M12" s="17">
        <f>15530+25.02-15555.02</f>
        <v>0</v>
      </c>
      <c r="N12" s="17">
        <f>70000+5596.92+4464.56</f>
        <v>80061.48</v>
      </c>
      <c r="O12" s="11">
        <f t="shared" si="1"/>
        <v>2030235.51</v>
      </c>
      <c r="P12" s="12">
        <f t="shared" si="2"/>
        <v>2153115.51</v>
      </c>
    </row>
    <row r="13" spans="1:16" s="19" customFormat="1" ht="12.75">
      <c r="A13" s="14">
        <v>7</v>
      </c>
      <c r="B13" s="15" t="s">
        <v>100</v>
      </c>
      <c r="C13" s="16">
        <f>350000+215000+157572.31-273670.88</f>
        <v>448901.43000000005</v>
      </c>
      <c r="D13" s="16">
        <f>70000+34000+39789.16-46529.94</f>
        <v>97259.22</v>
      </c>
      <c r="E13" s="17">
        <f>1166670+516670+199251.13-277379.66</f>
        <v>1605211.47</v>
      </c>
      <c r="F13" s="17">
        <f>145000+21322-32402</f>
        <v>133920</v>
      </c>
      <c r="G13" s="17">
        <f>6165+4335+2850-4230</f>
        <v>9120</v>
      </c>
      <c r="H13" s="18">
        <f t="shared" si="0"/>
        <v>143040</v>
      </c>
      <c r="I13" s="17">
        <f>16000+5590+6542.62+238.53</f>
        <v>28371.149999999998</v>
      </c>
      <c r="J13" s="17">
        <f>11180-11180</f>
        <v>0</v>
      </c>
      <c r="K13" s="17">
        <f>9000+15739.17-21515.05</f>
        <v>3224.119999999999</v>
      </c>
      <c r="L13" s="17">
        <v>0</v>
      </c>
      <c r="M13" s="17">
        <f>23390+15555.02-38945.02</f>
        <v>0</v>
      </c>
      <c r="N13" s="17">
        <f>50000-4464.56+34227.66</f>
        <v>79763.1</v>
      </c>
      <c r="O13" s="11">
        <f t="shared" si="1"/>
        <v>2262730.49</v>
      </c>
      <c r="P13" s="12">
        <f t="shared" si="2"/>
        <v>2405770.49</v>
      </c>
    </row>
    <row r="14" spans="1:16" s="13" customFormat="1" ht="12.75">
      <c r="A14" s="14">
        <v>8</v>
      </c>
      <c r="B14" s="56" t="s">
        <v>37</v>
      </c>
      <c r="C14" s="16">
        <f>350000+215000+273670.88</f>
        <v>838670.88</v>
      </c>
      <c r="D14" s="16">
        <f>70000+34000+46529.94</f>
        <v>150529.94</v>
      </c>
      <c r="E14" s="17">
        <f>1333330+277379.66</f>
        <v>1610709.66</v>
      </c>
      <c r="F14" s="17">
        <f>130090+32402</f>
        <v>162492</v>
      </c>
      <c r="G14" s="17">
        <f>6165+4335+4230</f>
        <v>14730</v>
      </c>
      <c r="H14" s="18">
        <f t="shared" si="0"/>
        <v>177222</v>
      </c>
      <c r="I14" s="17">
        <f>15820+5590-238.53</f>
        <v>21171.47</v>
      </c>
      <c r="J14" s="17">
        <f>4820+11180</f>
        <v>16000</v>
      </c>
      <c r="K14" s="17">
        <f>9000+21515.05</f>
        <v>30515.05</v>
      </c>
      <c r="L14" s="17">
        <v>0</v>
      </c>
      <c r="M14" s="17">
        <v>38945.02</v>
      </c>
      <c r="N14" s="17">
        <f>60000-34227.66</f>
        <v>25772.339999999997</v>
      </c>
      <c r="O14" s="11">
        <f t="shared" si="1"/>
        <v>2732314.36</v>
      </c>
      <c r="P14" s="12">
        <f t="shared" si="2"/>
        <v>2909536.36</v>
      </c>
    </row>
    <row r="15" spans="1:16" s="19" customFormat="1" ht="25.5">
      <c r="A15" s="57" t="s">
        <v>5</v>
      </c>
      <c r="B15" s="54" t="s">
        <v>38</v>
      </c>
      <c r="C15" s="18">
        <f aca="true" t="shared" si="4" ref="C15:N15">SUM(C12:C14)</f>
        <v>1753408.0700000003</v>
      </c>
      <c r="D15" s="18">
        <f t="shared" si="4"/>
        <v>330195.13</v>
      </c>
      <c r="E15" s="18">
        <f t="shared" si="4"/>
        <v>4609450.2</v>
      </c>
      <c r="F15" s="18">
        <f t="shared" si="4"/>
        <v>411132</v>
      </c>
      <c r="G15" s="18">
        <f t="shared" si="4"/>
        <v>32010</v>
      </c>
      <c r="H15" s="18">
        <f t="shared" si="4"/>
        <v>443142</v>
      </c>
      <c r="I15" s="18">
        <f t="shared" si="4"/>
        <v>55142.26</v>
      </c>
      <c r="J15" s="18">
        <f>SUM(J12:J14)</f>
        <v>16000</v>
      </c>
      <c r="K15" s="18">
        <f>SUM(K12:K14)</f>
        <v>36542.76</v>
      </c>
      <c r="L15" s="18">
        <f t="shared" si="4"/>
        <v>0</v>
      </c>
      <c r="M15" s="18">
        <f t="shared" si="4"/>
        <v>38945.02</v>
      </c>
      <c r="N15" s="18">
        <f t="shared" si="4"/>
        <v>185596.92</v>
      </c>
      <c r="O15" s="11">
        <f t="shared" si="1"/>
        <v>7025280.36</v>
      </c>
      <c r="P15" s="12">
        <f t="shared" si="2"/>
        <v>7468422.36</v>
      </c>
    </row>
    <row r="16" spans="1:16" s="20" customFormat="1" ht="12.75">
      <c r="A16" s="53" t="s">
        <v>6</v>
      </c>
      <c r="B16" s="58" t="s">
        <v>39</v>
      </c>
      <c r="C16" s="18">
        <f aca="true" t="shared" si="5" ref="C16:N16">C11+C15</f>
        <v>3060000.0000000005</v>
      </c>
      <c r="D16" s="18">
        <f t="shared" si="5"/>
        <v>518000</v>
      </c>
      <c r="E16" s="18">
        <f t="shared" si="5"/>
        <v>8992670</v>
      </c>
      <c r="F16" s="18">
        <f t="shared" si="5"/>
        <v>795600</v>
      </c>
      <c r="G16" s="18">
        <f t="shared" si="5"/>
        <v>54750</v>
      </c>
      <c r="H16" s="18">
        <f t="shared" si="5"/>
        <v>850350</v>
      </c>
      <c r="I16" s="18">
        <f t="shared" si="5"/>
        <v>111900</v>
      </c>
      <c r="J16" s="18">
        <f>J11+J15</f>
        <v>16000</v>
      </c>
      <c r="K16" s="18">
        <f>K11+K15</f>
        <v>50000</v>
      </c>
      <c r="L16" s="18">
        <f t="shared" si="5"/>
        <v>0</v>
      </c>
      <c r="M16" s="18">
        <f t="shared" si="5"/>
        <v>82840</v>
      </c>
      <c r="N16" s="18">
        <f t="shared" si="5"/>
        <v>356150</v>
      </c>
      <c r="O16" s="11">
        <f t="shared" si="1"/>
        <v>13187560</v>
      </c>
      <c r="P16" s="12">
        <f t="shared" si="2"/>
        <v>14037910</v>
      </c>
    </row>
    <row r="17" spans="1:16" s="13" customFormat="1" ht="12.75">
      <c r="A17" s="14">
        <v>11</v>
      </c>
      <c r="B17" s="15" t="s">
        <v>40</v>
      </c>
      <c r="C17" s="16">
        <v>470000</v>
      </c>
      <c r="D17" s="16">
        <v>100000</v>
      </c>
      <c r="E17" s="59">
        <f>1527910-516670</f>
        <v>1011240</v>
      </c>
      <c r="F17" s="17">
        <v>130000</v>
      </c>
      <c r="G17" s="17">
        <v>10000</v>
      </c>
      <c r="H17" s="18">
        <f t="shared" si="0"/>
        <v>140000</v>
      </c>
      <c r="I17" s="60">
        <v>19380</v>
      </c>
      <c r="J17" s="60">
        <v>0</v>
      </c>
      <c r="K17" s="17">
        <v>4500</v>
      </c>
      <c r="L17" s="17">
        <v>0</v>
      </c>
      <c r="M17" s="17">
        <v>0</v>
      </c>
      <c r="N17" s="17">
        <v>60000</v>
      </c>
      <c r="O17" s="11">
        <f t="shared" si="1"/>
        <v>1665120</v>
      </c>
      <c r="P17" s="12">
        <f t="shared" si="2"/>
        <v>1805120</v>
      </c>
    </row>
    <row r="18" spans="1:16" s="19" customFormat="1" ht="12.75">
      <c r="A18" s="14">
        <v>12</v>
      </c>
      <c r="B18" s="15" t="s">
        <v>41</v>
      </c>
      <c r="C18" s="16">
        <v>470000</v>
      </c>
      <c r="D18" s="38">
        <v>100000</v>
      </c>
      <c r="E18" s="39">
        <v>0</v>
      </c>
      <c r="F18" s="39">
        <v>130000</v>
      </c>
      <c r="G18" s="39">
        <v>10000</v>
      </c>
      <c r="H18" s="18">
        <f t="shared" si="0"/>
        <v>140000</v>
      </c>
      <c r="I18" s="17">
        <v>19000</v>
      </c>
      <c r="J18" s="17">
        <v>0</v>
      </c>
      <c r="K18" s="17">
        <v>5440</v>
      </c>
      <c r="L18" s="17">
        <v>0</v>
      </c>
      <c r="M18" s="17">
        <v>0</v>
      </c>
      <c r="N18" s="39">
        <v>60000</v>
      </c>
      <c r="O18" s="11">
        <f t="shared" si="1"/>
        <v>654440</v>
      </c>
      <c r="P18" s="12">
        <f t="shared" si="2"/>
        <v>794440</v>
      </c>
    </row>
    <row r="19" spans="1:16" s="21" customFormat="1" ht="12.75">
      <c r="A19" s="14">
        <v>13</v>
      </c>
      <c r="B19" s="43" t="s">
        <v>42</v>
      </c>
      <c r="C19" s="16">
        <v>482890</v>
      </c>
      <c r="D19" s="38">
        <v>100000</v>
      </c>
      <c r="E19" s="61">
        <v>0</v>
      </c>
      <c r="F19" s="39">
        <v>130000</v>
      </c>
      <c r="G19" s="38">
        <v>10000</v>
      </c>
      <c r="H19" s="18">
        <f t="shared" si="0"/>
        <v>140000</v>
      </c>
      <c r="I19" s="40">
        <v>19000</v>
      </c>
      <c r="J19" s="40">
        <v>0</v>
      </c>
      <c r="K19" s="17">
        <v>0</v>
      </c>
      <c r="L19" s="17">
        <v>0</v>
      </c>
      <c r="M19" s="17">
        <v>0</v>
      </c>
      <c r="N19" s="39">
        <v>43500</v>
      </c>
      <c r="O19" s="11">
        <f t="shared" si="1"/>
        <v>645390</v>
      </c>
      <c r="P19" s="12">
        <f t="shared" si="2"/>
        <v>785390</v>
      </c>
    </row>
    <row r="20" spans="1:16" s="22" customFormat="1" ht="25.5">
      <c r="A20" s="53" t="s">
        <v>9</v>
      </c>
      <c r="B20" s="58" t="s">
        <v>43</v>
      </c>
      <c r="C20" s="62">
        <f>ROUND(C17+C18+C19,2)</f>
        <v>1422890</v>
      </c>
      <c r="D20" s="62">
        <f aca="true" t="shared" si="6" ref="D20:N20">ROUND(D17+D18+D19,2)</f>
        <v>300000</v>
      </c>
      <c r="E20" s="62">
        <f t="shared" si="6"/>
        <v>1011240</v>
      </c>
      <c r="F20" s="62">
        <f t="shared" si="6"/>
        <v>390000</v>
      </c>
      <c r="G20" s="62">
        <f t="shared" si="6"/>
        <v>30000</v>
      </c>
      <c r="H20" s="62">
        <f t="shared" si="6"/>
        <v>420000</v>
      </c>
      <c r="I20" s="62">
        <f t="shared" si="6"/>
        <v>57380</v>
      </c>
      <c r="J20" s="62">
        <f>ROUND(J17+J18+J19,2)</f>
        <v>0</v>
      </c>
      <c r="K20" s="62">
        <f>ROUND(K17+K18+K19,2)</f>
        <v>9940</v>
      </c>
      <c r="L20" s="62">
        <f t="shared" si="6"/>
        <v>0</v>
      </c>
      <c r="M20" s="62">
        <f t="shared" si="6"/>
        <v>0</v>
      </c>
      <c r="N20" s="62">
        <f t="shared" si="6"/>
        <v>163500</v>
      </c>
      <c r="O20" s="11">
        <f t="shared" si="1"/>
        <v>2964950</v>
      </c>
      <c r="P20" s="12">
        <f t="shared" si="2"/>
        <v>3384950</v>
      </c>
    </row>
    <row r="21" spans="1:16" s="22" customFormat="1" ht="25.5">
      <c r="A21" s="53" t="s">
        <v>10</v>
      </c>
      <c r="B21" s="58" t="s">
        <v>44</v>
      </c>
      <c r="C21" s="62">
        <f>ROUND(C16+C20,2)</f>
        <v>4482890</v>
      </c>
      <c r="D21" s="62">
        <f aca="true" t="shared" si="7" ref="D21:N21">ROUND(D16+D20,2)</f>
        <v>818000</v>
      </c>
      <c r="E21" s="62">
        <f t="shared" si="7"/>
        <v>10003910</v>
      </c>
      <c r="F21" s="62">
        <f t="shared" si="7"/>
        <v>1185600</v>
      </c>
      <c r="G21" s="62">
        <f t="shared" si="7"/>
        <v>84750</v>
      </c>
      <c r="H21" s="62">
        <f t="shared" si="7"/>
        <v>1270350</v>
      </c>
      <c r="I21" s="62">
        <f t="shared" si="7"/>
        <v>169280</v>
      </c>
      <c r="J21" s="62">
        <f>ROUND(J16+J20,2)</f>
        <v>16000</v>
      </c>
      <c r="K21" s="62">
        <f>ROUND(K16+K20,2)</f>
        <v>59940</v>
      </c>
      <c r="L21" s="62">
        <f t="shared" si="7"/>
        <v>0</v>
      </c>
      <c r="M21" s="62">
        <f t="shared" si="7"/>
        <v>82840</v>
      </c>
      <c r="N21" s="62">
        <f t="shared" si="7"/>
        <v>519650</v>
      </c>
      <c r="O21" s="11">
        <f t="shared" si="1"/>
        <v>16152510</v>
      </c>
      <c r="P21" s="12">
        <f t="shared" si="2"/>
        <v>17422860</v>
      </c>
    </row>
    <row r="22" spans="1:16" s="21" customFormat="1" ht="12.75">
      <c r="A22" s="14">
        <v>16</v>
      </c>
      <c r="B22" s="63" t="s">
        <v>45</v>
      </c>
      <c r="C22" s="16">
        <f>430000-430000</f>
        <v>0</v>
      </c>
      <c r="D22" s="38">
        <v>90000</v>
      </c>
      <c r="E22" s="41">
        <f>1333330-1333330</f>
        <v>0</v>
      </c>
      <c r="F22" s="39">
        <v>146570</v>
      </c>
      <c r="G22" s="38">
        <f>12150-8670</f>
        <v>3480</v>
      </c>
      <c r="H22" s="18">
        <f t="shared" si="0"/>
        <v>150050</v>
      </c>
      <c r="I22" s="40">
        <f>11180-11180</f>
        <v>0</v>
      </c>
      <c r="J22" s="40">
        <v>0</v>
      </c>
      <c r="K22" s="39">
        <v>0</v>
      </c>
      <c r="L22" s="39">
        <v>0</v>
      </c>
      <c r="M22" s="39">
        <f>28390-23390</f>
        <v>5000</v>
      </c>
      <c r="N22" s="39">
        <f>60000-60000</f>
        <v>0</v>
      </c>
      <c r="O22" s="11">
        <f t="shared" si="1"/>
        <v>95000</v>
      </c>
      <c r="P22" s="12">
        <f t="shared" si="2"/>
        <v>245050</v>
      </c>
    </row>
    <row r="23" spans="1:16" s="21" customFormat="1" ht="12.75">
      <c r="A23" s="14">
        <v>17</v>
      </c>
      <c r="B23" s="43" t="s">
        <v>46</v>
      </c>
      <c r="C23" s="61">
        <v>0</v>
      </c>
      <c r="D23" s="40">
        <v>90000</v>
      </c>
      <c r="E23" s="40">
        <v>0</v>
      </c>
      <c r="F23" s="39">
        <v>146570</v>
      </c>
      <c r="G23" s="38">
        <v>0</v>
      </c>
      <c r="H23" s="18">
        <f t="shared" si="0"/>
        <v>146570</v>
      </c>
      <c r="I23" s="40">
        <v>0</v>
      </c>
      <c r="J23" s="40">
        <v>0</v>
      </c>
      <c r="K23" s="39">
        <v>0</v>
      </c>
      <c r="L23" s="39">
        <v>0</v>
      </c>
      <c r="M23" s="39">
        <v>0</v>
      </c>
      <c r="N23" s="39">
        <v>0</v>
      </c>
      <c r="O23" s="11">
        <f t="shared" si="1"/>
        <v>90000</v>
      </c>
      <c r="P23" s="12">
        <f t="shared" si="2"/>
        <v>236570</v>
      </c>
    </row>
    <row r="24" spans="1:16" s="21" customFormat="1" ht="12.75">
      <c r="A24" s="14">
        <v>18</v>
      </c>
      <c r="B24" s="43" t="s">
        <v>47</v>
      </c>
      <c r="C24" s="61">
        <v>0</v>
      </c>
      <c r="D24" s="40">
        <v>90000</v>
      </c>
      <c r="E24" s="40">
        <v>0</v>
      </c>
      <c r="F24" s="39">
        <f>146570-130090</f>
        <v>16480</v>
      </c>
      <c r="G24" s="38">
        <v>0</v>
      </c>
      <c r="H24" s="18">
        <f t="shared" si="0"/>
        <v>16480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1">
        <v>0</v>
      </c>
      <c r="O24" s="11">
        <f t="shared" si="1"/>
        <v>90000</v>
      </c>
      <c r="P24" s="12">
        <f t="shared" si="2"/>
        <v>106480</v>
      </c>
    </row>
    <row r="25" spans="1:16" s="22" customFormat="1" ht="25.5">
      <c r="A25" s="53" t="s">
        <v>7</v>
      </c>
      <c r="B25" s="54" t="s">
        <v>48</v>
      </c>
      <c r="C25" s="62">
        <f>ROUND(C22+C23+C24,2)</f>
        <v>0</v>
      </c>
      <c r="D25" s="62">
        <f aca="true" t="shared" si="8" ref="D25:N25">ROUND(D22+D23+D24,2)</f>
        <v>270000</v>
      </c>
      <c r="E25" s="62">
        <f t="shared" si="8"/>
        <v>0</v>
      </c>
      <c r="F25" s="62">
        <f t="shared" si="8"/>
        <v>309620</v>
      </c>
      <c r="G25" s="62">
        <f t="shared" si="8"/>
        <v>3480</v>
      </c>
      <c r="H25" s="62">
        <f t="shared" si="8"/>
        <v>313100</v>
      </c>
      <c r="I25" s="62">
        <f t="shared" si="8"/>
        <v>0</v>
      </c>
      <c r="J25" s="62">
        <f>ROUND(J22+J23+J24,2)</f>
        <v>0</v>
      </c>
      <c r="K25" s="62">
        <f>ROUND(K22+K23+K24,2)</f>
        <v>0</v>
      </c>
      <c r="L25" s="62">
        <f t="shared" si="8"/>
        <v>0</v>
      </c>
      <c r="M25" s="62">
        <f t="shared" si="8"/>
        <v>5000</v>
      </c>
      <c r="N25" s="62">
        <f t="shared" si="8"/>
        <v>0</v>
      </c>
      <c r="O25" s="11">
        <f t="shared" si="1"/>
        <v>275000</v>
      </c>
      <c r="P25" s="12">
        <f t="shared" si="2"/>
        <v>588100</v>
      </c>
    </row>
    <row r="26" spans="1:16" s="22" customFormat="1" ht="38.25">
      <c r="A26" s="64" t="s">
        <v>11</v>
      </c>
      <c r="B26" s="65" t="s">
        <v>49</v>
      </c>
      <c r="C26" s="66">
        <f>ROUND(C11+C15+C20+C25,2)</f>
        <v>4482890</v>
      </c>
      <c r="D26" s="66">
        <f aca="true" t="shared" si="9" ref="D26:N26">ROUND(D11+D15+D20+D25,2)</f>
        <v>1088000</v>
      </c>
      <c r="E26" s="66">
        <f t="shared" si="9"/>
        <v>10003910</v>
      </c>
      <c r="F26" s="66">
        <f t="shared" si="9"/>
        <v>1495220</v>
      </c>
      <c r="G26" s="66">
        <f t="shared" si="9"/>
        <v>88230</v>
      </c>
      <c r="H26" s="66">
        <f t="shared" si="9"/>
        <v>1583450</v>
      </c>
      <c r="I26" s="66">
        <f t="shared" si="9"/>
        <v>169280</v>
      </c>
      <c r="J26" s="66">
        <f>ROUND(J11+J15+J20+J25,2)</f>
        <v>16000</v>
      </c>
      <c r="K26" s="66">
        <f>ROUND(K11+K15+K20+K25,2)</f>
        <v>59940</v>
      </c>
      <c r="L26" s="66">
        <f t="shared" si="9"/>
        <v>0</v>
      </c>
      <c r="M26" s="66">
        <f t="shared" si="9"/>
        <v>87840</v>
      </c>
      <c r="N26" s="66">
        <f t="shared" si="9"/>
        <v>519650</v>
      </c>
      <c r="O26" s="67">
        <f t="shared" si="1"/>
        <v>16427510</v>
      </c>
      <c r="P26" s="68">
        <f t="shared" si="2"/>
        <v>18010960</v>
      </c>
    </row>
    <row r="27" spans="1:17" s="19" customFormat="1" ht="25.5">
      <c r="A27" s="69" t="s">
        <v>101</v>
      </c>
      <c r="B27" s="27" t="s">
        <v>50</v>
      </c>
      <c r="C27" s="17">
        <f>ROUND(C8+C9+C10+C12+C13,2)</f>
        <v>2221329.12</v>
      </c>
      <c r="D27" s="17">
        <f aca="true" t="shared" si="10" ref="D27:N27">ROUND(D8+D9+D10+D12+D13,2)</f>
        <v>367470.06</v>
      </c>
      <c r="E27" s="17">
        <f t="shared" si="10"/>
        <v>7381960.34</v>
      </c>
      <c r="F27" s="17">
        <f t="shared" si="10"/>
        <v>633108</v>
      </c>
      <c r="G27" s="17">
        <f t="shared" si="10"/>
        <v>40020</v>
      </c>
      <c r="H27" s="18">
        <f t="shared" si="0"/>
        <v>673128</v>
      </c>
      <c r="I27" s="17">
        <f t="shared" si="10"/>
        <v>90728.53</v>
      </c>
      <c r="J27" s="17">
        <f t="shared" si="10"/>
        <v>0</v>
      </c>
      <c r="K27" s="17">
        <f t="shared" si="10"/>
        <v>19484.95</v>
      </c>
      <c r="L27" s="17">
        <f t="shared" si="10"/>
        <v>0</v>
      </c>
      <c r="M27" s="17">
        <f t="shared" si="10"/>
        <v>43894.98</v>
      </c>
      <c r="N27" s="17">
        <f t="shared" si="10"/>
        <v>330377.66</v>
      </c>
      <c r="O27" s="11">
        <f t="shared" si="1"/>
        <v>10455245.64</v>
      </c>
      <c r="P27" s="12">
        <f t="shared" si="2"/>
        <v>11128373.64</v>
      </c>
      <c r="Q27" s="23"/>
    </row>
    <row r="28" spans="1:17" s="25" customFormat="1" ht="25.5">
      <c r="A28" s="14" t="s">
        <v>75</v>
      </c>
      <c r="B28" s="24" t="s">
        <v>102</v>
      </c>
      <c r="C28" s="17">
        <f>ROUND(C26-C27,2)</f>
        <v>2261560.88</v>
      </c>
      <c r="D28" s="17">
        <f>ROUND(D26-D27,2)</f>
        <v>720529.94</v>
      </c>
      <c r="E28" s="17">
        <f>ROUND(E26-E27,2)</f>
        <v>2621949.66</v>
      </c>
      <c r="F28" s="17">
        <f>ROUND(F26-F27,2)</f>
        <v>862112</v>
      </c>
      <c r="G28" s="17">
        <f>ROUND(G26-G27,2)</f>
        <v>48210</v>
      </c>
      <c r="H28" s="18">
        <f t="shared" si="0"/>
        <v>910322</v>
      </c>
      <c r="I28" s="17">
        <f aca="true" t="shared" si="11" ref="I28:N28">ROUND(I26-I27,2)</f>
        <v>78551.47</v>
      </c>
      <c r="J28" s="17">
        <f t="shared" si="11"/>
        <v>16000</v>
      </c>
      <c r="K28" s="17">
        <f t="shared" si="11"/>
        <v>40455.05</v>
      </c>
      <c r="L28" s="17">
        <f t="shared" si="11"/>
        <v>0</v>
      </c>
      <c r="M28" s="17">
        <f t="shared" si="11"/>
        <v>43945.02</v>
      </c>
      <c r="N28" s="17">
        <f t="shared" si="11"/>
        <v>189272.34</v>
      </c>
      <c r="O28" s="11">
        <f t="shared" si="1"/>
        <v>5972264.36</v>
      </c>
      <c r="P28" s="12">
        <f t="shared" si="2"/>
        <v>6882586.36</v>
      </c>
      <c r="Q28" s="23"/>
    </row>
    <row r="29" spans="1:17" s="25" customFormat="1" ht="26.25" customHeight="1">
      <c r="A29" s="70">
        <v>23</v>
      </c>
      <c r="B29" s="71" t="s">
        <v>103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3">
        <f t="shared" si="0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11">
        <f t="shared" si="1"/>
        <v>0</v>
      </c>
      <c r="P29" s="12">
        <f>ROUND(H29+O29,2)</f>
        <v>0</v>
      </c>
      <c r="Q29" s="75"/>
    </row>
    <row r="30" spans="1:17" s="20" customFormat="1" ht="26.25" customHeight="1">
      <c r="A30" s="85" t="s">
        <v>86</v>
      </c>
      <c r="B30" s="86" t="s">
        <v>87</v>
      </c>
      <c r="C30" s="87">
        <f>ROUND(C7-C26,2)</f>
        <v>0</v>
      </c>
      <c r="D30" s="87">
        <f>ROUND(D7-D26,2)</f>
        <v>0</v>
      </c>
      <c r="E30" s="87">
        <f aca="true" t="shared" si="12" ref="E30:N30">ROUND(E7-E26,2)</f>
        <v>0</v>
      </c>
      <c r="F30" s="87">
        <f t="shared" si="12"/>
        <v>0</v>
      </c>
      <c r="G30" s="87">
        <f t="shared" si="12"/>
        <v>0</v>
      </c>
      <c r="H30" s="18">
        <f t="shared" si="0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87">
        <f t="shared" si="12"/>
        <v>0</v>
      </c>
      <c r="M30" s="87">
        <f t="shared" si="12"/>
        <v>0</v>
      </c>
      <c r="N30" s="87">
        <f t="shared" si="12"/>
        <v>0</v>
      </c>
      <c r="O30" s="11">
        <f t="shared" si="1"/>
        <v>0</v>
      </c>
      <c r="P30" s="12">
        <f>ROUND(H30+O30,2)</f>
        <v>0</v>
      </c>
      <c r="Q30" s="88"/>
    </row>
    <row r="31" spans="1:17" s="13" customFormat="1" ht="12.75">
      <c r="A31" s="14">
        <v>25</v>
      </c>
      <c r="B31" s="27" t="s">
        <v>67</v>
      </c>
      <c r="C31" s="17">
        <v>487606.57</v>
      </c>
      <c r="D31" s="17">
        <v>53922.23</v>
      </c>
      <c r="E31" s="17">
        <v>1259261.68</v>
      </c>
      <c r="F31" s="17">
        <v>123789.2</v>
      </c>
      <c r="G31" s="17">
        <v>7155</v>
      </c>
      <c r="H31" s="26">
        <f t="shared" si="0"/>
        <v>130944.2</v>
      </c>
      <c r="I31" s="17">
        <v>17666.14</v>
      </c>
      <c r="J31" s="17">
        <v>0</v>
      </c>
      <c r="K31" s="17">
        <v>5099.02</v>
      </c>
      <c r="L31" s="17">
        <v>0</v>
      </c>
      <c r="M31" s="17">
        <v>0</v>
      </c>
      <c r="N31" s="17">
        <v>57342.3</v>
      </c>
      <c r="O31" s="11">
        <f t="shared" si="1"/>
        <v>1880897.94</v>
      </c>
      <c r="P31" s="12">
        <f t="shared" si="2"/>
        <v>2011842.14</v>
      </c>
      <c r="Q31" s="23"/>
    </row>
    <row r="32" spans="1:17" s="13" customFormat="1" ht="38.25">
      <c r="A32" s="14" t="s">
        <v>68</v>
      </c>
      <c r="B32" s="27" t="s">
        <v>55</v>
      </c>
      <c r="C32" s="17">
        <f>ROUND((C27)/5,2)</f>
        <v>444265.82</v>
      </c>
      <c r="D32" s="17">
        <f aca="true" t="shared" si="13" ref="D32:N32">ROUND((D27)/5,2)</f>
        <v>73494.01</v>
      </c>
      <c r="E32" s="17">
        <f t="shared" si="13"/>
        <v>1476392.07</v>
      </c>
      <c r="F32" s="17">
        <f t="shared" si="13"/>
        <v>126621.6</v>
      </c>
      <c r="G32" s="17">
        <f t="shared" si="13"/>
        <v>8004</v>
      </c>
      <c r="H32" s="26">
        <f t="shared" si="0"/>
        <v>134625.6</v>
      </c>
      <c r="I32" s="17">
        <f t="shared" si="13"/>
        <v>18145.71</v>
      </c>
      <c r="J32" s="17">
        <f t="shared" si="13"/>
        <v>0</v>
      </c>
      <c r="K32" s="17">
        <f t="shared" si="13"/>
        <v>3896.99</v>
      </c>
      <c r="L32" s="17">
        <f t="shared" si="13"/>
        <v>0</v>
      </c>
      <c r="M32" s="17">
        <f t="shared" si="13"/>
        <v>8779</v>
      </c>
      <c r="N32" s="17">
        <f t="shared" si="13"/>
        <v>66075.53</v>
      </c>
      <c r="O32" s="11">
        <f t="shared" si="1"/>
        <v>2091049.13</v>
      </c>
      <c r="P32" s="12">
        <f t="shared" si="2"/>
        <v>2225674.73</v>
      </c>
      <c r="Q32" s="23"/>
    </row>
    <row r="33" spans="1:17" s="13" customFormat="1" ht="39" customHeight="1">
      <c r="A33" s="14" t="s">
        <v>69</v>
      </c>
      <c r="B33" s="27" t="s">
        <v>57</v>
      </c>
      <c r="C33" s="60">
        <f aca="true" t="shared" si="14" ref="C33:L33">ROUND(C32*12-C7,2)</f>
        <v>848299.84</v>
      </c>
      <c r="D33" s="60">
        <f t="shared" si="14"/>
        <v>-206071.88</v>
      </c>
      <c r="E33" s="60">
        <f t="shared" si="14"/>
        <v>7712794.84</v>
      </c>
      <c r="F33" s="60">
        <f t="shared" si="14"/>
        <v>24239.2</v>
      </c>
      <c r="G33" s="60">
        <f t="shared" si="14"/>
        <v>7818</v>
      </c>
      <c r="H33" s="76">
        <f t="shared" si="14"/>
        <v>32057.2</v>
      </c>
      <c r="I33" s="60">
        <f t="shared" si="14"/>
        <v>48468.52</v>
      </c>
      <c r="J33" s="60">
        <f t="shared" si="14"/>
        <v>-16000</v>
      </c>
      <c r="K33" s="60">
        <f t="shared" si="14"/>
        <v>-13176.12</v>
      </c>
      <c r="L33" s="60">
        <f t="shared" si="14"/>
        <v>0</v>
      </c>
      <c r="M33" s="60">
        <f>ROUND(M32*12-M7,2)</f>
        <v>17508</v>
      </c>
      <c r="N33" s="60">
        <f>ROUND(N32*12-N7,2)</f>
        <v>273256.36</v>
      </c>
      <c r="O33" s="11">
        <f t="shared" si="1"/>
        <v>8665079.56</v>
      </c>
      <c r="P33" s="12">
        <f t="shared" si="2"/>
        <v>8697136.76</v>
      </c>
      <c r="Q33" s="23"/>
    </row>
    <row r="34" spans="1:17" s="29" customFormat="1" ht="26.25" thickBot="1">
      <c r="A34" s="77" t="s">
        <v>70</v>
      </c>
      <c r="B34" s="78" t="s">
        <v>59</v>
      </c>
      <c r="C34" s="79">
        <f aca="true" t="shared" si="15" ref="C34:P34">ROUND(C7+C33,2)</f>
        <v>5331189.84</v>
      </c>
      <c r="D34" s="80">
        <f t="shared" si="15"/>
        <v>881928.12</v>
      </c>
      <c r="E34" s="80">
        <f t="shared" si="15"/>
        <v>17716704.84</v>
      </c>
      <c r="F34" s="80">
        <f t="shared" si="15"/>
        <v>1519459.2</v>
      </c>
      <c r="G34" s="80">
        <f t="shared" si="15"/>
        <v>96048</v>
      </c>
      <c r="H34" s="81">
        <f t="shared" si="15"/>
        <v>1615507.2</v>
      </c>
      <c r="I34" s="80">
        <f t="shared" si="15"/>
        <v>217748.52</v>
      </c>
      <c r="J34" s="80">
        <f t="shared" si="15"/>
        <v>0</v>
      </c>
      <c r="K34" s="80">
        <f t="shared" si="15"/>
        <v>46763.88</v>
      </c>
      <c r="L34" s="80">
        <f t="shared" si="15"/>
        <v>0</v>
      </c>
      <c r="M34" s="80">
        <f t="shared" si="15"/>
        <v>105348</v>
      </c>
      <c r="N34" s="80">
        <f t="shared" si="15"/>
        <v>792906.36</v>
      </c>
      <c r="O34" s="90">
        <f t="shared" si="1"/>
        <v>25092589.56</v>
      </c>
      <c r="P34" s="82">
        <f t="shared" si="15"/>
        <v>26708096.76</v>
      </c>
      <c r="Q34" s="28"/>
    </row>
    <row r="35" spans="1:17" s="29" customFormat="1" ht="12.75">
      <c r="A35" s="30"/>
      <c r="B35" s="31"/>
      <c r="C35" s="8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28"/>
    </row>
    <row r="36" spans="3:13" ht="15.75">
      <c r="C36" s="84"/>
      <c r="D36" s="37"/>
      <c r="E36" s="19"/>
      <c r="G36" s="35"/>
      <c r="H36" s="35"/>
      <c r="I36" s="34"/>
      <c r="J36" s="34"/>
      <c r="K36" s="42"/>
      <c r="L36" s="42"/>
      <c r="M36" s="42"/>
    </row>
    <row r="37" spans="3:13" ht="15.75">
      <c r="C37" s="84"/>
      <c r="D37" s="37"/>
      <c r="E37" s="19"/>
      <c r="K37" s="42"/>
      <c r="L37" s="42"/>
      <c r="M37" s="42"/>
    </row>
    <row r="38" spans="3:17" ht="15.75"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3:17" ht="15.75">
      <c r="C39" s="36"/>
      <c r="D39" s="36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3:17" ht="15.7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">
    <mergeCell ref="A2:P2"/>
    <mergeCell ref="A3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2019-01-22T10:03:02Z</cp:lastPrinted>
  <dcterms:created xsi:type="dcterms:W3CDTF">2016-04-27T06:23:25Z</dcterms:created>
  <dcterms:modified xsi:type="dcterms:W3CDTF">2019-01-22T10:03:17Z</dcterms:modified>
  <cp:category/>
  <cp:version/>
  <cp:contentType/>
  <cp:contentStatus/>
</cp:coreProperties>
</file>