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<sst xmlns="http://schemas.openxmlformats.org/spreadsheetml/2006/main" count="49" uniqueCount="49">
  <si>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CASA DE ASIGURĂRI DE SĂNĂTATE OLT</t>
  </si>
  <si>
    <t>SITUATIA</t>
  </si>
  <si>
    <t>Nr. crt.</t>
  </si>
  <si>
    <t>Indicatori/perioadă</t>
  </si>
  <si>
    <t>Credite angajament aprobate an 2019, din care:</t>
  </si>
  <si>
    <t>5=2+3+4</t>
  </si>
  <si>
    <t>9=6+7+8</t>
  </si>
  <si>
    <t>10=5+9</t>
  </si>
  <si>
    <t>14=11+12+13</t>
  </si>
  <si>
    <t>15=10+14</t>
  </si>
  <si>
    <t>19=16+17+18</t>
  </si>
  <si>
    <t>20=5+9+14+ 19</t>
  </si>
  <si>
    <t>Consum 2019 inregistrat in limita credite angajament AN 2019</t>
  </si>
  <si>
    <t>Consum mediu lunar an 2019</t>
  </si>
  <si>
    <t>ianuarie 2019- consum realizat</t>
  </si>
  <si>
    <t>februarie 2019- consum realizat</t>
  </si>
  <si>
    <t>Consum mediu lunar înregistrat AN 2018</t>
  </si>
  <si>
    <t>martie 2019- consum validat in limita credite trim I 2019</t>
  </si>
  <si>
    <t>Trim. I 2019- consum validat in limita credite trim I 2019</t>
  </si>
  <si>
    <t>aprilie 2019- consum realizat, inclusiv difer. martie DCI-CV=1218,35 lei</t>
  </si>
  <si>
    <t>mai 2019- consum realizat</t>
  </si>
  <si>
    <t>iunie 2019- consum validat in limita credite trim II 2019</t>
  </si>
  <si>
    <t>Trim. II 2019- consum validat in limita credite trim II 2019</t>
  </si>
  <si>
    <t>Total sem. I 2019- consum validat in limita credite sem I 2019</t>
  </si>
  <si>
    <t>26=(21+ 24)/ nr. luni</t>
  </si>
  <si>
    <t>iulie 2019- consum realizat, inclusiv difer. Iunie C+G=124531,96</t>
  </si>
  <si>
    <t>august 2019- consum realizat</t>
  </si>
  <si>
    <t>CREDITE RĂMASE DE ANGAJAT 2019</t>
  </si>
  <si>
    <t xml:space="preserve">Limite trimestriale credite aprobate - activitate curentă </t>
  </si>
  <si>
    <t>CREDITE ANGAJAMENT MEDICAMENTE (activitate curenta) REPARTIZATE AN 2019</t>
  </si>
  <si>
    <t>Limite trimestriale credite aprobate - 40%MS</t>
  </si>
  <si>
    <t>CREDITE ANGAJAMENT MEDICAMENTE 40% MS REPARTIZATE AN 2019</t>
  </si>
  <si>
    <t>Limite trimestriale credite aprobate - CV</t>
  </si>
  <si>
    <t>CREDITE ANGAJAMENT DCI COST VOLUM REPARTIZATE AN 2019</t>
  </si>
  <si>
    <t xml:space="preserve">TOTAL CONSUM REALIZAT </t>
  </si>
  <si>
    <t>8=3+5+7</t>
  </si>
  <si>
    <t>septembrie 2019 - consum realizat</t>
  </si>
  <si>
    <t>Total trim. III 2019 - consum realizat</t>
  </si>
  <si>
    <t>Total 9 luni 2019 - consum realizat</t>
  </si>
  <si>
    <t>MODIFICĂRII REPARTIZARII LUNARE A CREDITELOR DE ANGAJAMENT PENTRU ELIBERARE MEDICAMENTE CU ŞI FĂRĂ CONTRIBUŢIE PERSONALĂ PENTRU ANUL 2019, CA URMARE A VALIDĂRII CONSUMULUI RAPORTAT PENTRU LUNA DECEMBRIE 2019, CU INCADRAREA IN CREDITELE DE ANGAJAMENT APROBATE PENTRU ANUL 2019, CONFORM ADRESEI CNAS NR. P11233/23.12.2019</t>
  </si>
  <si>
    <t>octombrie 2019- consum realizat</t>
  </si>
  <si>
    <t>noiembrie 2019- consum realizat</t>
  </si>
  <si>
    <t>decembrie 2019- consum realizat</t>
  </si>
  <si>
    <t>Total trim. IV 2019- consum realizat</t>
  </si>
  <si>
    <t>TOTAL AN 2019- consum realizat</t>
  </si>
  <si>
    <t>21=20</t>
  </si>
  <si>
    <t>22=1-20</t>
  </si>
  <si>
    <t>Credite neconsumate la 31.12.2019 (ECONOMII AN 2019)</t>
  </si>
  <si>
    <t>Depășire la data de 31.12.2019 (consum nevalidat)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</si>
</sst>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/>
    </xf>
    <xf numFmtId="49" fontId="1" fillId="2" borderId="5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49" fontId="2" fillId="0" borderId="5" xfId="0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4" fontId="1" fillId="0" borderId="5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4" fontId="1" fillId="0" borderId="7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6">
      <selection activeCell="B35" sqref="B35:G36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17.421875" style="2" customWidth="1"/>
    <col min="5" max="5" width="14.7109375" style="2" customWidth="1"/>
    <col min="6" max="6" width="15.7109375" style="2" customWidth="1"/>
    <col min="7" max="8" width="14.7109375" style="2" customWidth="1"/>
    <col min="9" max="9" width="12.00390625" style="2" customWidth="1"/>
    <col min="10" max="16384" width="9.140625" style="2" customWidth="1"/>
  </cols>
  <sheetData>
    <row r="1" spans="1:9" ht="12.75">
      <c r="A1" s="1" t="s">
        <v>0</v>
      </c>
      <c r="F1" s="3"/>
      <c r="I1" s="3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s="4" customFormat="1" ht="43.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</row>
    <row r="4" ht="13.5" thickBot="1"/>
    <row r="5" spans="1:9" ht="77.25" customHeight="1">
      <c r="A5" s="5" t="s">
        <v>2</v>
      </c>
      <c r="B5" s="6" t="s">
        <v>3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7" t="s">
        <v>34</v>
      </c>
    </row>
    <row r="6" spans="1:9" ht="12.75">
      <c r="A6" s="8">
        <v>0</v>
      </c>
      <c r="B6" s="9">
        <v>1</v>
      </c>
      <c r="C6" s="9">
        <v>2</v>
      </c>
      <c r="D6" s="9">
        <v>3</v>
      </c>
      <c r="E6" s="9">
        <v>4</v>
      </c>
      <c r="F6" s="10">
        <v>5</v>
      </c>
      <c r="G6" s="9">
        <v>6</v>
      </c>
      <c r="H6" s="10">
        <v>7</v>
      </c>
      <c r="I6" s="53" t="s">
        <v>35</v>
      </c>
    </row>
    <row r="7" spans="1:9" ht="12.75">
      <c r="A7" s="11">
        <v>1</v>
      </c>
      <c r="B7" s="12" t="s">
        <v>4</v>
      </c>
      <c r="C7" s="13">
        <f>ROUND(C11+C15+C20+C25,2)</f>
        <v>84196000</v>
      </c>
      <c r="D7" s="14">
        <f>7238000+7238000+6741000+20159000+27033000+7940000+1835000+6012000</f>
        <v>84196000</v>
      </c>
      <c r="E7" s="13">
        <f>ROUND(E11+E15+E20+E25,2)</f>
        <v>2435000</v>
      </c>
      <c r="F7" s="14">
        <f>207000+207000+202000+585000+986000+203000+5000+40000</f>
        <v>2435000</v>
      </c>
      <c r="G7" s="13">
        <f>ROUND(G11+G15+G20+G25,2)</f>
        <v>417610</v>
      </c>
      <c r="H7" s="14">
        <f>17000+22000+22000+99000+55000+439000-236390</f>
        <v>417610</v>
      </c>
      <c r="I7" s="15">
        <f>ROUND(I11+I15+I20+I25,2)</f>
        <v>85741121.35</v>
      </c>
    </row>
    <row r="8" spans="1:9" ht="12.75">
      <c r="A8" s="17">
        <v>2</v>
      </c>
      <c r="B8" s="18" t="s">
        <v>14</v>
      </c>
      <c r="C8" s="19"/>
      <c r="D8" s="20">
        <f>7238000+225859.07</f>
        <v>7463859.07</v>
      </c>
      <c r="E8" s="20"/>
      <c r="F8" s="21">
        <f>207000-464.6</f>
        <v>206535.4</v>
      </c>
      <c r="G8" s="20"/>
      <c r="H8" s="21">
        <f>17000+6201.37</f>
        <v>23201.37</v>
      </c>
      <c r="I8" s="22">
        <f>ROUND(D8+F8+H8,2)</f>
        <v>7693595.84</v>
      </c>
    </row>
    <row r="9" spans="1:9" ht="12.75">
      <c r="A9" s="17">
        <v>3</v>
      </c>
      <c r="B9" s="18" t="s">
        <v>15</v>
      </c>
      <c r="C9" s="19"/>
      <c r="D9" s="20">
        <f>7238000-225859.07-318593.66+37.35</f>
        <v>6693584.619999999</v>
      </c>
      <c r="E9" s="20"/>
      <c r="F9" s="21">
        <f>207000+464.6-15639.46</f>
        <v>191825.14</v>
      </c>
      <c r="G9" s="20"/>
      <c r="H9" s="21">
        <f>22000-6201.37+7402.75</f>
        <v>23201.38</v>
      </c>
      <c r="I9" s="22">
        <f aca="true" t="shared" si="0" ref="I9:I14">ROUND(D9+F9+H9,2)</f>
        <v>6908611.14</v>
      </c>
    </row>
    <row r="10" spans="1:9" ht="12.75">
      <c r="A10" s="8">
        <v>4</v>
      </c>
      <c r="B10" s="18" t="s">
        <v>17</v>
      </c>
      <c r="C10" s="19"/>
      <c r="D10" s="20">
        <f>6741000+318593.66-37.35+200000-359972.59</f>
        <v>6899583.720000001</v>
      </c>
      <c r="E10" s="20"/>
      <c r="F10" s="21">
        <f>202000+15639.46-18856.31</f>
        <v>198783.15</v>
      </c>
      <c r="G10" s="20"/>
      <c r="H10" s="34">
        <f>22000-7402.75+10000</f>
        <v>24597.25</v>
      </c>
      <c r="I10" s="22">
        <f t="shared" si="0"/>
        <v>7122964.12</v>
      </c>
    </row>
    <row r="11" spans="1:9" s="1" customFormat="1" ht="12.75">
      <c r="A11" s="23" t="s">
        <v>5</v>
      </c>
      <c r="B11" s="24" t="s">
        <v>18</v>
      </c>
      <c r="C11" s="14">
        <v>21153770</v>
      </c>
      <c r="D11" s="13">
        <f>SUM(D8:D10)</f>
        <v>21057027.41</v>
      </c>
      <c r="E11" s="13">
        <v>600500</v>
      </c>
      <c r="F11" s="13">
        <f>SUM(F8:F10)</f>
        <v>597143.6900000001</v>
      </c>
      <c r="G11" s="13">
        <v>71000</v>
      </c>
      <c r="H11" s="13">
        <f>SUM(H8:H10)</f>
        <v>71000</v>
      </c>
      <c r="I11" s="25">
        <f>SUM(I8:I10)</f>
        <v>21725171.1</v>
      </c>
    </row>
    <row r="12" spans="1:9" ht="12.75">
      <c r="A12" s="17">
        <v>6</v>
      </c>
      <c r="B12" s="26" t="s">
        <v>19</v>
      </c>
      <c r="C12" s="19"/>
      <c r="D12" s="20">
        <f>7200000+359972.59-825007.72</f>
        <v>6734964.87</v>
      </c>
      <c r="E12" s="20"/>
      <c r="F12" s="21">
        <f>210000+18856.31-38970.94</f>
        <v>189885.37</v>
      </c>
      <c r="G12" s="20"/>
      <c r="H12" s="21">
        <f>30000-2312.47</f>
        <v>27687.53</v>
      </c>
      <c r="I12" s="22">
        <f t="shared" si="0"/>
        <v>6952537.77</v>
      </c>
    </row>
    <row r="13" spans="1:9" ht="12.75">
      <c r="A13" s="17">
        <v>7</v>
      </c>
      <c r="B13" s="18" t="s">
        <v>20</v>
      </c>
      <c r="C13" s="19"/>
      <c r="D13" s="20">
        <f>7200000+825007.72-779101.25</f>
        <v>7245906.47</v>
      </c>
      <c r="E13" s="20"/>
      <c r="F13" s="21">
        <f>210000+38970.94-42029.47</f>
        <v>206941.47</v>
      </c>
      <c r="G13" s="20"/>
      <c r="H13" s="21">
        <f>30000+2312.47+30000-7554.65</f>
        <v>54757.82</v>
      </c>
      <c r="I13" s="22">
        <f t="shared" si="0"/>
        <v>7507605.76</v>
      </c>
    </row>
    <row r="14" spans="1:9" s="4" customFormat="1" ht="12.75">
      <c r="A14" s="17">
        <v>8</v>
      </c>
      <c r="B14" s="27" t="s">
        <v>21</v>
      </c>
      <c r="C14" s="28"/>
      <c r="D14" s="20">
        <f>5559000+779101.25</f>
        <v>6338101.25</v>
      </c>
      <c r="E14" s="20"/>
      <c r="F14" s="21">
        <f>165000+42029.47-12780.52</f>
        <v>194248.95</v>
      </c>
      <c r="G14" s="20"/>
      <c r="H14" s="21">
        <f>29000+25000+7554.65-32798.01</f>
        <v>28756.64</v>
      </c>
      <c r="I14" s="22">
        <f t="shared" si="0"/>
        <v>6561106.84</v>
      </c>
    </row>
    <row r="15" spans="1:9" ht="12.75">
      <c r="A15" s="29" t="s">
        <v>6</v>
      </c>
      <c r="B15" s="30" t="s">
        <v>22</v>
      </c>
      <c r="C15" s="14">
        <v>20222230</v>
      </c>
      <c r="D15" s="13">
        <f>SUM(D12:D14)</f>
        <v>20318972.59</v>
      </c>
      <c r="E15" s="13">
        <v>600500</v>
      </c>
      <c r="F15" s="13">
        <f>SUM(F12:F14)</f>
        <v>591075.79</v>
      </c>
      <c r="G15" s="13">
        <f>89000+55000</f>
        <v>144000</v>
      </c>
      <c r="H15" s="13">
        <f>SUM(H12:H14)</f>
        <v>111201.99</v>
      </c>
      <c r="I15" s="25">
        <f>SUM(I12:I14)</f>
        <v>21021250.369999997</v>
      </c>
    </row>
    <row r="16" spans="1:9" s="1" customFormat="1" ht="12.75">
      <c r="A16" s="23" t="s">
        <v>7</v>
      </c>
      <c r="B16" s="31" t="s">
        <v>23</v>
      </c>
      <c r="C16" s="14">
        <f aca="true" t="shared" si="1" ref="C16:I16">C11+C15</f>
        <v>41376000</v>
      </c>
      <c r="D16" s="13">
        <f t="shared" si="1"/>
        <v>41376000</v>
      </c>
      <c r="E16" s="14">
        <f t="shared" si="1"/>
        <v>1201000</v>
      </c>
      <c r="F16" s="13">
        <f t="shared" si="1"/>
        <v>1188219.48</v>
      </c>
      <c r="G16" s="14">
        <f t="shared" si="1"/>
        <v>215000</v>
      </c>
      <c r="H16" s="13">
        <f t="shared" si="1"/>
        <v>182201.99</v>
      </c>
      <c r="I16" s="25">
        <f t="shared" si="1"/>
        <v>42746421.47</v>
      </c>
    </row>
    <row r="17" spans="1:9" ht="12.75">
      <c r="A17" s="17">
        <v>11</v>
      </c>
      <c r="B17" s="18" t="s">
        <v>25</v>
      </c>
      <c r="C17" s="19"/>
      <c r="D17" s="20">
        <f>7200000+9908.02</f>
        <v>7209908.02</v>
      </c>
      <c r="E17" s="32"/>
      <c r="F17" s="21">
        <f>210000+12780.52-16750.6</f>
        <v>206029.91999999998</v>
      </c>
      <c r="G17" s="32"/>
      <c r="H17" s="21">
        <f>60000+32798.01-63049.37</f>
        <v>29748.640000000007</v>
      </c>
      <c r="I17" s="22">
        <f>ROUND(D17+F17+H17,2)</f>
        <v>7445686.58</v>
      </c>
    </row>
    <row r="18" spans="1:9" ht="12.75">
      <c r="A18" s="17">
        <v>12</v>
      </c>
      <c r="B18" s="18" t="s">
        <v>26</v>
      </c>
      <c r="C18" s="19"/>
      <c r="D18" s="20">
        <f>7200000-9908.02-681704.67</f>
        <v>6508387.3100000005</v>
      </c>
      <c r="E18" s="21"/>
      <c r="F18" s="21">
        <f>210000+16750.6-28729.15</f>
        <v>198021.45</v>
      </c>
      <c r="G18" s="21"/>
      <c r="H18" s="21">
        <f>75000+63049.37-105534.76</f>
        <v>32514.61</v>
      </c>
      <c r="I18" s="22">
        <f>ROUND(D18+F18+H18,2)</f>
        <v>6738923.37</v>
      </c>
    </row>
    <row r="19" spans="1:9" ht="12.75">
      <c r="A19" s="17">
        <v>13</v>
      </c>
      <c r="B19" s="33" t="s">
        <v>36</v>
      </c>
      <c r="C19" s="21"/>
      <c r="D19" s="20">
        <f>6622740+681704.67+600000-1294190.53</f>
        <v>6610254.14</v>
      </c>
      <c r="E19" s="34"/>
      <c r="F19" s="21">
        <f>210000+28729.15-39601.94</f>
        <v>199127.21</v>
      </c>
      <c r="G19" s="34"/>
      <c r="H19" s="21">
        <f>75000+105534.76-137388.71</f>
        <v>43146.05000000002</v>
      </c>
      <c r="I19" s="22">
        <f>ROUND(D19+F19+H19,2)</f>
        <v>6852527.4</v>
      </c>
    </row>
    <row r="20" spans="1:9" s="1" customFormat="1" ht="12.75">
      <c r="A20" s="23" t="s">
        <v>8</v>
      </c>
      <c r="B20" s="31" t="s">
        <v>37</v>
      </c>
      <c r="C20" s="14">
        <f>21022740+600000</f>
        <v>21622740</v>
      </c>
      <c r="D20" s="13">
        <f>ROUND(D17+D18+D19,2)</f>
        <v>20328549.47</v>
      </c>
      <c r="E20" s="14">
        <v>630000</v>
      </c>
      <c r="F20" s="13">
        <f>ROUND(F17+F18+F19,2)</f>
        <v>603178.58</v>
      </c>
      <c r="G20" s="14">
        <f>210000-137388.71</f>
        <v>72611.29000000001</v>
      </c>
      <c r="H20" s="13">
        <f>ROUND(H17+H18+H19,2)</f>
        <v>105409.3</v>
      </c>
      <c r="I20" s="25">
        <f>ROUND(I17+I18+I19,2)</f>
        <v>21037137.35</v>
      </c>
    </row>
    <row r="21" spans="1:9" s="1" customFormat="1" ht="12.75">
      <c r="A21" s="23" t="s">
        <v>9</v>
      </c>
      <c r="B21" s="31" t="s">
        <v>38</v>
      </c>
      <c r="C21" s="14">
        <f>C16+C20</f>
        <v>62998740</v>
      </c>
      <c r="D21" s="13">
        <f>ROUND(D16+D20,2)</f>
        <v>61704549.47</v>
      </c>
      <c r="E21" s="14">
        <f>E16+E20</f>
        <v>1831000</v>
      </c>
      <c r="F21" s="13">
        <f>ROUND(F16+F20,2)</f>
        <v>1791398.06</v>
      </c>
      <c r="G21" s="14">
        <f>G16+G20</f>
        <v>287611.29000000004</v>
      </c>
      <c r="H21" s="13">
        <f>ROUND(H16+H20,2)</f>
        <v>287611.29</v>
      </c>
      <c r="I21" s="25">
        <f>ROUND(I16+I20,2)</f>
        <v>63783558.82</v>
      </c>
    </row>
    <row r="22" spans="1:9" ht="12.75">
      <c r="A22" s="17">
        <v>16</v>
      </c>
      <c r="B22" s="35" t="s">
        <v>40</v>
      </c>
      <c r="C22" s="21"/>
      <c r="D22" s="34">
        <f>6010260+1294190.53+192854.36</f>
        <v>7497304.890000001</v>
      </c>
      <c r="E22" s="21"/>
      <c r="F22" s="21">
        <f>210000+39601.94-34965.87</f>
        <v>214636.07</v>
      </c>
      <c r="G22" s="21"/>
      <c r="H22" s="21">
        <f>75000+137388.71-180364.28</f>
        <v>32024.429999999993</v>
      </c>
      <c r="I22" s="22">
        <f>ROUND(D22+F22+H22,2)</f>
        <v>7743965.39</v>
      </c>
    </row>
    <row r="23" spans="1:12" ht="12.75">
      <c r="A23" s="17">
        <v>17</v>
      </c>
      <c r="B23" s="33" t="s">
        <v>41</v>
      </c>
      <c r="C23" s="21"/>
      <c r="D23" s="34">
        <f>7940000-600000-192854.36-50267.96</f>
        <v>7096877.68</v>
      </c>
      <c r="E23" s="34"/>
      <c r="F23" s="34">
        <f>146000+34965.87+5000+25000-624.94</f>
        <v>210340.93</v>
      </c>
      <c r="G23" s="34"/>
      <c r="H23" s="34">
        <f>75000+180364.28-210000-10223.81</f>
        <v>35140.47</v>
      </c>
      <c r="I23" s="22">
        <f>ROUND(D23+F23+H23,2)</f>
        <v>7342359.08</v>
      </c>
      <c r="L23" s="16"/>
    </row>
    <row r="24" spans="1:9" ht="12.75">
      <c r="A24" s="17">
        <v>18</v>
      </c>
      <c r="B24" s="33" t="s">
        <v>42</v>
      </c>
      <c r="C24" s="21"/>
      <c r="D24" s="34">
        <f>1835000+6012000+50267.96-1254211.04</f>
        <v>6643056.92</v>
      </c>
      <c r="E24" s="21"/>
      <c r="F24" s="34">
        <f>203000-25000+40000+624.94-23623.57</f>
        <v>195001.37</v>
      </c>
      <c r="G24" s="21"/>
      <c r="H24" s="34">
        <f>79000-26390+10223.81-29654.04</f>
        <v>33179.77</v>
      </c>
      <c r="I24" s="22">
        <f>ROUND(D24+F24+H24,2)</f>
        <v>6871238.06</v>
      </c>
    </row>
    <row r="25" spans="1:9" ht="12.75">
      <c r="A25" s="23" t="s">
        <v>10</v>
      </c>
      <c r="B25" s="24" t="s">
        <v>43</v>
      </c>
      <c r="C25" s="14">
        <f>6010260+7340000+1835000+6012000</f>
        <v>21197260</v>
      </c>
      <c r="D25" s="14">
        <f>D22+D23+D24</f>
        <v>21237239.490000002</v>
      </c>
      <c r="E25" s="14">
        <f>356000+203000+5000+40000</f>
        <v>604000</v>
      </c>
      <c r="F25" s="14">
        <f>F22+F23+F24</f>
        <v>619978.37</v>
      </c>
      <c r="G25" s="14">
        <f>229000-99001.29</f>
        <v>129998.71</v>
      </c>
      <c r="H25" s="14">
        <f>H22+H23+H24</f>
        <v>100344.66999999998</v>
      </c>
      <c r="I25" s="15">
        <f>I22+I23+I24</f>
        <v>21957562.529999997</v>
      </c>
    </row>
    <row r="26" spans="1:9" ht="25.5">
      <c r="A26" s="23" t="s">
        <v>11</v>
      </c>
      <c r="B26" s="24" t="s">
        <v>44</v>
      </c>
      <c r="C26" s="14">
        <f aca="true" t="shared" si="2" ref="C26:I26">ROUND(C11+C15+C20+C25,2)</f>
        <v>84196000</v>
      </c>
      <c r="D26" s="14">
        <f t="shared" si="2"/>
        <v>82941788.96</v>
      </c>
      <c r="E26" s="14">
        <f t="shared" si="2"/>
        <v>2435000</v>
      </c>
      <c r="F26" s="14">
        <f t="shared" si="2"/>
        <v>2411376.43</v>
      </c>
      <c r="G26" s="14">
        <f t="shared" si="2"/>
        <v>417610</v>
      </c>
      <c r="H26" s="14">
        <f t="shared" si="2"/>
        <v>387955.96</v>
      </c>
      <c r="I26" s="15">
        <f t="shared" si="2"/>
        <v>85741121.35</v>
      </c>
    </row>
    <row r="27" spans="1:9" ht="12.75">
      <c r="A27" s="36" t="s">
        <v>45</v>
      </c>
      <c r="B27" s="37" t="s">
        <v>12</v>
      </c>
      <c r="C27" s="37"/>
      <c r="D27" s="45">
        <f>ROUND(D8+D9+D10+D12+D13+D14+D17+D18+D19+D22+D23+D24,2)</f>
        <v>82941788.96</v>
      </c>
      <c r="E27" s="34"/>
      <c r="F27" s="45">
        <f>ROUND(F8+F9+F10+F12+F13+F14+F17+F18+F19+F22+F23+F24,2)</f>
        <v>2411376.43</v>
      </c>
      <c r="G27" s="34"/>
      <c r="H27" s="45">
        <f>ROUND(H8+H9+H10+H12+H13+H14+H17+H18+H19+H22+H23+H24,2)</f>
        <v>387955.96</v>
      </c>
      <c r="I27" s="46">
        <f aca="true" t="shared" si="3" ref="I27:I32">ROUND(D27+F27+H27,2)</f>
        <v>85741121.35</v>
      </c>
    </row>
    <row r="28" spans="1:9" ht="12.75">
      <c r="A28" s="17" t="s">
        <v>46</v>
      </c>
      <c r="B28" s="38" t="s">
        <v>47</v>
      </c>
      <c r="C28" s="38"/>
      <c r="D28" s="45">
        <f>ROUND(D7-D27,2)</f>
        <v>1254211.04</v>
      </c>
      <c r="E28" s="34"/>
      <c r="F28" s="45">
        <f>ROUND(F7-F27,2)</f>
        <v>23623.57</v>
      </c>
      <c r="G28" s="34"/>
      <c r="H28" s="45">
        <f>ROUND(H7-H27,2)</f>
        <v>29654.04</v>
      </c>
      <c r="I28" s="46">
        <f t="shared" si="3"/>
        <v>1307488.65</v>
      </c>
    </row>
    <row r="29" spans="1:9" s="1" customFormat="1" ht="12.75">
      <c r="A29" s="47">
        <v>23</v>
      </c>
      <c r="B29" s="48" t="s">
        <v>27</v>
      </c>
      <c r="C29" s="48"/>
      <c r="D29" s="45">
        <v>0</v>
      </c>
      <c r="E29" s="45"/>
      <c r="F29" s="45">
        <v>0</v>
      </c>
      <c r="G29" s="45"/>
      <c r="H29" s="45">
        <v>0</v>
      </c>
      <c r="I29" s="46">
        <f t="shared" si="3"/>
        <v>0</v>
      </c>
    </row>
    <row r="30" spans="1:9" s="39" customFormat="1" ht="12.75">
      <c r="A30" s="49">
        <v>24</v>
      </c>
      <c r="B30" s="50" t="s">
        <v>48</v>
      </c>
      <c r="C30" s="50"/>
      <c r="D30" s="51">
        <v>0</v>
      </c>
      <c r="E30" s="51"/>
      <c r="F30" s="51">
        <v>0</v>
      </c>
      <c r="G30" s="51"/>
      <c r="H30" s="51">
        <v>0</v>
      </c>
      <c r="I30" s="46">
        <f t="shared" si="3"/>
        <v>0</v>
      </c>
    </row>
    <row r="31" spans="1:9" ht="12.75">
      <c r="A31" s="17">
        <v>25</v>
      </c>
      <c r="B31" s="37" t="s">
        <v>16</v>
      </c>
      <c r="C31" s="37"/>
      <c r="D31" s="21">
        <v>6740608.35</v>
      </c>
      <c r="E31" s="21"/>
      <c r="F31" s="21">
        <v>190585.89</v>
      </c>
      <c r="G31" s="21"/>
      <c r="H31" s="21">
        <v>16008.87</v>
      </c>
      <c r="I31" s="46">
        <f t="shared" si="3"/>
        <v>6947203.11</v>
      </c>
    </row>
    <row r="32" spans="1:9" ht="26.25" thickBot="1">
      <c r="A32" s="59" t="s">
        <v>24</v>
      </c>
      <c r="B32" s="60" t="s">
        <v>13</v>
      </c>
      <c r="C32" s="60"/>
      <c r="D32" s="61">
        <f>ROUND((D27+D30)/12,2)</f>
        <v>6911815.75</v>
      </c>
      <c r="E32" s="61"/>
      <c r="F32" s="61">
        <f>ROUND((F27+F30)/12,2)</f>
        <v>200948.04</v>
      </c>
      <c r="G32" s="61"/>
      <c r="H32" s="61">
        <f>ROUND((H27+H30)/12,2)</f>
        <v>32329.66</v>
      </c>
      <c r="I32" s="54">
        <f t="shared" si="3"/>
        <v>7145093.45</v>
      </c>
    </row>
    <row r="33" spans="1:8" ht="12.75">
      <c r="A33" s="55"/>
      <c r="B33" s="56"/>
      <c r="C33" s="56"/>
      <c r="D33" s="56"/>
      <c r="E33" s="56"/>
      <c r="F33" s="56"/>
      <c r="G33" s="56"/>
      <c r="H33" s="56"/>
    </row>
    <row r="34" spans="2:8" ht="14.25" customHeight="1">
      <c r="B34" s="41"/>
      <c r="C34" s="42"/>
      <c r="E34" s="40"/>
      <c r="F34" s="43"/>
      <c r="G34" s="40"/>
      <c r="H34" s="43"/>
    </row>
    <row r="35" spans="2:7" ht="15.75">
      <c r="B35" s="41"/>
      <c r="C35" s="41"/>
      <c r="E35" s="40"/>
      <c r="F35" s="43"/>
      <c r="G35" s="40"/>
    </row>
    <row r="36" spans="2:7" ht="15.75">
      <c r="B36" s="41"/>
      <c r="C36" s="41"/>
      <c r="E36" s="40"/>
      <c r="F36" s="52"/>
      <c r="G36" s="40"/>
    </row>
    <row r="37" ht="14.25">
      <c r="C37" s="44"/>
    </row>
    <row r="38" ht="14.25">
      <c r="C38" s="44"/>
    </row>
    <row r="39" ht="14.25">
      <c r="C39" s="44"/>
    </row>
    <row r="40" ht="14.25">
      <c r="C40" s="44"/>
    </row>
    <row r="41" ht="14.25">
      <c r="C41" s="44"/>
    </row>
  </sheetData>
  <mergeCells count="2">
    <mergeCell ref="A2:I2"/>
    <mergeCell ref="A3:I3"/>
  </mergeCells>
  <printOptions/>
  <pageMargins left="0.42" right="0.17" top="0.5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2019-11-06T08:47:38Z</cp:lastPrinted>
  <dcterms:created xsi:type="dcterms:W3CDTF">2019-01-29T08:52:26Z</dcterms:created>
  <dcterms:modified xsi:type="dcterms:W3CDTF">2020-10-28T09:04:30Z</dcterms:modified>
  <cp:category/>
  <cp:version/>
  <cp:contentType/>
  <cp:contentStatus/>
</cp:coreProperties>
</file>