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<sst xmlns="http://schemas.openxmlformats.org/spreadsheetml/2006/main" count="61" uniqueCount="61">
  <si>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CASA DE ASIGURĂRI DE SĂNĂTATE OLT</t>
  </si>
  <si>
    <t>SITUATIA</t>
  </si>
  <si>
    <t>Nr. crt.</t>
  </si>
  <si>
    <t>Indicatori/perioadă</t>
  </si>
  <si>
    <t>5=2+3+4</t>
  </si>
  <si>
    <t>9=6+7+8</t>
  </si>
  <si>
    <t>10=5+9</t>
  </si>
  <si>
    <t>14=11+12+13</t>
  </si>
  <si>
    <t>15=10+14</t>
  </si>
  <si>
    <t>19=16+17+18</t>
  </si>
  <si>
    <t>20=5+9+14+ 19</t>
  </si>
  <si>
    <t>22=20-21</t>
  </si>
  <si>
    <t>26=(21+ 24)/ nr. luni</t>
  </si>
  <si>
    <t xml:space="preserve">Limite trimestriale credite aprobate - activitate curentă </t>
  </si>
  <si>
    <t>Limite trimestriale credite aprobate - 40%MS</t>
  </si>
  <si>
    <t>Credite angajament aprobate an 2020, din care:</t>
  </si>
  <si>
    <t>Consum mediu lunar an 2020</t>
  </si>
  <si>
    <t>ianuarie 2020- consum realizat</t>
  </si>
  <si>
    <t>februarie 2020- consum realizat</t>
  </si>
  <si>
    <t xml:space="preserve">Consum mediu lunar înregistrat AN 2019 </t>
  </si>
  <si>
    <t>martie 2020- consum validat integral</t>
  </si>
  <si>
    <t>aprilie 2020- consum validat integral</t>
  </si>
  <si>
    <t>mai 2020- consum validat integral</t>
  </si>
  <si>
    <t>Credite angajate si neconsumate AN 2020</t>
  </si>
  <si>
    <t>Limite trimestriale credite aprobate - DCI COST VOLUM</t>
  </si>
  <si>
    <t>Limite trimestriale credite aprobate - 50% COST VOLUM</t>
  </si>
  <si>
    <t>Limite trimestriale credite aprobate - 40% COST VOLUM</t>
  </si>
  <si>
    <t>TOTAL limite trimestriale credite aprobate - COST VOLUM</t>
  </si>
  <si>
    <t>DIFERENTE CONSUM RAPORTAT- CONSUM VALIDAT</t>
  </si>
  <si>
    <t>12=6+8+10</t>
  </si>
  <si>
    <t>13=7+9+11</t>
  </si>
  <si>
    <t>14=3+5+13</t>
  </si>
  <si>
    <t>16=15-14</t>
  </si>
  <si>
    <t xml:space="preserve">Trim. I 2020- consum validat integral </t>
  </si>
  <si>
    <t>iunie 2020- consum validat în limita credite sem. I 2020</t>
  </si>
  <si>
    <t>Trim. II 2020- consum validat în limita credite sem. I 2020</t>
  </si>
  <si>
    <t>Total sem. I 2020- consum validat în limita credite sem. I 2020</t>
  </si>
  <si>
    <t>iulie 2020- consum validat integral + diferente iunie 67,44 (40%MS)</t>
  </si>
  <si>
    <t>CREDITE RAMASE DE ANGAJAT 2020</t>
  </si>
  <si>
    <t>august 2020 - consum validat integral+ diferente iunie si iulie (50%CNAS CV+ 40%MS CV)</t>
  </si>
  <si>
    <t>septembrie 2020 - consum validat integral</t>
  </si>
  <si>
    <t>Total trim. III 2020- consum validat integral</t>
  </si>
  <si>
    <t>Total 9 luni 2020- consum validat integral</t>
  </si>
  <si>
    <t>ANEXA</t>
  </si>
  <si>
    <t>REPARTIZĂRII LUNARE A CREDITELOR DE ANGAJAMENT APROBATE PENTRU ELIBERARE MEDICAMENTE CU ŞI FĂRĂ CONTRIBUŢIE PERSONALĂ PENTRU ANUL 2020, CA URMARE A VALIDĂRII CONSUMULUI RAPORTAT PENTRU LUNA DECEMBRIE 2020, CU INCADRAREA IN CREDITELE DE ANGAJAMENT APROBATE PENTRU ANUL 2020, CONFORM ADRESEI CNAS NR. P11264/23.12.2020</t>
  </si>
  <si>
    <r>
      <t xml:space="preserve">CREDITE ANGAJAMENT REALIZATE AN 2020 - </t>
    </r>
    <r>
      <rPr>
        <b/>
        <sz val="10"/>
        <rFont val="Times New Roman"/>
        <family val="1"/>
      </rPr>
      <t>ACTIVITATE CURENTA</t>
    </r>
  </si>
  <si>
    <r>
      <t>CREDITE ANGAJAMENT REALIZATE AN 2020</t>
    </r>
    <r>
      <rPr>
        <b/>
        <sz val="10"/>
        <rFont val="Times New Roman"/>
        <family val="1"/>
      </rPr>
      <t xml:space="preserve"> - 40% MS</t>
    </r>
  </si>
  <si>
    <r>
      <t>CREDITE ANGAJAMENT REALIZATE AN 2020</t>
    </r>
    <r>
      <rPr>
        <b/>
        <sz val="10"/>
        <rFont val="Times New Roman"/>
        <family val="1"/>
      </rPr>
      <t>- COST COLUM (FARA PENS90%)</t>
    </r>
  </si>
  <si>
    <r>
      <t xml:space="preserve">CREDITE ANGAJAMENT REALIZATE AN 2020- </t>
    </r>
    <r>
      <rPr>
        <b/>
        <sz val="10"/>
        <rFont val="Times New Roman"/>
        <family val="1"/>
      </rPr>
      <t>COST VOLUM 50% PENS</t>
    </r>
  </si>
  <si>
    <r>
      <t xml:space="preserve">CREDITE ANGAJAMENT REALIZATE AN 2020 - </t>
    </r>
    <r>
      <rPr>
        <b/>
        <sz val="10"/>
        <rFont val="Times New Roman"/>
        <family val="1"/>
      </rPr>
      <t>COST VOLUM 40% PENS</t>
    </r>
  </si>
  <si>
    <r>
      <t>TOTAL CREDITE ANGAJAMENT REALIZATE AN 2020</t>
    </r>
    <r>
      <rPr>
        <b/>
        <sz val="10"/>
        <rFont val="Times New Roman"/>
        <family val="1"/>
      </rPr>
      <t xml:space="preserve"> - COST VOLUM</t>
    </r>
  </si>
  <si>
    <t>TOTAL CONSUM VALIDAT AN 2020</t>
  </si>
  <si>
    <t>TOTAL CONSUM RAPORTAT AN 2020</t>
  </si>
  <si>
    <t>octombrie 2020 - consum validat integral</t>
  </si>
  <si>
    <t>noiembrie 2020 - consum validat integral</t>
  </si>
  <si>
    <t>decembrie 2020 - consum validat integral</t>
  </si>
  <si>
    <t>Total trim. IV 2020 - consum validat integral</t>
  </si>
  <si>
    <t>TOTAL AN 2020 - consum validat integral</t>
  </si>
  <si>
    <t>21=15+16+17+ 18</t>
  </si>
  <si>
    <t>Consum 2020 inregistrat in limita credite angajament AN 2020</t>
  </si>
  <si>
    <t>Depășire la data de 31.12.2020 (consum nevalidat 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</si>
</sst>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vertical="top"/>
    </xf>
    <xf numFmtId="4" fontId="1" fillId="2" borderId="6" xfId="0" applyNumberFormat="1" applyFont="1" applyFill="1" applyBorder="1" applyAlignment="1">
      <alignment horizontal="right" vertical="top"/>
    </xf>
    <xf numFmtId="49" fontId="3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4" fontId="1" fillId="0" borderId="5" xfId="0" applyNumberFormat="1" applyFont="1" applyFill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4" fontId="9" fillId="0" borderId="5" xfId="0" applyNumberFormat="1" applyFont="1" applyBorder="1" applyAlignment="1">
      <alignment vertical="top"/>
    </xf>
    <xf numFmtId="4" fontId="9" fillId="0" borderId="5" xfId="0" applyNumberFormat="1" applyFont="1" applyFill="1" applyBorder="1" applyAlignment="1">
      <alignment vertical="top"/>
    </xf>
    <xf numFmtId="0" fontId="10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top"/>
    </xf>
    <xf numFmtId="0" fontId="2" fillId="0" borderId="6" xfId="0" applyFont="1" applyBorder="1" applyAlignment="1">
      <alignment vertical="top"/>
    </xf>
    <xf numFmtId="4" fontId="1" fillId="0" borderId="6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0" borderId="5" xfId="0" applyNumberFormat="1" applyFont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4" fontId="1" fillId="0" borderId="8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4" fontId="1" fillId="2" borderId="8" xfId="0" applyNumberFormat="1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13.00390625" style="2" customWidth="1"/>
    <col min="2" max="2" width="42.421875" style="2" customWidth="1"/>
    <col min="3" max="3" width="15.00390625" style="2" customWidth="1"/>
    <col min="4" max="4" width="13.8515625" style="2" customWidth="1"/>
    <col min="5" max="5" width="11.140625" style="2" customWidth="1"/>
    <col min="6" max="6" width="13.140625" style="2" customWidth="1"/>
    <col min="7" max="7" width="11.421875" style="2" customWidth="1"/>
    <col min="8" max="8" width="13.8515625" style="2" customWidth="1"/>
    <col min="9" max="9" width="11.28125" style="2" customWidth="1"/>
    <col min="10" max="10" width="13.8515625" style="2" customWidth="1"/>
    <col min="11" max="11" width="10.57421875" style="2" customWidth="1"/>
    <col min="12" max="12" width="13.8515625" style="2" customWidth="1"/>
    <col min="13" max="14" width="12.7109375" style="2" customWidth="1"/>
    <col min="15" max="15" width="12.421875" style="2" customWidth="1"/>
    <col min="16" max="16" width="12.140625" style="2" customWidth="1"/>
    <col min="17" max="17" width="13.28125" style="2" customWidth="1"/>
    <col min="18" max="16384" width="9.140625" style="2" customWidth="1"/>
  </cols>
  <sheetData>
    <row r="1" spans="1:17" ht="12.75">
      <c r="A1" s="1" t="s">
        <v>0</v>
      </c>
      <c r="F1" s="3"/>
      <c r="Q1" s="3" t="s">
        <v>43</v>
      </c>
    </row>
    <row r="2" spans="1:17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4" customFormat="1" ht="33" customHeight="1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13.5" thickBot="1"/>
    <row r="5" spans="1:17" ht="86.25" customHeight="1">
      <c r="A5" s="5" t="s">
        <v>2</v>
      </c>
      <c r="B5" s="6" t="s">
        <v>3</v>
      </c>
      <c r="C5" s="6" t="s">
        <v>13</v>
      </c>
      <c r="D5" s="47" t="s">
        <v>45</v>
      </c>
      <c r="E5" s="6" t="s">
        <v>14</v>
      </c>
      <c r="F5" s="47" t="s">
        <v>46</v>
      </c>
      <c r="G5" s="6" t="s">
        <v>24</v>
      </c>
      <c r="H5" s="47" t="s">
        <v>47</v>
      </c>
      <c r="I5" s="6" t="s">
        <v>25</v>
      </c>
      <c r="J5" s="47" t="s">
        <v>48</v>
      </c>
      <c r="K5" s="6" t="s">
        <v>26</v>
      </c>
      <c r="L5" s="47" t="s">
        <v>49</v>
      </c>
      <c r="M5" s="6" t="s">
        <v>27</v>
      </c>
      <c r="N5" s="47" t="s">
        <v>50</v>
      </c>
      <c r="O5" s="48" t="s">
        <v>51</v>
      </c>
      <c r="P5" s="6" t="s">
        <v>52</v>
      </c>
      <c r="Q5" s="7" t="s">
        <v>28</v>
      </c>
    </row>
    <row r="6" spans="1:17" ht="12.75">
      <c r="A6" s="8">
        <v>0</v>
      </c>
      <c r="B6" s="9">
        <v>1</v>
      </c>
      <c r="C6" s="9">
        <v>2</v>
      </c>
      <c r="D6" s="49">
        <v>3</v>
      </c>
      <c r="E6" s="9">
        <v>4</v>
      </c>
      <c r="F6" s="50">
        <v>5</v>
      </c>
      <c r="G6" s="9">
        <v>6</v>
      </c>
      <c r="H6" s="50">
        <v>7</v>
      </c>
      <c r="I6" s="10">
        <v>8</v>
      </c>
      <c r="J6" s="50">
        <v>9</v>
      </c>
      <c r="K6" s="9">
        <v>10</v>
      </c>
      <c r="L6" s="50">
        <v>11</v>
      </c>
      <c r="M6" s="10" t="s">
        <v>29</v>
      </c>
      <c r="N6" s="50" t="s">
        <v>30</v>
      </c>
      <c r="O6" s="51" t="s">
        <v>31</v>
      </c>
      <c r="P6" s="52">
        <v>15</v>
      </c>
      <c r="Q6" s="41" t="s">
        <v>32</v>
      </c>
    </row>
    <row r="7" spans="1:17" ht="12.75">
      <c r="A7" s="11">
        <v>1</v>
      </c>
      <c r="B7" s="12" t="s">
        <v>15</v>
      </c>
      <c r="C7" s="13">
        <f>ROUND(C11+C15+C20+C25,2)</f>
        <v>86368000</v>
      </c>
      <c r="D7" s="53">
        <f>7297000+7079000+1874000+5620000+7385000+8036000+27851000+11220000+7422000+2266000+318000</f>
        <v>86368000</v>
      </c>
      <c r="E7" s="13">
        <f>ROUND(E11+E15+E20+E25,2)</f>
        <v>2622000</v>
      </c>
      <c r="F7" s="53">
        <f>212000+212000+254000+208000+228000+1098000+445000-35000</f>
        <v>2622000</v>
      </c>
      <c r="G7" s="13">
        <f>ROUND(G11+G15+G20+G25,2)</f>
        <v>917520</v>
      </c>
      <c r="H7" s="53">
        <f>35000+35000+17000+23000+37000+37000+965000-231480</f>
        <v>917520</v>
      </c>
      <c r="I7" s="13">
        <f>ROUND(I11+I15+I20+I25,2)</f>
        <v>39590</v>
      </c>
      <c r="J7" s="53">
        <f>21500+18090</f>
        <v>39590</v>
      </c>
      <c r="K7" s="13">
        <f>ROUND(K11+K15+K20+K25,2)</f>
        <v>37670</v>
      </c>
      <c r="L7" s="53">
        <f>17200+14470+6000</f>
        <v>37670</v>
      </c>
      <c r="M7" s="14">
        <f>ROUND(G7+I7+K7,2)</f>
        <v>994780</v>
      </c>
      <c r="N7" s="53">
        <f>ROUND(H7+J7+L7,2)</f>
        <v>994780</v>
      </c>
      <c r="O7" s="14">
        <f>ROUND(O11+O15+O20+O25,2)</f>
        <v>89005769.65</v>
      </c>
      <c r="P7" s="14">
        <f>ROUND(P11+P15+P20+P25,2)</f>
        <v>89005769.65</v>
      </c>
      <c r="Q7" s="15">
        <f>Q25</f>
        <v>0</v>
      </c>
    </row>
    <row r="8" spans="1:17" ht="12.75">
      <c r="A8" s="17">
        <v>2</v>
      </c>
      <c r="B8" s="18" t="s">
        <v>17</v>
      </c>
      <c r="C8" s="19"/>
      <c r="D8" s="20">
        <f>7297000+173218.39</f>
        <v>7470218.39</v>
      </c>
      <c r="E8" s="20"/>
      <c r="F8" s="21">
        <f>212000+5351.28</f>
        <v>217351.28</v>
      </c>
      <c r="G8" s="20"/>
      <c r="H8" s="21">
        <f>35000+945.73</f>
        <v>35945.73</v>
      </c>
      <c r="I8" s="21"/>
      <c r="J8" s="21">
        <v>0</v>
      </c>
      <c r="K8" s="20"/>
      <c r="L8" s="21">
        <v>0</v>
      </c>
      <c r="M8" s="21"/>
      <c r="N8" s="14">
        <f>ROUND(H8+J8+L8,2)</f>
        <v>35945.73</v>
      </c>
      <c r="O8" s="14">
        <f>ROUND(D8+F8+N8,2)</f>
        <v>7723515.4</v>
      </c>
      <c r="P8" s="21">
        <f>O8</f>
        <v>7723515.4</v>
      </c>
      <c r="Q8" s="22">
        <f>ROUND(P8-O8,2)</f>
        <v>0</v>
      </c>
    </row>
    <row r="9" spans="1:17" ht="12.75">
      <c r="A9" s="17">
        <v>3</v>
      </c>
      <c r="B9" s="18" t="s">
        <v>18</v>
      </c>
      <c r="C9" s="19"/>
      <c r="D9" s="20">
        <f>7079000-173218.39+394191.59</f>
        <v>7299973.2</v>
      </c>
      <c r="E9" s="20"/>
      <c r="F9" s="21">
        <f>212000-5351.28-7896.55</f>
        <v>198752.17</v>
      </c>
      <c r="G9" s="20"/>
      <c r="H9" s="21">
        <f>35000-945.73+1891.49</f>
        <v>35945.759999999995</v>
      </c>
      <c r="I9" s="21"/>
      <c r="J9" s="21">
        <v>0</v>
      </c>
      <c r="K9" s="20"/>
      <c r="L9" s="21">
        <v>0</v>
      </c>
      <c r="M9" s="21"/>
      <c r="N9" s="14">
        <f>ROUND(H9+J9+L9,2)</f>
        <v>35945.76</v>
      </c>
      <c r="O9" s="14">
        <f aca="true" t="shared" si="0" ref="O9:O14">ROUND(D9+F9+N9,2)</f>
        <v>7534671.13</v>
      </c>
      <c r="P9" s="21">
        <f>O9</f>
        <v>7534671.13</v>
      </c>
      <c r="Q9" s="22">
        <f aca="true" t="shared" si="1" ref="Q9:Q14">ROUND(P9-O9,2)</f>
        <v>0</v>
      </c>
    </row>
    <row r="10" spans="1:17" ht="12.75">
      <c r="A10" s="8">
        <v>4</v>
      </c>
      <c r="B10" s="18" t="s">
        <v>20</v>
      </c>
      <c r="C10" s="19"/>
      <c r="D10" s="20">
        <f>1874000+5620000-394191.59+503259.22</f>
        <v>7603067.63</v>
      </c>
      <c r="E10" s="20"/>
      <c r="F10" s="21">
        <f>254000+7896.55-22867.42</f>
        <v>239029.13</v>
      </c>
      <c r="G10" s="20"/>
      <c r="H10" s="31">
        <f>17000-1891.49+23000-1835.98</f>
        <v>36272.53</v>
      </c>
      <c r="I10" s="31"/>
      <c r="J10" s="31">
        <v>0</v>
      </c>
      <c r="K10" s="20"/>
      <c r="L10" s="31">
        <v>0</v>
      </c>
      <c r="M10" s="31"/>
      <c r="N10" s="14">
        <f>ROUND(H10+J10+L10,2)</f>
        <v>36272.53</v>
      </c>
      <c r="O10" s="14">
        <f t="shared" si="0"/>
        <v>7878369.29</v>
      </c>
      <c r="P10" s="21">
        <f>O10</f>
        <v>7878369.29</v>
      </c>
      <c r="Q10" s="22">
        <f t="shared" si="1"/>
        <v>0</v>
      </c>
    </row>
    <row r="11" spans="1:17" s="1" customFormat="1" ht="12.75">
      <c r="A11" s="23" t="s">
        <v>4</v>
      </c>
      <c r="B11" s="44" t="s">
        <v>33</v>
      </c>
      <c r="C11" s="14">
        <f>21870000+505000</f>
        <v>22375000</v>
      </c>
      <c r="D11" s="13">
        <f>SUM(D8:D10)</f>
        <v>22373259.22</v>
      </c>
      <c r="E11" s="13">
        <v>678000</v>
      </c>
      <c r="F11" s="13">
        <f>SUM(F8:F10)</f>
        <v>655132.5800000001</v>
      </c>
      <c r="G11" s="13">
        <v>110000</v>
      </c>
      <c r="H11" s="13">
        <f>SUM(H8:H10)</f>
        <v>108164.01999999999</v>
      </c>
      <c r="I11" s="13">
        <v>0</v>
      </c>
      <c r="J11" s="13">
        <f>SUM(J8:J10)</f>
        <v>0</v>
      </c>
      <c r="K11" s="13">
        <v>0</v>
      </c>
      <c r="L11" s="13">
        <f>SUM(L8:L10)</f>
        <v>0</v>
      </c>
      <c r="M11" s="14">
        <f>ROUND(G11+I11+K11,2)</f>
        <v>110000</v>
      </c>
      <c r="N11" s="13">
        <f>SUM(N8:N10)</f>
        <v>108164.02</v>
      </c>
      <c r="O11" s="13">
        <f>SUM(O8:O10)</f>
        <v>23136555.82</v>
      </c>
      <c r="P11" s="13">
        <f>SUM(P8:P10)</f>
        <v>23136555.82</v>
      </c>
      <c r="Q11" s="25">
        <f>SUM(Q8:Q10)</f>
        <v>0</v>
      </c>
    </row>
    <row r="12" spans="1:17" ht="12.75">
      <c r="A12" s="17">
        <v>6</v>
      </c>
      <c r="B12" s="26" t="s">
        <v>21</v>
      </c>
      <c r="C12" s="19"/>
      <c r="D12" s="20">
        <f>7385000-505000+1740.78-124410.3</f>
        <v>6757330.48</v>
      </c>
      <c r="E12" s="20"/>
      <c r="F12" s="21">
        <f>208000+22867.42-23887.06</f>
        <v>206980.36</v>
      </c>
      <c r="G12" s="20"/>
      <c r="H12" s="21">
        <f>37000+1835.98+704.32</f>
        <v>39540.3</v>
      </c>
      <c r="I12" s="21"/>
      <c r="J12" s="21">
        <v>0</v>
      </c>
      <c r="K12" s="20"/>
      <c r="L12" s="21">
        <v>0</v>
      </c>
      <c r="M12" s="21"/>
      <c r="N12" s="14">
        <f>ROUND(H12+J12+L12,2)</f>
        <v>39540.3</v>
      </c>
      <c r="O12" s="14">
        <f t="shared" si="0"/>
        <v>7003851.14</v>
      </c>
      <c r="P12" s="21">
        <f>O12</f>
        <v>7003851.14</v>
      </c>
      <c r="Q12" s="22">
        <f t="shared" si="1"/>
        <v>0</v>
      </c>
    </row>
    <row r="13" spans="1:17" ht="12.75">
      <c r="A13" s="17">
        <v>7</v>
      </c>
      <c r="B13" s="18" t="s">
        <v>22</v>
      </c>
      <c r="C13" s="19"/>
      <c r="D13" s="20">
        <f>8036000+124410.3-1678220.24</f>
        <v>6482190.06</v>
      </c>
      <c r="E13" s="20"/>
      <c r="F13" s="21">
        <f>228000+23887.06-49302.38</f>
        <v>202584.68</v>
      </c>
      <c r="G13" s="20"/>
      <c r="H13" s="21">
        <f>37000-704.32-1003.53</f>
        <v>35292.15</v>
      </c>
      <c r="I13" s="21"/>
      <c r="J13" s="21">
        <v>0</v>
      </c>
      <c r="K13" s="20"/>
      <c r="L13" s="21">
        <v>0</v>
      </c>
      <c r="M13" s="21"/>
      <c r="N13" s="14">
        <f>ROUND(H13+J13+L13,2)</f>
        <v>35292.15</v>
      </c>
      <c r="O13" s="14">
        <f t="shared" si="0"/>
        <v>6720066.89</v>
      </c>
      <c r="P13" s="21">
        <f>O13</f>
        <v>6720066.89</v>
      </c>
      <c r="Q13" s="22">
        <f t="shared" si="1"/>
        <v>0</v>
      </c>
    </row>
    <row r="14" spans="1:17" s="4" customFormat="1" ht="25.5">
      <c r="A14" s="17">
        <v>8</v>
      </c>
      <c r="B14" s="27" t="s">
        <v>34</v>
      </c>
      <c r="C14" s="28"/>
      <c r="D14" s="20">
        <f>7100000+1678220.24-2328392.43</f>
        <v>6449827.8100000005</v>
      </c>
      <c r="E14" s="20"/>
      <c r="F14" s="31">
        <f>157540+49302.38</f>
        <v>206842.38</v>
      </c>
      <c r="G14" s="20"/>
      <c r="H14" s="31">
        <f>140000+1003.53-95742.69-293.81</f>
        <v>44967.03</v>
      </c>
      <c r="I14" s="31"/>
      <c r="J14" s="31">
        <v>0</v>
      </c>
      <c r="K14" s="20"/>
      <c r="L14" s="31">
        <v>0</v>
      </c>
      <c r="M14" s="31"/>
      <c r="N14" s="14">
        <f>ROUND(H14+J14+L14,2)</f>
        <v>44967.03</v>
      </c>
      <c r="O14" s="14">
        <f t="shared" si="0"/>
        <v>6701637.22</v>
      </c>
      <c r="P14" s="21">
        <f>O14+67.44+293.81</f>
        <v>6701998.47</v>
      </c>
      <c r="Q14" s="22">
        <f t="shared" si="1"/>
        <v>361.25</v>
      </c>
    </row>
    <row r="15" spans="1:17" ht="25.5">
      <c r="A15" s="29" t="s">
        <v>5</v>
      </c>
      <c r="B15" s="30" t="s">
        <v>35</v>
      </c>
      <c r="C15" s="14">
        <f>7385000-505000+8036000+7100000</f>
        <v>22016000</v>
      </c>
      <c r="D15" s="13">
        <f>SUM(D12:D14)</f>
        <v>19689348.35</v>
      </c>
      <c r="E15" s="13">
        <f>208000+228000+157540</f>
        <v>593540</v>
      </c>
      <c r="F15" s="13">
        <f>SUM(F12:F14)</f>
        <v>616407.4199999999</v>
      </c>
      <c r="G15" s="13">
        <f>37000+37000+140000</f>
        <v>214000</v>
      </c>
      <c r="H15" s="13">
        <f>SUM(H12:H14)</f>
        <v>119799.48000000001</v>
      </c>
      <c r="I15" s="13">
        <v>0</v>
      </c>
      <c r="J15" s="13">
        <f>SUM(J12:J14)</f>
        <v>0</v>
      </c>
      <c r="K15" s="13">
        <v>0</v>
      </c>
      <c r="L15" s="13">
        <f>SUM(L12:L14)</f>
        <v>0</v>
      </c>
      <c r="M15" s="14">
        <f>ROUND(G15+I15+K15,2)</f>
        <v>214000</v>
      </c>
      <c r="N15" s="13">
        <f>SUM(N12:N14)</f>
        <v>119799.48000000001</v>
      </c>
      <c r="O15" s="13">
        <f>SUM(O12:O14)</f>
        <v>20425555.25</v>
      </c>
      <c r="P15" s="13">
        <f>SUM(P12:P14)</f>
        <v>20425916.5</v>
      </c>
      <c r="Q15" s="25">
        <f>SUM(Q12:Q14)</f>
        <v>361.25</v>
      </c>
    </row>
    <row r="16" spans="1:17" s="1" customFormat="1" ht="25.5">
      <c r="A16" s="23" t="s">
        <v>6</v>
      </c>
      <c r="B16" s="30" t="s">
        <v>36</v>
      </c>
      <c r="C16" s="14">
        <f aca="true" t="shared" si="2" ref="C16:Q16">C11+C15</f>
        <v>44391000</v>
      </c>
      <c r="D16" s="13">
        <f t="shared" si="2"/>
        <v>42062607.57</v>
      </c>
      <c r="E16" s="14">
        <f t="shared" si="2"/>
        <v>1271540</v>
      </c>
      <c r="F16" s="13">
        <f t="shared" si="2"/>
        <v>1271540</v>
      </c>
      <c r="G16" s="14">
        <f t="shared" si="2"/>
        <v>324000</v>
      </c>
      <c r="H16" s="13">
        <f t="shared" si="2"/>
        <v>227963.5</v>
      </c>
      <c r="I16" s="14">
        <f t="shared" si="2"/>
        <v>0</v>
      </c>
      <c r="J16" s="13">
        <f t="shared" si="2"/>
        <v>0</v>
      </c>
      <c r="K16" s="14">
        <f t="shared" si="2"/>
        <v>0</v>
      </c>
      <c r="L16" s="13">
        <f t="shared" si="2"/>
        <v>0</v>
      </c>
      <c r="M16" s="13">
        <f t="shared" si="2"/>
        <v>324000</v>
      </c>
      <c r="N16" s="13">
        <f t="shared" si="2"/>
        <v>227963.5</v>
      </c>
      <c r="O16" s="13">
        <f>ROUND(O11+O15,2)</f>
        <v>43562111.07</v>
      </c>
      <c r="P16" s="13">
        <f t="shared" si="2"/>
        <v>43562472.32</v>
      </c>
      <c r="Q16" s="25">
        <f t="shared" si="2"/>
        <v>361.25</v>
      </c>
    </row>
    <row r="17" spans="1:18" ht="25.5">
      <c r="A17" s="17">
        <v>11</v>
      </c>
      <c r="B17" s="27" t="s">
        <v>37</v>
      </c>
      <c r="C17" s="19"/>
      <c r="D17" s="20">
        <f>6000000+2328392.43-1189659.35</f>
        <v>7138733.08</v>
      </c>
      <c r="E17" s="20"/>
      <c r="F17" s="21">
        <f>220000+408.58+67.44</f>
        <v>220476.02</v>
      </c>
      <c r="G17" s="20"/>
      <c r="H17" s="21">
        <f>140000+(95742.69+293.81)-172283-1474.05</f>
        <v>62279.45</v>
      </c>
      <c r="I17" s="21"/>
      <c r="J17" s="21">
        <v>0</v>
      </c>
      <c r="K17" s="20"/>
      <c r="L17" s="21">
        <v>0</v>
      </c>
      <c r="M17" s="21"/>
      <c r="N17" s="14">
        <f>ROUND(H17+J17+L17,2)</f>
        <v>62279.45</v>
      </c>
      <c r="O17" s="14">
        <f>ROUND(D17+F17+N17,2)</f>
        <v>7421488.55</v>
      </c>
      <c r="P17" s="21">
        <v>7423780.57</v>
      </c>
      <c r="Q17" s="22">
        <f>ROUND(P17-O17,2)</f>
        <v>2292.02</v>
      </c>
      <c r="R17" s="16"/>
    </row>
    <row r="18" spans="1:17" ht="25.5">
      <c r="A18" s="17">
        <v>12</v>
      </c>
      <c r="B18" s="27" t="s">
        <v>39</v>
      </c>
      <c r="C18" s="19"/>
      <c r="D18" s="20">
        <f>7200000+1189659.35-1421099.29</f>
        <v>6968560.06</v>
      </c>
      <c r="E18" s="21"/>
      <c r="F18" s="21">
        <f>220000-476.02-20210.75</f>
        <v>199313.23</v>
      </c>
      <c r="G18" s="21"/>
      <c r="H18" s="21">
        <f>140000+172283+1474.05-229414.25</f>
        <v>84342.79999999999</v>
      </c>
      <c r="I18" s="21"/>
      <c r="J18" s="21">
        <f>6125-1882.58</f>
        <v>4242.42</v>
      </c>
      <c r="K18" s="21"/>
      <c r="L18" s="21">
        <f>4900-1506.11</f>
        <v>3393.8900000000003</v>
      </c>
      <c r="M18" s="21"/>
      <c r="N18" s="14">
        <f>ROUND(H18+J18+L18,2)</f>
        <v>91979.11</v>
      </c>
      <c r="O18" s="14">
        <f>ROUND(D18+F18+N18,2)</f>
        <v>7259852.4</v>
      </c>
      <c r="P18" s="21">
        <v>7257199.13</v>
      </c>
      <c r="Q18" s="22">
        <f>ROUND(P18-O18,2)</f>
        <v>-2653.27</v>
      </c>
    </row>
    <row r="19" spans="1:17" ht="12.75">
      <c r="A19" s="17">
        <v>13</v>
      </c>
      <c r="B19" s="57" t="s">
        <v>40</v>
      </c>
      <c r="C19" s="21"/>
      <c r="D19" s="20">
        <f>1365300+4900000+1421099.29-415045.39</f>
        <v>7271353.9</v>
      </c>
      <c r="E19" s="31"/>
      <c r="F19" s="21">
        <f>197120+20210.75-7271.27</f>
        <v>210059.48</v>
      </c>
      <c r="G19" s="31"/>
      <c r="H19" s="21">
        <f>140000+229414.25-276479.72</f>
        <v>92934.53000000003</v>
      </c>
      <c r="I19" s="21"/>
      <c r="J19" s="21">
        <f>4625+1882.58+10750-11910.23</f>
        <v>5347.350000000002</v>
      </c>
      <c r="K19" s="31"/>
      <c r="L19" s="21">
        <f>3700+1506.11+8600-9528.32</f>
        <v>4277.790000000001</v>
      </c>
      <c r="M19" s="21"/>
      <c r="N19" s="14">
        <f>ROUND(H19+J19+L19,2)</f>
        <v>102559.67</v>
      </c>
      <c r="O19" s="14">
        <f>ROUND(D19+F19+N19,2)</f>
        <v>7583973.05</v>
      </c>
      <c r="P19" s="21">
        <v>7583973.05</v>
      </c>
      <c r="Q19" s="22">
        <f>ROUND(P19-O19,2)</f>
        <v>0</v>
      </c>
    </row>
    <row r="20" spans="1:17" s="1" customFormat="1" ht="12.75">
      <c r="A20" s="23" t="s">
        <v>7</v>
      </c>
      <c r="B20" s="30" t="s">
        <v>41</v>
      </c>
      <c r="C20" s="14">
        <f>14565300+4900000</f>
        <v>19465300</v>
      </c>
      <c r="D20" s="13">
        <f>ROUND(D17+D18+D19,2)</f>
        <v>21378647.04</v>
      </c>
      <c r="E20" s="14">
        <v>637120</v>
      </c>
      <c r="F20" s="13">
        <f>ROUND(F17+F18+F19,2)</f>
        <v>629848.73</v>
      </c>
      <c r="G20" s="14">
        <v>420000</v>
      </c>
      <c r="H20" s="13">
        <f>ROUND(H17+H18+H19,2)</f>
        <v>239556.78</v>
      </c>
      <c r="I20" s="13">
        <v>21500</v>
      </c>
      <c r="J20" s="13">
        <f>ROUND(J17+J18+J19,2)</f>
        <v>9589.77</v>
      </c>
      <c r="K20" s="14">
        <v>17200</v>
      </c>
      <c r="L20" s="13">
        <f>ROUND(L17+L18+L19,2)</f>
        <v>7671.68</v>
      </c>
      <c r="M20" s="14">
        <f>ROUND(G20+I20+K20,2)</f>
        <v>458700</v>
      </c>
      <c r="N20" s="13">
        <f>ROUND(N17+N18+N19,2)</f>
        <v>256818.23</v>
      </c>
      <c r="O20" s="13">
        <f>ROUND(O17+O18+O19,2)</f>
        <v>22265314</v>
      </c>
      <c r="P20" s="13">
        <f>ROUND(P17+P18+P19,2)</f>
        <v>22264952.75</v>
      </c>
      <c r="Q20" s="25">
        <f>ROUND(Q16+Q17+Q18+Q19,2)</f>
        <v>0</v>
      </c>
    </row>
    <row r="21" spans="1:17" s="1" customFormat="1" ht="12.75">
      <c r="A21" s="23" t="s">
        <v>8</v>
      </c>
      <c r="B21" s="30" t="s">
        <v>42</v>
      </c>
      <c r="C21" s="14">
        <f>C16+C20</f>
        <v>63856300</v>
      </c>
      <c r="D21" s="13">
        <f>ROUND(D16+D20,2)</f>
        <v>63441254.61</v>
      </c>
      <c r="E21" s="14">
        <f>E16+E20</f>
        <v>1908660</v>
      </c>
      <c r="F21" s="13">
        <f>ROUND(F16+F20,2)</f>
        <v>1901388.73</v>
      </c>
      <c r="G21" s="14">
        <f>G16+G20</f>
        <v>744000</v>
      </c>
      <c r="H21" s="13">
        <f>ROUND(H16+H20,2)</f>
        <v>467520.28</v>
      </c>
      <c r="I21" s="14">
        <f>I16+I20</f>
        <v>21500</v>
      </c>
      <c r="J21" s="13">
        <f>ROUND(J16+J20,2)</f>
        <v>9589.77</v>
      </c>
      <c r="K21" s="14">
        <f>K16+K20</f>
        <v>17200</v>
      </c>
      <c r="L21" s="13">
        <f>ROUND(L16+L20,2)</f>
        <v>7671.68</v>
      </c>
      <c r="M21" s="13">
        <f>ROUND(M16+M20,2)</f>
        <v>782700</v>
      </c>
      <c r="N21" s="13">
        <f>ROUND(N16+N20,2)</f>
        <v>484781.73</v>
      </c>
      <c r="O21" s="13">
        <f>ROUND(O16+O20,2)</f>
        <v>65827425.07</v>
      </c>
      <c r="P21" s="13">
        <f>ROUND(P16+P20,2)</f>
        <v>65827425.07</v>
      </c>
      <c r="Q21" s="25">
        <f>Q20</f>
        <v>0</v>
      </c>
    </row>
    <row r="22" spans="1:17" ht="12.75">
      <c r="A22" s="17">
        <v>16</v>
      </c>
      <c r="B22" s="60" t="s">
        <v>53</v>
      </c>
      <c r="C22" s="21"/>
      <c r="D22" s="31">
        <f>6185700+1200000+415045.39-132231.01</f>
        <v>7668514.38</v>
      </c>
      <c r="E22" s="21"/>
      <c r="F22" s="21">
        <f>220000+7271.27-8734.46</f>
        <v>218536.81</v>
      </c>
      <c r="G22" s="21"/>
      <c r="H22" s="31">
        <f>140000+276479.72-231480-65706.14</f>
        <v>119293.57999999997</v>
      </c>
      <c r="I22" s="31"/>
      <c r="J22" s="31">
        <f>11910.23-5377.65</f>
        <v>6532.58</v>
      </c>
      <c r="K22" s="31"/>
      <c r="L22" s="31">
        <f>9528.32-4302.23</f>
        <v>5226.09</v>
      </c>
      <c r="M22" s="45"/>
      <c r="N22" s="14">
        <f>ROUND(H22+J22+L22,2)</f>
        <v>131052.25</v>
      </c>
      <c r="O22" s="14">
        <f>ROUND(D22+F22+N22,2)</f>
        <v>8018103.44</v>
      </c>
      <c r="P22" s="21">
        <v>8018103.44</v>
      </c>
      <c r="Q22" s="22">
        <f>ROUND(P22-O22,2)</f>
        <v>0</v>
      </c>
    </row>
    <row r="23" spans="1:18" ht="12.75">
      <c r="A23" s="17">
        <v>17</v>
      </c>
      <c r="B23" s="57" t="s">
        <v>54</v>
      </c>
      <c r="C23" s="21"/>
      <c r="D23" s="31">
        <f>5120000+2266000-127957.29</f>
        <v>7258042.71</v>
      </c>
      <c r="E23" s="31"/>
      <c r="F23" s="31">
        <f>83340+200000-35000-34849.59</f>
        <v>213490.41</v>
      </c>
      <c r="G23" s="31"/>
      <c r="H23" s="31">
        <f>140000-9919.55</f>
        <v>130080.45</v>
      </c>
      <c r="I23" s="31"/>
      <c r="J23" s="31">
        <f>9045-798.66</f>
        <v>8246.34</v>
      </c>
      <c r="K23" s="31"/>
      <c r="L23" s="31">
        <f>7235-638.05</f>
        <v>6596.95</v>
      </c>
      <c r="M23" s="45"/>
      <c r="N23" s="14">
        <f>ROUND(H23+J23+L23,2)</f>
        <v>144923.74</v>
      </c>
      <c r="O23" s="14">
        <f>ROUND(D23+F23+N23,2)</f>
        <v>7616456.86</v>
      </c>
      <c r="P23" s="21">
        <v>7616456.86</v>
      </c>
      <c r="Q23" s="22">
        <f>ROUND(P23-O23,2)</f>
        <v>0</v>
      </c>
      <c r="R23" s="16"/>
    </row>
    <row r="24" spans="1:17" ht="12.75">
      <c r="A24" s="17">
        <v>18</v>
      </c>
      <c r="B24" s="57" t="s">
        <v>55</v>
      </c>
      <c r="C24" s="21"/>
      <c r="D24" s="31">
        <v>7164742.34</v>
      </c>
      <c r="E24" s="21"/>
      <c r="F24" s="31">
        <v>204816.81</v>
      </c>
      <c r="G24" s="21"/>
      <c r="H24" s="31">
        <v>156620.73</v>
      </c>
      <c r="I24" s="46"/>
      <c r="J24" s="31">
        <v>9780.28</v>
      </c>
      <c r="K24" s="31"/>
      <c r="L24" s="31">
        <v>7824.12</v>
      </c>
      <c r="M24" s="45"/>
      <c r="N24" s="14">
        <f>ROUND(H24+J24+L24,2)</f>
        <v>174225.13</v>
      </c>
      <c r="O24" s="14">
        <f>ROUND(D24+F24+N24,2)</f>
        <v>7543784.28</v>
      </c>
      <c r="P24" s="21">
        <v>7543784.28</v>
      </c>
      <c r="Q24" s="22">
        <f>ROUND(P24-O24,2)</f>
        <v>0</v>
      </c>
    </row>
    <row r="25" spans="1:17" ht="12.75">
      <c r="A25" s="23" t="s">
        <v>9</v>
      </c>
      <c r="B25" s="24" t="s">
        <v>56</v>
      </c>
      <c r="C25" s="14">
        <f>6185700+6320000+7422000+2266000+318000</f>
        <v>22511700</v>
      </c>
      <c r="D25" s="14">
        <f>D22+D23+D24</f>
        <v>22091299.43</v>
      </c>
      <c r="E25" s="14">
        <f>303340+445000-35000</f>
        <v>713340</v>
      </c>
      <c r="F25" s="14">
        <f>F22+F23+F24</f>
        <v>636844.03</v>
      </c>
      <c r="G25" s="14">
        <f>405000-231480</f>
        <v>173520</v>
      </c>
      <c r="H25" s="14">
        <f>H22+H23+H24</f>
        <v>405994.76</v>
      </c>
      <c r="I25" s="14">
        <v>18090</v>
      </c>
      <c r="J25" s="14">
        <f>J22+J23+J24</f>
        <v>24559.2</v>
      </c>
      <c r="K25" s="14">
        <f>14470+6000</f>
        <v>20470</v>
      </c>
      <c r="L25" s="14">
        <f>L22+L23+L24</f>
        <v>19647.16</v>
      </c>
      <c r="M25" s="14">
        <f>ROUND(G25+I25+K25,2)</f>
        <v>212080</v>
      </c>
      <c r="N25" s="14">
        <f>N22+N23+N24</f>
        <v>450201.12</v>
      </c>
      <c r="O25" s="14">
        <f>ROUND(O22+O23+O24,2)</f>
        <v>23178344.58</v>
      </c>
      <c r="P25" s="14">
        <f>P22+P23+P24</f>
        <v>23178344.580000002</v>
      </c>
      <c r="Q25" s="15">
        <f>Q22+Q23+Q24</f>
        <v>0</v>
      </c>
    </row>
    <row r="26" spans="1:17" ht="25.5">
      <c r="A26" s="23" t="s">
        <v>10</v>
      </c>
      <c r="B26" s="24" t="s">
        <v>57</v>
      </c>
      <c r="C26" s="14">
        <f aca="true" t="shared" si="3" ref="C26:P26">ROUND(C11+C15+C20+C25,2)</f>
        <v>86368000</v>
      </c>
      <c r="D26" s="14">
        <f t="shared" si="3"/>
        <v>85532554.04</v>
      </c>
      <c r="E26" s="14">
        <f t="shared" si="3"/>
        <v>2622000</v>
      </c>
      <c r="F26" s="14">
        <f t="shared" si="3"/>
        <v>2538232.76</v>
      </c>
      <c r="G26" s="14">
        <f t="shared" si="3"/>
        <v>917520</v>
      </c>
      <c r="H26" s="14">
        <f t="shared" si="3"/>
        <v>873515.04</v>
      </c>
      <c r="I26" s="14">
        <f t="shared" si="3"/>
        <v>39590</v>
      </c>
      <c r="J26" s="14">
        <f t="shared" si="3"/>
        <v>34148.97</v>
      </c>
      <c r="K26" s="14">
        <f t="shared" si="3"/>
        <v>37670</v>
      </c>
      <c r="L26" s="14">
        <f t="shared" si="3"/>
        <v>27318.84</v>
      </c>
      <c r="M26" s="14">
        <f t="shared" si="3"/>
        <v>994780</v>
      </c>
      <c r="N26" s="14">
        <f t="shared" si="3"/>
        <v>934982.85</v>
      </c>
      <c r="O26" s="14">
        <f t="shared" si="3"/>
        <v>89005769.65</v>
      </c>
      <c r="P26" s="14">
        <f t="shared" si="3"/>
        <v>89005769.65</v>
      </c>
      <c r="Q26" s="15">
        <f>Q25</f>
        <v>0</v>
      </c>
    </row>
    <row r="27" spans="1:17" ht="25.5">
      <c r="A27" s="32" t="s">
        <v>58</v>
      </c>
      <c r="B27" s="33" t="s">
        <v>59</v>
      </c>
      <c r="C27" s="33"/>
      <c r="D27" s="40">
        <f>ROUND(D8+D9+D10+D12+D13+D14+D17+D18+D19+D22+D23+D24,2)</f>
        <v>85532554.04</v>
      </c>
      <c r="E27" s="40"/>
      <c r="F27" s="40">
        <f>ROUND(F8+F9+F10+F12+F13+F14+F17+F18+F19+F22+F23+F24,2)</f>
        <v>2538232.76</v>
      </c>
      <c r="G27" s="31"/>
      <c r="H27" s="40">
        <f>ROUND(H8+H9+H10+H12+H13+H14+H17+H18+H19+H22+H23+H24,2)</f>
        <v>873515.04</v>
      </c>
      <c r="I27" s="40"/>
      <c r="J27" s="40">
        <f>ROUND(J8+J9+J10+J12+J13+J14+J17+J18+J19+J22+J23+J24,2)</f>
        <v>34148.97</v>
      </c>
      <c r="K27" s="31"/>
      <c r="L27" s="40">
        <f>ROUND(L8+L9+L10+L12+L13+L14+L17+L18+L19+L22+L23+L24,2)</f>
        <v>27318.84</v>
      </c>
      <c r="M27" s="40"/>
      <c r="N27" s="14">
        <f aca="true" t="shared" si="4" ref="N27:N32">ROUND(H27+J27+L27,2)</f>
        <v>934982.85</v>
      </c>
      <c r="O27" s="14">
        <f aca="true" t="shared" si="5" ref="O27:O32">ROUND(D27+F27+N27,2)</f>
        <v>89005769.65</v>
      </c>
      <c r="P27" s="40">
        <f>ROUND(P8+P9+P10+P12+P13+P14+P17+P18+P19+P22+P23+P24,2)</f>
        <v>89005769.65</v>
      </c>
      <c r="Q27" s="55">
        <f>ROUND(P27-O27,2)</f>
        <v>0</v>
      </c>
    </row>
    <row r="28" spans="1:17" ht="12.75">
      <c r="A28" s="17" t="s">
        <v>11</v>
      </c>
      <c r="B28" s="34" t="s">
        <v>23</v>
      </c>
      <c r="C28" s="34"/>
      <c r="D28" s="40">
        <f>ROUND(D7-D27,2)</f>
        <v>835445.96</v>
      </c>
      <c r="E28" s="40"/>
      <c r="F28" s="40">
        <f>ROUND(F7-F27,2)</f>
        <v>83767.24</v>
      </c>
      <c r="G28" s="31"/>
      <c r="H28" s="40">
        <f>ROUND(H7-H27,2)</f>
        <v>44004.96</v>
      </c>
      <c r="I28" s="40"/>
      <c r="J28" s="40">
        <f>ROUND(J7-J27,2)</f>
        <v>5441.03</v>
      </c>
      <c r="K28" s="31"/>
      <c r="L28" s="40">
        <f>ROUND(L7-L27,2)</f>
        <v>10351.16</v>
      </c>
      <c r="M28" s="40"/>
      <c r="N28" s="14">
        <f t="shared" si="4"/>
        <v>59797.15</v>
      </c>
      <c r="O28" s="14">
        <f t="shared" si="5"/>
        <v>979010.35</v>
      </c>
      <c r="P28" s="40"/>
      <c r="Q28" s="54"/>
    </row>
    <row r="29" spans="1:17" ht="12.75">
      <c r="A29" s="17">
        <v>23</v>
      </c>
      <c r="B29" s="33" t="s">
        <v>38</v>
      </c>
      <c r="C29" s="33"/>
      <c r="D29" s="31">
        <v>0</v>
      </c>
      <c r="E29" s="31"/>
      <c r="F29" s="31">
        <v>0</v>
      </c>
      <c r="G29" s="31"/>
      <c r="H29" s="31">
        <v>0</v>
      </c>
      <c r="I29" s="31"/>
      <c r="J29" s="31">
        <v>0</v>
      </c>
      <c r="K29" s="31"/>
      <c r="L29" s="31">
        <v>0</v>
      </c>
      <c r="M29" s="31"/>
      <c r="N29" s="61">
        <f t="shared" si="4"/>
        <v>0</v>
      </c>
      <c r="O29" s="61">
        <f t="shared" si="5"/>
        <v>0</v>
      </c>
      <c r="P29" s="31"/>
      <c r="Q29" s="54"/>
    </row>
    <row r="30" spans="1:17" ht="12.75">
      <c r="A30" s="17">
        <v>24</v>
      </c>
      <c r="B30" s="33" t="s">
        <v>60</v>
      </c>
      <c r="C30" s="33"/>
      <c r="D30" s="31">
        <v>0</v>
      </c>
      <c r="E30" s="31"/>
      <c r="F30" s="31">
        <v>0</v>
      </c>
      <c r="G30" s="31"/>
      <c r="H30" s="31">
        <v>0</v>
      </c>
      <c r="I30" s="31"/>
      <c r="J30" s="31">
        <v>0</v>
      </c>
      <c r="K30" s="31"/>
      <c r="L30" s="31">
        <v>0</v>
      </c>
      <c r="M30" s="31"/>
      <c r="N30" s="61">
        <f t="shared" si="4"/>
        <v>0</v>
      </c>
      <c r="O30" s="61">
        <f t="shared" si="5"/>
        <v>0</v>
      </c>
      <c r="P30" s="31"/>
      <c r="Q30" s="54"/>
    </row>
    <row r="31" spans="1:17" ht="12.75">
      <c r="A31" s="17">
        <v>25</v>
      </c>
      <c r="B31" s="33" t="s">
        <v>19</v>
      </c>
      <c r="C31" s="33"/>
      <c r="D31" s="56">
        <v>6911815.75</v>
      </c>
      <c r="E31" s="56"/>
      <c r="F31" s="56">
        <v>200948.04</v>
      </c>
      <c r="G31" s="21"/>
      <c r="H31" s="56">
        <v>32329.66</v>
      </c>
      <c r="I31" s="21"/>
      <c r="J31" s="56">
        <v>0</v>
      </c>
      <c r="K31" s="21"/>
      <c r="L31" s="56">
        <v>0</v>
      </c>
      <c r="M31" s="21"/>
      <c r="N31" s="14">
        <f t="shared" si="4"/>
        <v>32329.66</v>
      </c>
      <c r="O31" s="14">
        <f t="shared" si="5"/>
        <v>7145093.45</v>
      </c>
      <c r="P31" s="40"/>
      <c r="Q31" s="54"/>
    </row>
    <row r="32" spans="1:17" ht="26.25" thickBot="1">
      <c r="A32" s="62" t="s">
        <v>12</v>
      </c>
      <c r="B32" s="63" t="s">
        <v>16</v>
      </c>
      <c r="C32" s="63"/>
      <c r="D32" s="64">
        <f>ROUND((D27+D30)/12,2)</f>
        <v>7127712.84</v>
      </c>
      <c r="E32" s="64"/>
      <c r="F32" s="64">
        <f>ROUND((F27+F30)/12,2)</f>
        <v>211519.4</v>
      </c>
      <c r="G32" s="65"/>
      <c r="H32" s="64">
        <f>ROUND((H27+H30)/12,2)</f>
        <v>72792.92</v>
      </c>
      <c r="I32" s="65"/>
      <c r="J32" s="64">
        <f>ROUND((J27+J30)/7,2)</f>
        <v>4878.42</v>
      </c>
      <c r="K32" s="65"/>
      <c r="L32" s="64">
        <f>ROUND((L27+L30)/7,2)</f>
        <v>3902.69</v>
      </c>
      <c r="M32" s="65"/>
      <c r="N32" s="66">
        <f t="shared" si="4"/>
        <v>81574.03</v>
      </c>
      <c r="O32" s="66">
        <f t="shared" si="5"/>
        <v>7420806.27</v>
      </c>
      <c r="P32" s="64"/>
      <c r="Q32" s="67"/>
    </row>
    <row r="33" spans="1:14" ht="12.7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2:14" ht="14.25" customHeight="1">
      <c r="B34" s="36"/>
      <c r="C34" s="37"/>
      <c r="E34" s="35"/>
      <c r="F34" s="38"/>
      <c r="G34" s="35"/>
      <c r="H34" s="38"/>
      <c r="I34" s="38"/>
      <c r="J34" s="38"/>
      <c r="K34" s="35"/>
      <c r="L34" s="38"/>
      <c r="M34" s="38"/>
      <c r="N34" s="38"/>
    </row>
    <row r="35" spans="3:13" ht="15.75">
      <c r="C35" s="68"/>
      <c r="E35" s="35"/>
      <c r="F35" s="38"/>
      <c r="G35" s="35"/>
      <c r="M35" s="35"/>
    </row>
    <row r="36" spans="3:13" ht="15.75">
      <c r="C36" s="69"/>
      <c r="E36" s="35"/>
      <c r="F36" s="70"/>
      <c r="G36" s="35"/>
      <c r="M36" s="35"/>
    </row>
    <row r="37" ht="14.25">
      <c r="C37" s="39"/>
    </row>
    <row r="38" ht="14.25">
      <c r="C38" s="39"/>
    </row>
    <row r="39" ht="14.25">
      <c r="C39" s="39"/>
    </row>
    <row r="40" ht="14.25">
      <c r="C40" s="39"/>
    </row>
    <row r="41" ht="14.25">
      <c r="C41" s="39"/>
    </row>
  </sheetData>
  <mergeCells count="2">
    <mergeCell ref="A2:Q2"/>
    <mergeCell ref="A3:Q3"/>
  </mergeCells>
  <printOptions/>
  <pageMargins left="0.17" right="0.17" top="0.5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2021-01-25T07:56:13Z</cp:lastPrinted>
  <dcterms:created xsi:type="dcterms:W3CDTF">2019-01-29T08:52:26Z</dcterms:created>
  <dcterms:modified xsi:type="dcterms:W3CDTF">2021-01-25T07:56:27Z</dcterms:modified>
  <cp:category/>
  <cp:version/>
  <cp:contentType/>
  <cp:contentStatus/>
</cp:coreProperties>
</file>