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<sst xmlns="http://schemas.openxmlformats.org/spreadsheetml/2006/main" count="58" uniqueCount="58">
  <si>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CASA DE ASIGURARI DE SANATATE OLT</t>
  </si>
  <si>
    <t>SITUATIA</t>
  </si>
  <si>
    <t>Nr. crt.</t>
  </si>
  <si>
    <t>Luna/an 2018</t>
  </si>
  <si>
    <t xml:space="preserve">P3 - ONCOLOGIE ACTIVITATE CURENTA </t>
  </si>
  <si>
    <t>P3 - ONCOLOGIE COST VOLUM</t>
  </si>
  <si>
    <t>P5 - DIABET ZAHARAT (medicamente)</t>
  </si>
  <si>
    <t>P5 - DIABET TESTE ADULŢI</t>
  </si>
  <si>
    <t>P5 - DIABET TESTE COPII</t>
  </si>
  <si>
    <t>P5 - TOTAL TESTE</t>
  </si>
  <si>
    <t>P6.4 - MUCOV. COPII</t>
  </si>
  <si>
    <t>P6.4 - MUCOV. ADULTI</t>
  </si>
  <si>
    <t>P6.5.2 - SCLEROZĂ LATERALĂ AMIOTROFICA</t>
  </si>
  <si>
    <t>P6.20 - FIBROZA PULMONARA IDIOPATICA</t>
  </si>
  <si>
    <t>P6.22 - ANGIOEDEM EREDITAR</t>
  </si>
  <si>
    <t>TOTAL MEDICAMENTE 2019</t>
  </si>
  <si>
    <t>TOTAL PNS AN 2019</t>
  </si>
  <si>
    <t>7=5+6</t>
  </si>
  <si>
    <t>14=2+3+4+8+9+ 10+11+12+13</t>
  </si>
  <si>
    <t>15=7+14</t>
  </si>
  <si>
    <t>Credite angajament aprobate AN 2019, din care:</t>
  </si>
  <si>
    <t>5=2+3+4</t>
  </si>
  <si>
    <t>9=6+7+8</t>
  </si>
  <si>
    <t>10=5+9</t>
  </si>
  <si>
    <t>14=11+12+13</t>
  </si>
  <si>
    <t>15=10+14</t>
  </si>
  <si>
    <t>19=16+17+18</t>
  </si>
  <si>
    <t>Consum 2019 inregistrat in limita credite angajament AN 2019</t>
  </si>
  <si>
    <t>Consum mediu lunar an 2019</t>
  </si>
  <si>
    <t>P9.7 - STARE POSTTRANSPLANT</t>
  </si>
  <si>
    <t>ianuarie 2019- consum realizat</t>
  </si>
  <si>
    <t>Consum mediu lunar înregistrat AN 2018</t>
  </si>
  <si>
    <t>februarie 2019- consum realizat</t>
  </si>
  <si>
    <t>martie 2019- consum validat in limita credite trim I 2019</t>
  </si>
  <si>
    <t>Trim. I 2019- consum validat in limita credite trim I 2019</t>
  </si>
  <si>
    <t>aprilie 2019- consum validat in limita credite sem I 2019 (inclusiv difer. martie P5=884914,01 lei medicam + 39706,18 lei teste adulti)</t>
  </si>
  <si>
    <t>mai 2019- consum realizat</t>
  </si>
  <si>
    <t>iunie 2019- consum validat in limita credite trim II 2019</t>
  </si>
  <si>
    <t>Trim. II 2019- consum validat in limita credite sem I 2019</t>
  </si>
  <si>
    <t>Total sem. I 2019- consum validat in limita credite sem I 2019</t>
  </si>
  <si>
    <t>26=(21+ 24)/ nr. luni</t>
  </si>
  <si>
    <t xml:space="preserve">iulie 2019- consum realizat, inclusiv difer. iunie P5=55493,92 lei medicam </t>
  </si>
  <si>
    <t>august 2019- consum realizat</t>
  </si>
  <si>
    <t>CREDITE RĂMASE DE ANGAJAT 2019</t>
  </si>
  <si>
    <t>septembrie 2019- consum realizat</t>
  </si>
  <si>
    <t>Total trim. III 2019- consum realizat</t>
  </si>
  <si>
    <t>Total 9 luni 2019- consum realizat</t>
  </si>
  <si>
    <t>MODIFICĂRII REPARTIZĂRII LUNARE A CREDITELOR DE ANGAJAMENT APROBATE PENTRU DERULAREA PNS PRIN FARMACII CU CIRCUIT DESCHIS PENTRU ANUL 2019, CA URMARE A VALIDĂRII CONSUMULUI RAPORTAT PENTRU LUNA DECEMBRIE 2019, CU INCADRAREA IN CREDITELE DE ANGAJAMENT APROBATE PENTRU ANUL 2019, CONFORM ADRESEI CNAS NR. P11233/23.12.2019</t>
  </si>
  <si>
    <t>octombrie 2019- consum realizat</t>
  </si>
  <si>
    <t>noiembrie 2019- consum realizat</t>
  </si>
  <si>
    <t>decembrie 2019- consum realizat</t>
  </si>
  <si>
    <t>Total trim. IV 2019- consum realizat</t>
  </si>
  <si>
    <t>20=19</t>
  </si>
  <si>
    <t>TOTAL AN 2019- consum realizat</t>
  </si>
  <si>
    <t>21=20</t>
  </si>
  <si>
    <t>22=1-20</t>
  </si>
  <si>
    <t>Credite neconsumate la 31.12.2019 (ECONOMII AN 2019)</t>
  </si>
  <si>
    <t>Depășire la data de 31.12.2019 (consum nevalidat)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</si>
</sst>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5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horizontal="right" vertical="top"/>
    </xf>
    <xf numFmtId="4" fontId="4" fillId="2" borderId="6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left" vertical="top"/>
    </xf>
    <xf numFmtId="4" fontId="10" fillId="0" borderId="5" xfId="0" applyNumberFormat="1" applyFont="1" applyFill="1" applyBorder="1" applyAlignment="1">
      <alignment horizontal="right" vertical="top"/>
    </xf>
    <xf numFmtId="4" fontId="4" fillId="2" borderId="5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" fontId="10" fillId="0" borderId="5" xfId="0" applyNumberFormat="1" applyFont="1" applyFill="1" applyBorder="1" applyAlignment="1">
      <alignment vertical="top"/>
    </xf>
    <xf numFmtId="0" fontId="10" fillId="0" borderId="4" xfId="0" applyFont="1" applyBorder="1" applyAlignment="1">
      <alignment horizontal="center" vertical="top"/>
    </xf>
    <xf numFmtId="4" fontId="10" fillId="0" borderId="5" xfId="0" applyNumberFormat="1" applyFont="1" applyBorder="1" applyAlignment="1">
      <alignment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49" fontId="7" fillId="0" borderId="5" xfId="0" applyNumberFormat="1" applyFont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 wrapText="1"/>
    </xf>
    <xf numFmtId="4" fontId="10" fillId="0" borderId="5" xfId="0" applyNumberFormat="1" applyFont="1" applyBorder="1" applyAlignment="1">
      <alignment vertical="top" wrapText="1"/>
    </xf>
    <xf numFmtId="4" fontId="10" fillId="0" borderId="5" xfId="0" applyNumberFormat="1" applyFont="1" applyFill="1" applyBorder="1" applyAlignment="1">
      <alignment vertical="top"/>
    </xf>
    <xf numFmtId="4" fontId="10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vertical="top"/>
    </xf>
    <xf numFmtId="4" fontId="10" fillId="0" borderId="5" xfId="0" applyNumberFormat="1" applyFont="1" applyFill="1" applyBorder="1" applyAlignment="1">
      <alignment/>
    </xf>
    <xf numFmtId="4" fontId="10" fillId="0" borderId="5" xfId="0" applyNumberFormat="1" applyFont="1" applyBorder="1" applyAlignment="1">
      <alignment/>
    </xf>
    <xf numFmtId="4" fontId="10" fillId="0" borderId="5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4" fillId="2" borderId="5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10" fillId="0" borderId="5" xfId="0" applyNumberFormat="1" applyFont="1" applyBorder="1" applyAlignment="1">
      <alignment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vertical="top"/>
    </xf>
    <xf numFmtId="4" fontId="4" fillId="3" borderId="5" xfId="0" applyNumberFormat="1" applyFont="1" applyFill="1" applyBorder="1" applyAlignment="1">
      <alignment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4" fillId="3" borderId="6" xfId="0" applyNumberFormat="1" applyFont="1" applyFill="1" applyBorder="1" applyAlignment="1">
      <alignment horizontal="right" vertical="top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4" fontId="10" fillId="0" borderId="0" xfId="0" applyNumberFormat="1" applyFont="1" applyAlignment="1">
      <alignment vertical="top"/>
    </xf>
    <xf numFmtId="0" fontId="10" fillId="0" borderId="5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4" fontId="4" fillId="2" borderId="5" xfId="0" applyNumberFormat="1" applyFont="1" applyFill="1" applyBorder="1" applyAlignment="1">
      <alignment vertical="top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4" fontId="13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vertical="top" wrapText="1"/>
    </xf>
    <xf numFmtId="4" fontId="13" fillId="2" borderId="5" xfId="0" applyNumberFormat="1" applyFont="1" applyFill="1" applyBorder="1" applyAlignment="1">
      <alignment horizontal="right" vertical="top"/>
    </xf>
    <xf numFmtId="4" fontId="13" fillId="2" borderId="6" xfId="0" applyNumberFormat="1" applyFont="1" applyFill="1" applyBorder="1" applyAlignment="1">
      <alignment horizontal="right" vertical="top"/>
    </xf>
    <xf numFmtId="0" fontId="14" fillId="0" borderId="0" xfId="0" applyFont="1" applyAlignment="1">
      <alignment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4" fontId="13" fillId="2" borderId="5" xfId="0" applyNumberFormat="1" applyFont="1" applyFill="1" applyBorder="1" applyAlignment="1">
      <alignment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4" fontId="1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" fontId="10" fillId="0" borderId="8" xfId="0" applyNumberFormat="1" applyFont="1" applyBorder="1" applyAlignment="1">
      <alignment vertical="top"/>
    </xf>
    <xf numFmtId="4" fontId="4" fillId="2" borderId="8" xfId="0" applyNumberFormat="1" applyFont="1" applyFill="1" applyBorder="1" applyAlignment="1">
      <alignment vertical="top"/>
    </xf>
    <xf numFmtId="4" fontId="4" fillId="2" borderId="8" xfId="0" applyNumberFormat="1" applyFont="1" applyFill="1" applyBorder="1" applyAlignment="1">
      <alignment horizontal="right" vertical="top"/>
    </xf>
    <xf numFmtId="4" fontId="4" fillId="2" borderId="9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D1">
      <selection activeCell="P1" sqref="P1"/>
    </sheetView>
  </sheetViews>
  <sheetFormatPr defaultColWidth="9.140625" defaultRowHeight="12.75"/>
  <cols>
    <col min="1" max="1" width="7.140625" style="2" customWidth="1"/>
    <col min="2" max="2" width="37.7109375" style="2" customWidth="1"/>
    <col min="3" max="3" width="12.7109375" style="2" customWidth="1"/>
    <col min="4" max="4" width="11.57421875" style="2" customWidth="1"/>
    <col min="5" max="5" width="12.28125" style="2" customWidth="1"/>
    <col min="6" max="6" width="12.140625" style="2" customWidth="1"/>
    <col min="7" max="7" width="10.57421875" style="2" customWidth="1"/>
    <col min="8" max="8" width="11.57421875" style="2" customWidth="1"/>
    <col min="9" max="9" width="11.28125" style="2" customWidth="1"/>
    <col min="10" max="10" width="9.8515625" style="2" customWidth="1"/>
    <col min="11" max="11" width="13.57421875" style="2" customWidth="1"/>
    <col min="12" max="12" width="11.57421875" style="2" customWidth="1"/>
    <col min="13" max="13" width="11.7109375" style="2" customWidth="1"/>
    <col min="14" max="14" width="11.8515625" style="2" customWidth="1"/>
    <col min="15" max="15" width="14.57421875" style="2" customWidth="1"/>
    <col min="16" max="16" width="13.8515625" style="2" customWidth="1"/>
    <col min="17" max="17" width="15.28125" style="2" customWidth="1"/>
    <col min="18" max="18" width="10.8515625" style="2" bestFit="1" customWidth="1"/>
    <col min="19" max="16384" width="9.140625" style="2" customWidth="1"/>
  </cols>
  <sheetData>
    <row r="1" spans="1:16" ht="15.75">
      <c r="A1" s="1" t="s">
        <v>0</v>
      </c>
      <c r="C1" s="3"/>
      <c r="D1" s="3"/>
      <c r="N1" s="4"/>
      <c r="O1" s="4"/>
      <c r="P1" s="4"/>
    </row>
    <row r="2" spans="1:17" ht="14.2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"/>
    </row>
    <row r="3" spans="1:17" s="7" customFormat="1" ht="31.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"/>
    </row>
    <row r="4" ht="14.25" customHeight="1" thickBot="1"/>
    <row r="5" spans="1:16" s="12" customFormat="1" ht="48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9" t="s">
        <v>14</v>
      </c>
      <c r="N5" s="9" t="s">
        <v>29</v>
      </c>
      <c r="O5" s="9" t="s">
        <v>15</v>
      </c>
      <c r="P5" s="11" t="s">
        <v>16</v>
      </c>
    </row>
    <row r="6" spans="1:16" s="16" customFormat="1" ht="22.5">
      <c r="A6" s="13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 t="s">
        <v>17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 t="s">
        <v>18</v>
      </c>
      <c r="P6" s="15" t="s">
        <v>19</v>
      </c>
    </row>
    <row r="7" spans="1:16" s="21" customFormat="1" ht="25.5">
      <c r="A7" s="17">
        <v>1</v>
      </c>
      <c r="B7" s="18" t="s">
        <v>20</v>
      </c>
      <c r="C7" s="19">
        <f>449000+448000+448000+1620000+150000+2230500+420510+251950+526900+104370</f>
        <v>6649230</v>
      </c>
      <c r="D7" s="19">
        <f>75000+75000+50000+225000+70000+75000+385000+200000+90000</f>
        <v>1245000</v>
      </c>
      <c r="E7" s="19">
        <f>1614000+1613000+1613000+5940000+752800+6704060+1931390+2626060+2300000</f>
        <v>25094310</v>
      </c>
      <c r="F7" s="19">
        <f>133000+132000+132000+480000+960000-50850</f>
        <v>1786150</v>
      </c>
      <c r="G7" s="19">
        <f>9000+8000+8000+30000+60000-12140</f>
        <v>102860</v>
      </c>
      <c r="H7" s="19">
        <f>ROUND(F7+G7,2)</f>
        <v>1889010</v>
      </c>
      <c r="I7" s="19">
        <f>18000+18000+18000-3000+51000-5000+86140-10000+6000</f>
        <v>179140</v>
      </c>
      <c r="J7" s="19">
        <f>3000+3000+3000+1000+15000+5000+25590-6000</f>
        <v>49590</v>
      </c>
      <c r="K7" s="19">
        <f>5000+5000+5000+12000+17990</f>
        <v>44990</v>
      </c>
      <c r="L7" s="19">
        <f>2000+2000+7000+11000+11000+33000+54580+3500-14280-6000</f>
        <v>103800</v>
      </c>
      <c r="M7" s="19">
        <f>7000+7000-7000+7000+2000+48000+96000+68000+405080+90520+204890-91000</f>
        <v>837490</v>
      </c>
      <c r="N7" s="19">
        <f>62000+61000+61000+208000+287050+46210</f>
        <v>725260</v>
      </c>
      <c r="O7" s="19">
        <f>ROUND(C7+D7+E7+I7+J7+K7+N7+L7+M7,2)</f>
        <v>34928810</v>
      </c>
      <c r="P7" s="20">
        <f aca="true" t="shared" si="0" ref="P7:P32">ROUND(H7+O7,2)</f>
        <v>36817820</v>
      </c>
    </row>
    <row r="8" spans="1:16" s="26" customFormat="1" ht="12.75">
      <c r="A8" s="22">
        <v>2</v>
      </c>
      <c r="B8" s="23" t="s">
        <v>30</v>
      </c>
      <c r="C8" s="24">
        <f>449000-60804.09</f>
        <v>388195.91000000003</v>
      </c>
      <c r="D8" s="24">
        <f>75000-30440.24</f>
        <v>44559.759999999995</v>
      </c>
      <c r="E8" s="24">
        <f>1614000+198470.41</f>
        <v>1812470.41</v>
      </c>
      <c r="F8" s="24">
        <f>133000+7268</f>
        <v>140268</v>
      </c>
      <c r="G8" s="24">
        <f>9000-840</f>
        <v>8160</v>
      </c>
      <c r="H8" s="25">
        <f aca="true" t="shared" si="1" ref="H8:H32">ROUND(F8+G8,2)</f>
        <v>148428</v>
      </c>
      <c r="I8" s="24">
        <f>18000-6432.31</f>
        <v>11567.689999999999</v>
      </c>
      <c r="J8" s="24">
        <f>3000+40.38</f>
        <v>3040.38</v>
      </c>
      <c r="K8" s="24">
        <f>5000-1924</f>
        <v>3076</v>
      </c>
      <c r="L8" s="24">
        <f>4000+6338.57</f>
        <v>10338.57</v>
      </c>
      <c r="M8" s="24">
        <f>7000-7000</f>
        <v>0</v>
      </c>
      <c r="N8" s="24">
        <f>62000-14694.67</f>
        <v>47305.33</v>
      </c>
      <c r="O8" s="19">
        <f aca="true" t="shared" si="2" ref="O8:O32">ROUND(C8+D8+E8+I8+J8+K8+N8+L8+M8,2)</f>
        <v>2320554.05</v>
      </c>
      <c r="P8" s="20">
        <f t="shared" si="0"/>
        <v>2468982.05</v>
      </c>
    </row>
    <row r="9" spans="1:17" s="26" customFormat="1" ht="12.75">
      <c r="A9" s="22">
        <v>3</v>
      </c>
      <c r="B9" s="23" t="s">
        <v>32</v>
      </c>
      <c r="C9" s="27">
        <f>448000+60804.09+22623.42</f>
        <v>531427.51</v>
      </c>
      <c r="D9" s="27">
        <f>75000+30440.24-14894.6</f>
        <v>90545.64</v>
      </c>
      <c r="E9" s="27">
        <f>1613000-198470.41+484740.39</f>
        <v>1899269.98</v>
      </c>
      <c r="F9" s="27">
        <f>132000-7268+21692</f>
        <v>146424</v>
      </c>
      <c r="G9" s="27">
        <f>8000+840+280</f>
        <v>9120</v>
      </c>
      <c r="H9" s="25">
        <f t="shared" si="1"/>
        <v>155544</v>
      </c>
      <c r="I9" s="27">
        <f>18000+6432.31-10183.5</f>
        <v>14248.810000000001</v>
      </c>
      <c r="J9" s="27">
        <f>3000-40.38+3000+664.17</f>
        <v>6623.79</v>
      </c>
      <c r="K9" s="27">
        <f>5000+1924-4726.86</f>
        <v>2197.1400000000003</v>
      </c>
      <c r="L9" s="27">
        <f>661.43+11000-1322.86</f>
        <v>10338.57</v>
      </c>
      <c r="M9" s="27">
        <f>14000+1086.76</f>
        <v>15086.76</v>
      </c>
      <c r="N9" s="27">
        <f>61000+14694.67-17484.55</f>
        <v>58210.119999999995</v>
      </c>
      <c r="O9" s="19">
        <f t="shared" si="2"/>
        <v>2627948.32</v>
      </c>
      <c r="P9" s="20">
        <f t="shared" si="0"/>
        <v>2783492.32</v>
      </c>
      <c r="Q9" s="56"/>
    </row>
    <row r="10" spans="1:16" s="26" customFormat="1" ht="25.5">
      <c r="A10" s="28">
        <v>4</v>
      </c>
      <c r="B10" s="73" t="s">
        <v>33</v>
      </c>
      <c r="C10" s="27">
        <f>448000-22623.42+118350.54</f>
        <v>543727.12</v>
      </c>
      <c r="D10" s="27">
        <f>50000+14894.6+10903.95</f>
        <v>75798.55</v>
      </c>
      <c r="E10" s="27">
        <f>1613000-484740.39</f>
        <v>1128259.6099999999</v>
      </c>
      <c r="F10" s="27">
        <f>132000-21692+520</f>
        <v>110828</v>
      </c>
      <c r="G10" s="27">
        <f>8000-280-520</f>
        <v>7200</v>
      </c>
      <c r="H10" s="25">
        <f t="shared" si="1"/>
        <v>118028</v>
      </c>
      <c r="I10" s="29">
        <f>18000+10183.5-3000-7980.56</f>
        <v>17202.94</v>
      </c>
      <c r="J10" s="27">
        <f>335.83+4000-1295.45</f>
        <v>3040.38</v>
      </c>
      <c r="K10" s="27">
        <f>5000+4726.86-6211.42</f>
        <v>3515.4400000000005</v>
      </c>
      <c r="L10" s="29">
        <f>11000+1322.86-1984.29</f>
        <v>10338.57</v>
      </c>
      <c r="M10" s="27">
        <f>913.24+31000-1739.72</f>
        <v>30173.52</v>
      </c>
      <c r="N10" s="29">
        <f>61000+17484.55-30593.18</f>
        <v>47891.37</v>
      </c>
      <c r="O10" s="19">
        <f t="shared" si="2"/>
        <v>1859947.5</v>
      </c>
      <c r="P10" s="20">
        <f t="shared" si="0"/>
        <v>1977975.5</v>
      </c>
    </row>
    <row r="11" spans="1:16" s="32" customFormat="1" ht="25.5">
      <c r="A11" s="30" t="s">
        <v>21</v>
      </c>
      <c r="B11" s="74" t="s">
        <v>34</v>
      </c>
      <c r="C11" s="25">
        <f>SUM(C8:C10)</f>
        <v>1463350.54</v>
      </c>
      <c r="D11" s="25">
        <f aca="true" t="shared" si="3" ref="D11:N11">SUM(D8:D10)</f>
        <v>210903.95</v>
      </c>
      <c r="E11" s="25">
        <f t="shared" si="3"/>
        <v>4840000</v>
      </c>
      <c r="F11" s="25">
        <f t="shared" si="3"/>
        <v>397520</v>
      </c>
      <c r="G11" s="25">
        <f t="shared" si="3"/>
        <v>24480</v>
      </c>
      <c r="H11" s="25">
        <f t="shared" si="3"/>
        <v>422000</v>
      </c>
      <c r="I11" s="25">
        <f t="shared" si="3"/>
        <v>43019.44</v>
      </c>
      <c r="J11" s="25">
        <f>SUM(J8:J10)</f>
        <v>12704.55</v>
      </c>
      <c r="K11" s="25">
        <f>SUM(K8:K10)</f>
        <v>8788.580000000002</v>
      </c>
      <c r="L11" s="25">
        <f t="shared" si="3"/>
        <v>31015.71</v>
      </c>
      <c r="M11" s="25">
        <f t="shared" si="3"/>
        <v>45260.28</v>
      </c>
      <c r="N11" s="25">
        <f t="shared" si="3"/>
        <v>153406.82</v>
      </c>
      <c r="O11" s="19">
        <f t="shared" si="2"/>
        <v>6808449.87</v>
      </c>
      <c r="P11" s="20">
        <f t="shared" si="0"/>
        <v>7230449.87</v>
      </c>
    </row>
    <row r="12" spans="1:16" s="26" customFormat="1" ht="36">
      <c r="A12" s="22">
        <v>6</v>
      </c>
      <c r="B12" s="33" t="s">
        <v>35</v>
      </c>
      <c r="C12" s="27">
        <f>540000-118350.54+131917.8</f>
        <v>553567.26</v>
      </c>
      <c r="D12" s="27">
        <f>75000-10903.95+54065.35</f>
        <v>118161.4</v>
      </c>
      <c r="E12" s="29">
        <f>2900000-162777.82</f>
        <v>2737222.18</v>
      </c>
      <c r="F12" s="29">
        <f>200000-28953.82</f>
        <v>171046.18</v>
      </c>
      <c r="G12" s="29">
        <f>10000+2520-5320</f>
        <v>7200</v>
      </c>
      <c r="H12" s="25">
        <f t="shared" si="1"/>
        <v>178246.18</v>
      </c>
      <c r="I12" s="29">
        <f>17000+7980.56-7367.93</f>
        <v>17612.63</v>
      </c>
      <c r="J12" s="29">
        <f>6000+1295.45-671.66</f>
        <v>6623.79</v>
      </c>
      <c r="K12" s="29">
        <f>4000+6211.42-5377.7</f>
        <v>4833.72</v>
      </c>
      <c r="L12" s="29">
        <f>11000+1984.29-2645.72</f>
        <v>10338.570000000002</v>
      </c>
      <c r="M12" s="27">
        <f>17000+1739.72+26520.56</f>
        <v>45260.28</v>
      </c>
      <c r="N12" s="29">
        <f>70000+30593.18-38585.61</f>
        <v>62007.56999999999</v>
      </c>
      <c r="O12" s="19">
        <f t="shared" si="2"/>
        <v>3555627.4</v>
      </c>
      <c r="P12" s="20">
        <f t="shared" si="0"/>
        <v>3733873.58</v>
      </c>
    </row>
    <row r="13" spans="1:16" s="26" customFormat="1" ht="12.75">
      <c r="A13" s="22">
        <v>7</v>
      </c>
      <c r="B13" s="23" t="s">
        <v>36</v>
      </c>
      <c r="C13" s="27">
        <f>540000-131917.8+150000+71207.49</f>
        <v>629289.69</v>
      </c>
      <c r="D13" s="27">
        <f>75000-54065.35+70000+30000-2773.25</f>
        <v>118161.4</v>
      </c>
      <c r="E13" s="29">
        <f>2000000+162777.82-47432.96</f>
        <v>2115344.86</v>
      </c>
      <c r="F13" s="29">
        <f>150000+28953.82-28965.82</f>
        <v>149988</v>
      </c>
      <c r="G13" s="29">
        <f>9000+5320-4720</f>
        <v>9600</v>
      </c>
      <c r="H13" s="25">
        <f t="shared" si="1"/>
        <v>159588</v>
      </c>
      <c r="I13" s="29">
        <f>17000+7367.93-10106.88</f>
        <v>14261.050000000001</v>
      </c>
      <c r="J13" s="29">
        <f>3000+671.66-631.28</f>
        <v>3040.38</v>
      </c>
      <c r="K13" s="29">
        <f>4000+5377.7-5422.83</f>
        <v>3954.870000000001</v>
      </c>
      <c r="L13" s="29">
        <f>11000+2645.72-3307.15</f>
        <v>10338.57</v>
      </c>
      <c r="M13" s="29">
        <f>69479.44-1589.02</f>
        <v>67890.42</v>
      </c>
      <c r="N13" s="29">
        <f>70000+38585.61-34764.76</f>
        <v>73820.85</v>
      </c>
      <c r="O13" s="19">
        <f t="shared" si="2"/>
        <v>3036102.09</v>
      </c>
      <c r="P13" s="20">
        <f t="shared" si="0"/>
        <v>3195690.09</v>
      </c>
    </row>
    <row r="14" spans="1:16" s="21" customFormat="1" ht="25.5">
      <c r="A14" s="22">
        <v>8</v>
      </c>
      <c r="B14" s="34" t="s">
        <v>37</v>
      </c>
      <c r="C14" s="27">
        <f>540000-71207.49+116193.87</f>
        <v>584986.38</v>
      </c>
      <c r="D14" s="27">
        <f>75000+45000+2773.25-4611.85</f>
        <v>118161.4</v>
      </c>
      <c r="E14" s="27">
        <f>1040000+47432.96+752800</f>
        <v>1840232.96</v>
      </c>
      <c r="F14" s="29">
        <f>129480+28965.82-25425.82</f>
        <v>133020</v>
      </c>
      <c r="G14" s="29">
        <f>9000+4720-6520</f>
        <v>7200</v>
      </c>
      <c r="H14" s="25">
        <f t="shared" si="1"/>
        <v>140220</v>
      </c>
      <c r="I14" s="29">
        <f>17000+10106.88-5000-16454.96</f>
        <v>5651.919999999998</v>
      </c>
      <c r="J14" s="29">
        <f>2000+631.28+5000-1007.49</f>
        <v>6623.79</v>
      </c>
      <c r="K14" s="29">
        <f>4000+5422.83-5907.39</f>
        <v>3515.4399999999996</v>
      </c>
      <c r="L14" s="29">
        <f>11000+3307.15-3968.58</f>
        <v>10338.57</v>
      </c>
      <c r="M14" s="27">
        <f>1589.02+68000-1698.6</f>
        <v>67890.42</v>
      </c>
      <c r="N14" s="29">
        <f>68000+34764.76-45742.02</f>
        <v>57022.74000000001</v>
      </c>
      <c r="O14" s="19">
        <f t="shared" si="2"/>
        <v>2694423.62</v>
      </c>
      <c r="P14" s="20">
        <f t="shared" si="0"/>
        <v>2834643.62</v>
      </c>
    </row>
    <row r="15" spans="1:17" s="26" customFormat="1" ht="25.5">
      <c r="A15" s="35" t="s">
        <v>22</v>
      </c>
      <c r="B15" s="36" t="s">
        <v>38</v>
      </c>
      <c r="C15" s="25">
        <f aca="true" t="shared" si="4" ref="C15:N15">SUM(C12:C14)</f>
        <v>1767843.33</v>
      </c>
      <c r="D15" s="25">
        <f t="shared" si="4"/>
        <v>354484.19999999995</v>
      </c>
      <c r="E15" s="25">
        <f t="shared" si="4"/>
        <v>6692800</v>
      </c>
      <c r="F15" s="25">
        <f t="shared" si="4"/>
        <v>454054.18</v>
      </c>
      <c r="G15" s="25">
        <f t="shared" si="4"/>
        <v>24000</v>
      </c>
      <c r="H15" s="25">
        <f t="shared" si="4"/>
        <v>478054.18</v>
      </c>
      <c r="I15" s="25">
        <f>SUM(I12:I14)</f>
        <v>37525.6</v>
      </c>
      <c r="J15" s="25">
        <f>SUM(J12:J14)</f>
        <v>16287.96</v>
      </c>
      <c r="K15" s="25">
        <f>SUM(K12:K14)</f>
        <v>12304.029999999999</v>
      </c>
      <c r="L15" s="25">
        <f t="shared" si="4"/>
        <v>31015.71</v>
      </c>
      <c r="M15" s="25">
        <f t="shared" si="4"/>
        <v>181041.12</v>
      </c>
      <c r="N15" s="25">
        <f t="shared" si="4"/>
        <v>192851.16</v>
      </c>
      <c r="O15" s="19">
        <f t="shared" si="2"/>
        <v>9286153.11</v>
      </c>
      <c r="P15" s="20">
        <f t="shared" si="0"/>
        <v>9764207.29</v>
      </c>
      <c r="Q15" s="56"/>
    </row>
    <row r="16" spans="1:16" s="32" customFormat="1" ht="25.5">
      <c r="A16" s="30" t="s">
        <v>23</v>
      </c>
      <c r="B16" s="36" t="s">
        <v>39</v>
      </c>
      <c r="C16" s="25">
        <f aca="true" t="shared" si="5" ref="C16:N16">C11+C15</f>
        <v>3231193.87</v>
      </c>
      <c r="D16" s="25">
        <f t="shared" si="5"/>
        <v>565388.1499999999</v>
      </c>
      <c r="E16" s="25">
        <f t="shared" si="5"/>
        <v>11532800</v>
      </c>
      <c r="F16" s="25">
        <f t="shared" si="5"/>
        <v>851574.1799999999</v>
      </c>
      <c r="G16" s="25">
        <f t="shared" si="5"/>
        <v>48480</v>
      </c>
      <c r="H16" s="25">
        <f t="shared" si="5"/>
        <v>900054.1799999999</v>
      </c>
      <c r="I16" s="25">
        <f t="shared" si="5"/>
        <v>80545.04000000001</v>
      </c>
      <c r="J16" s="25">
        <f>J11+J15</f>
        <v>28992.51</v>
      </c>
      <c r="K16" s="25">
        <f>K11+K15</f>
        <v>21092.61</v>
      </c>
      <c r="L16" s="25">
        <f t="shared" si="5"/>
        <v>62031.42</v>
      </c>
      <c r="M16" s="25">
        <f t="shared" si="5"/>
        <v>226301.4</v>
      </c>
      <c r="N16" s="25">
        <f t="shared" si="5"/>
        <v>346257.98</v>
      </c>
      <c r="O16" s="19">
        <f t="shared" si="2"/>
        <v>16094602.98</v>
      </c>
      <c r="P16" s="20">
        <f t="shared" si="0"/>
        <v>16994657.16</v>
      </c>
    </row>
    <row r="17" spans="1:17" s="21" customFormat="1" ht="25.5">
      <c r="A17" s="22">
        <v>11</v>
      </c>
      <c r="B17" s="73" t="s">
        <v>41</v>
      </c>
      <c r="C17" s="27">
        <f>600000-116193.87+223500.58</f>
        <v>707306.71</v>
      </c>
      <c r="D17" s="27">
        <f>120000+4611.85-21303.7</f>
        <v>103308.15000000001</v>
      </c>
      <c r="E17" s="37">
        <f>2100000+39893.95+55493.92</f>
        <v>2195387.87</v>
      </c>
      <c r="F17" s="29">
        <f>160000+25425.82-33211.64</f>
        <v>152214.18</v>
      </c>
      <c r="G17" s="29">
        <f>10000+6520-9020</f>
        <v>7500</v>
      </c>
      <c r="H17" s="25">
        <f t="shared" si="1"/>
        <v>159714.18</v>
      </c>
      <c r="I17" s="38">
        <f>17000+16454.96-13310.11</f>
        <v>20144.85</v>
      </c>
      <c r="J17" s="38">
        <f>5000+1007.49-2967.11</f>
        <v>3040.3799999999997</v>
      </c>
      <c r="K17" s="29">
        <f>5000+5907.39-7831.38</f>
        <v>3076.0099999999993</v>
      </c>
      <c r="L17" s="29">
        <f>11000+3968.58-4630.01</f>
        <v>10338.57</v>
      </c>
      <c r="M17" s="29">
        <f>68000+1698.6+43452.1</f>
        <v>113150.70000000001</v>
      </c>
      <c r="N17" s="29">
        <f>60000+45742.02-25352.24</f>
        <v>80389.77999999998</v>
      </c>
      <c r="O17" s="19">
        <f t="shared" si="2"/>
        <v>3236143.02</v>
      </c>
      <c r="P17" s="20">
        <f t="shared" si="0"/>
        <v>3395857.2</v>
      </c>
      <c r="Q17" s="83"/>
    </row>
    <row r="18" spans="1:16" s="26" customFormat="1" ht="12.75">
      <c r="A18" s="22">
        <v>12</v>
      </c>
      <c r="B18" s="23" t="s">
        <v>42</v>
      </c>
      <c r="C18" s="27">
        <f>600000-223500.58+176204.3</f>
        <v>552703.72</v>
      </c>
      <c r="D18" s="39">
        <f>135000+21303.7-15149.35</f>
        <v>141154.35</v>
      </c>
      <c r="E18" s="39">
        <f>2100000-95387.87-52986.32</f>
        <v>1951625.8099999998</v>
      </c>
      <c r="F18" s="40">
        <f>160000+33211.64-62777.64</f>
        <v>130434.00000000001</v>
      </c>
      <c r="G18" s="40">
        <f>10000+9020-10380</f>
        <v>8640</v>
      </c>
      <c r="H18" s="25">
        <f t="shared" si="1"/>
        <v>139074</v>
      </c>
      <c r="I18" s="29">
        <f>17000+13310.11-18798.35</f>
        <v>11511.760000000002</v>
      </c>
      <c r="J18" s="27">
        <f>5000+2967.11-7967.11</f>
        <v>0</v>
      </c>
      <c r="K18" s="29">
        <f>5000+7831.38-9755.37</f>
        <v>3076.01</v>
      </c>
      <c r="L18" s="29">
        <f>11000+4630.01-15630.01</f>
        <v>0</v>
      </c>
      <c r="M18" s="29">
        <f>68000-43452.1+20712.38</f>
        <v>45260.28</v>
      </c>
      <c r="N18" s="39">
        <f>60000+25352.24-40236.48</f>
        <v>45115.76</v>
      </c>
      <c r="O18" s="19">
        <f t="shared" si="2"/>
        <v>2750447.69</v>
      </c>
      <c r="P18" s="20">
        <f t="shared" si="0"/>
        <v>2889521.69</v>
      </c>
    </row>
    <row r="19" spans="1:16" s="45" customFormat="1" ht="12.75">
      <c r="A19" s="22">
        <v>13</v>
      </c>
      <c r="B19" s="41" t="s">
        <v>44</v>
      </c>
      <c r="C19" s="27">
        <f>600000-176204.3+220510-209703.35</f>
        <v>434602.35</v>
      </c>
      <c r="D19" s="39">
        <f>130000+15149.35-3995</f>
        <v>141154.35</v>
      </c>
      <c r="E19" s="42">
        <f>2100000+52986.32+200000-142497.16</f>
        <v>2210489.1599999997</v>
      </c>
      <c r="F19" s="40">
        <f>160000+62777.64-67849.24</f>
        <v>154928.40000000002</v>
      </c>
      <c r="G19" s="39">
        <f>10000+10380-14140</f>
        <v>6240</v>
      </c>
      <c r="H19" s="25">
        <f t="shared" si="1"/>
        <v>161168.4</v>
      </c>
      <c r="I19" s="43">
        <f>17000+18798.35-27004.74</f>
        <v>8793.609999999997</v>
      </c>
      <c r="J19" s="44">
        <f>5000+7967.11-12967.11</f>
        <v>0</v>
      </c>
      <c r="K19" s="29">
        <f>5000+9755.37-11239.93</f>
        <v>3515.4400000000005</v>
      </c>
      <c r="L19" s="29">
        <f>11000+15630.01-26630.01</f>
        <v>0</v>
      </c>
      <c r="M19" s="27">
        <f>68000-20712.38+90520-2026.78</f>
        <v>135780.84</v>
      </c>
      <c r="N19" s="39">
        <f>60000+40236.48-51269.57</f>
        <v>48966.91000000001</v>
      </c>
      <c r="O19" s="19">
        <f t="shared" si="2"/>
        <v>2983302.66</v>
      </c>
      <c r="P19" s="20">
        <f t="shared" si="0"/>
        <v>3144471.06</v>
      </c>
    </row>
    <row r="20" spans="1:16" s="47" customFormat="1" ht="25.5">
      <c r="A20" s="30" t="s">
        <v>24</v>
      </c>
      <c r="B20" s="36" t="s">
        <v>45</v>
      </c>
      <c r="C20" s="46">
        <f>ROUND(C17+C18+C19,2)</f>
        <v>1694612.78</v>
      </c>
      <c r="D20" s="46">
        <f aca="true" t="shared" si="6" ref="D20:N20">ROUND(D17+D18+D19,2)</f>
        <v>385616.85</v>
      </c>
      <c r="E20" s="46">
        <f t="shared" si="6"/>
        <v>6357502.84</v>
      </c>
      <c r="F20" s="46">
        <f t="shared" si="6"/>
        <v>437576.58</v>
      </c>
      <c r="G20" s="46">
        <f t="shared" si="6"/>
        <v>22380</v>
      </c>
      <c r="H20" s="46">
        <f t="shared" si="6"/>
        <v>459956.58</v>
      </c>
      <c r="I20" s="46">
        <f t="shared" si="6"/>
        <v>40450.22</v>
      </c>
      <c r="J20" s="46">
        <f>ROUND(J17+J18+J19,2)</f>
        <v>3040.38</v>
      </c>
      <c r="K20" s="46">
        <f>ROUND(K17+K18+K19,2)</f>
        <v>9667.46</v>
      </c>
      <c r="L20" s="46">
        <f t="shared" si="6"/>
        <v>10338.57</v>
      </c>
      <c r="M20" s="46">
        <f t="shared" si="6"/>
        <v>294191.82</v>
      </c>
      <c r="N20" s="46">
        <f t="shared" si="6"/>
        <v>174472.45</v>
      </c>
      <c r="O20" s="19">
        <f t="shared" si="2"/>
        <v>8969893.37</v>
      </c>
      <c r="P20" s="20">
        <f t="shared" si="0"/>
        <v>9429849.95</v>
      </c>
    </row>
    <row r="21" spans="1:16" s="47" customFormat="1" ht="25.5">
      <c r="A21" s="30" t="s">
        <v>25</v>
      </c>
      <c r="B21" s="36" t="s">
        <v>46</v>
      </c>
      <c r="C21" s="46">
        <f>ROUND(C16+C20,2)</f>
        <v>4925806.65</v>
      </c>
      <c r="D21" s="46">
        <f aca="true" t="shared" si="7" ref="D21:N21">ROUND(D16+D20,2)</f>
        <v>951005</v>
      </c>
      <c r="E21" s="46">
        <f t="shared" si="7"/>
        <v>17890302.84</v>
      </c>
      <c r="F21" s="46">
        <f t="shared" si="7"/>
        <v>1289150.76</v>
      </c>
      <c r="G21" s="46">
        <f t="shared" si="7"/>
        <v>70860</v>
      </c>
      <c r="H21" s="46">
        <f t="shared" si="7"/>
        <v>1360010.76</v>
      </c>
      <c r="I21" s="46">
        <f t="shared" si="7"/>
        <v>120995.26</v>
      </c>
      <c r="J21" s="46">
        <f>ROUND(J16+J20,2)</f>
        <v>32032.89</v>
      </c>
      <c r="K21" s="46">
        <f>ROUND(K16+K20,2)</f>
        <v>30760.07</v>
      </c>
      <c r="L21" s="46">
        <f t="shared" si="7"/>
        <v>72369.99</v>
      </c>
      <c r="M21" s="46">
        <f t="shared" si="7"/>
        <v>520493.22</v>
      </c>
      <c r="N21" s="46">
        <f t="shared" si="7"/>
        <v>520730.43</v>
      </c>
      <c r="O21" s="19">
        <f t="shared" si="2"/>
        <v>25064496.35</v>
      </c>
      <c r="P21" s="20">
        <f t="shared" si="0"/>
        <v>26424507.11</v>
      </c>
    </row>
    <row r="22" spans="1:16" s="45" customFormat="1" ht="12.75">
      <c r="A22" s="22">
        <v>16</v>
      </c>
      <c r="B22" s="48" t="s">
        <v>48</v>
      </c>
      <c r="C22" s="27">
        <f>430500+200000+209703.35-303850.33</f>
        <v>536353.02</v>
      </c>
      <c r="D22" s="39">
        <f>3995+100000-13449.35</f>
        <v>90545.65</v>
      </c>
      <c r="E22" s="44">
        <f>404060+1731390+142497.16+33463.68</f>
        <v>2311410.8400000003</v>
      </c>
      <c r="F22" s="39">
        <f>160000+67849.24-73535.06</f>
        <v>154314.18</v>
      </c>
      <c r="G22" s="39">
        <f>10000+14140-18380</f>
        <v>5760</v>
      </c>
      <c r="H22" s="25">
        <f t="shared" si="1"/>
        <v>160074.18</v>
      </c>
      <c r="I22" s="42">
        <f>17000+27004.74-21079.14</f>
        <v>22925.600000000006</v>
      </c>
      <c r="J22" s="43">
        <f>5000+12967.11-14926.73</f>
        <v>3040.380000000001</v>
      </c>
      <c r="K22" s="40">
        <f>2990+11239.93-10714.49</f>
        <v>3515.4400000000005</v>
      </c>
      <c r="L22" s="27">
        <f>11000+26630.01-27291.44</f>
        <v>10338.569999999996</v>
      </c>
      <c r="M22" s="27">
        <f>68000+2026.78+20493.78</f>
        <v>90520.56</v>
      </c>
      <c r="N22" s="27">
        <f>60000+51269.57-45707.65</f>
        <v>65561.92000000001</v>
      </c>
      <c r="O22" s="19">
        <f t="shared" si="2"/>
        <v>3134211.98</v>
      </c>
      <c r="P22" s="20">
        <f t="shared" si="0"/>
        <v>3294286.16</v>
      </c>
    </row>
    <row r="23" spans="1:16" s="45" customFormat="1" ht="12.75">
      <c r="A23" s="22">
        <v>17</v>
      </c>
      <c r="B23" s="41" t="s">
        <v>49</v>
      </c>
      <c r="C23" s="42">
        <f>251950+303850.33-81449.11</f>
        <v>474351.2200000001</v>
      </c>
      <c r="D23" s="42">
        <f>100000+13449.35-75603.15</f>
        <v>37846.20000000001</v>
      </c>
      <c r="E23" s="44">
        <f>2626060-33463.68-633250.97</f>
        <v>1959345.3499999999</v>
      </c>
      <c r="F23" s="39">
        <f>160000+73535.06-50850-43857.06</f>
        <v>138828</v>
      </c>
      <c r="G23" s="39">
        <f>10000+18380-12140-8080</f>
        <v>8160</v>
      </c>
      <c r="H23" s="25">
        <f t="shared" si="1"/>
        <v>146988</v>
      </c>
      <c r="I23" s="42">
        <f>17000+21079.14-10000-19236.26</f>
        <v>8842.880000000001</v>
      </c>
      <c r="J23" s="44">
        <f>5000+14926.73-6000-7302.94</f>
        <v>6623.79</v>
      </c>
      <c r="K23" s="39">
        <f>10714.49-8517.34</f>
        <v>2197.1499999999996</v>
      </c>
      <c r="L23" s="39">
        <f>10580+27291.44-14280-6000-7252.87</f>
        <v>10338.570000000003</v>
      </c>
      <c r="M23" s="39">
        <f>68000-20493.78+90000-46985.66</f>
        <v>90520.56</v>
      </c>
      <c r="N23" s="40">
        <f>47050+45707.65-39511.83</f>
        <v>53245.81999999999</v>
      </c>
      <c r="O23" s="19">
        <f t="shared" si="2"/>
        <v>2643311.54</v>
      </c>
      <c r="P23" s="20">
        <f t="shared" si="0"/>
        <v>2790299.54</v>
      </c>
    </row>
    <row r="24" spans="1:16" s="45" customFormat="1" ht="12.75">
      <c r="A24" s="22">
        <v>18</v>
      </c>
      <c r="B24" s="41" t="s">
        <v>50</v>
      </c>
      <c r="C24" s="42">
        <f>526900+104370+81449.11-107198.56</f>
        <v>605520.55</v>
      </c>
      <c r="D24" s="42">
        <f>90000+75603.15-112903.69</f>
        <v>52699.45999999999</v>
      </c>
      <c r="E24" s="42">
        <f>2300000+633250.97-661127.49</f>
        <v>2272123.4799999995</v>
      </c>
      <c r="F24" s="27">
        <f>160000+43857.06-70069.06</f>
        <v>133788</v>
      </c>
      <c r="G24" s="39">
        <f>10000+8080-11840</f>
        <v>6240</v>
      </c>
      <c r="H24" s="25">
        <f t="shared" si="1"/>
        <v>140028</v>
      </c>
      <c r="I24" s="42">
        <f>1140+6000+19236.26-12052.61</f>
        <v>14323.649999999998</v>
      </c>
      <c r="J24" s="44">
        <f>590+7302.94-1269.15</f>
        <v>6623.789999999999</v>
      </c>
      <c r="K24" s="42">
        <f>8517.34-7199.05</f>
        <v>1318.29</v>
      </c>
      <c r="L24" s="42">
        <f>3500+7252.87-414.3</f>
        <v>10338.57</v>
      </c>
      <c r="M24" s="42">
        <f>65080+114890-91000+46985.66-68065.24</f>
        <v>67890.42</v>
      </c>
      <c r="N24" s="42">
        <f>46210+39511.83-25227.8</f>
        <v>60494.03</v>
      </c>
      <c r="O24" s="19">
        <f t="shared" si="2"/>
        <v>3091332.24</v>
      </c>
      <c r="P24" s="20">
        <f t="shared" si="0"/>
        <v>3231360.24</v>
      </c>
    </row>
    <row r="25" spans="1:16" s="47" customFormat="1" ht="25.5">
      <c r="A25" s="30" t="s">
        <v>26</v>
      </c>
      <c r="B25" s="31" t="s">
        <v>51</v>
      </c>
      <c r="C25" s="46">
        <f>ROUND(C22+C23+C24,2)</f>
        <v>1616224.79</v>
      </c>
      <c r="D25" s="46">
        <f aca="true" t="shared" si="8" ref="D25:N25">ROUND(D22+D23+D24,2)</f>
        <v>181091.31</v>
      </c>
      <c r="E25" s="46">
        <f t="shared" si="8"/>
        <v>6542879.67</v>
      </c>
      <c r="F25" s="46">
        <f t="shared" si="8"/>
        <v>426930.18</v>
      </c>
      <c r="G25" s="46">
        <f t="shared" si="8"/>
        <v>20160</v>
      </c>
      <c r="H25" s="46">
        <f t="shared" si="8"/>
        <v>447090.18</v>
      </c>
      <c r="I25" s="46">
        <f t="shared" si="8"/>
        <v>46092.13</v>
      </c>
      <c r="J25" s="46">
        <f>ROUND(J22+J23+J24,2)</f>
        <v>16287.96</v>
      </c>
      <c r="K25" s="46">
        <f>ROUND(K22+K23+K24,2)</f>
        <v>7030.88</v>
      </c>
      <c r="L25" s="46">
        <f t="shared" si="8"/>
        <v>31015.71</v>
      </c>
      <c r="M25" s="46">
        <f t="shared" si="8"/>
        <v>248931.54</v>
      </c>
      <c r="N25" s="46">
        <f t="shared" si="8"/>
        <v>179301.77</v>
      </c>
      <c r="O25" s="19">
        <f t="shared" si="2"/>
        <v>8868855.76</v>
      </c>
      <c r="P25" s="20">
        <f t="shared" si="0"/>
        <v>9315945.94</v>
      </c>
    </row>
    <row r="26" spans="1:16" s="47" customFormat="1" ht="12.75">
      <c r="A26" s="49" t="s">
        <v>52</v>
      </c>
      <c r="B26" s="50" t="s">
        <v>53</v>
      </c>
      <c r="C26" s="51">
        <f>ROUND(C11+C15+C20+C25,2)</f>
        <v>6542031.44</v>
      </c>
      <c r="D26" s="51">
        <f aca="true" t="shared" si="9" ref="D26:N26">ROUND(D11+D15+D20+D25,2)</f>
        <v>1132096.31</v>
      </c>
      <c r="E26" s="51">
        <f t="shared" si="9"/>
        <v>24433182.51</v>
      </c>
      <c r="F26" s="51">
        <f t="shared" si="9"/>
        <v>1716080.94</v>
      </c>
      <c r="G26" s="51">
        <f t="shared" si="9"/>
        <v>91020</v>
      </c>
      <c r="H26" s="51">
        <f t="shared" si="9"/>
        <v>1807100.94</v>
      </c>
      <c r="I26" s="51">
        <f t="shared" si="9"/>
        <v>167087.39</v>
      </c>
      <c r="J26" s="51">
        <f>ROUND(J11+J15+J20+J25,2)</f>
        <v>48320.85</v>
      </c>
      <c r="K26" s="51">
        <f>ROUND(K11+K15+K20+K25,2)</f>
        <v>37790.95</v>
      </c>
      <c r="L26" s="51">
        <f t="shared" si="9"/>
        <v>103385.7</v>
      </c>
      <c r="M26" s="51">
        <f t="shared" si="9"/>
        <v>769424.76</v>
      </c>
      <c r="N26" s="51">
        <f t="shared" si="9"/>
        <v>700032.2</v>
      </c>
      <c r="O26" s="52">
        <f t="shared" si="2"/>
        <v>33933352.11</v>
      </c>
      <c r="P26" s="53">
        <f t="shared" si="0"/>
        <v>35740453.05</v>
      </c>
    </row>
    <row r="27" spans="1:17" s="26" customFormat="1" ht="25.5">
      <c r="A27" s="54" t="s">
        <v>54</v>
      </c>
      <c r="B27" s="55" t="s">
        <v>27</v>
      </c>
      <c r="C27" s="29">
        <f>ROUND(C8+C9+C10+C12+C13+C14+C17+C18+C19+C22+C23+C24,2)</f>
        <v>6542031.44</v>
      </c>
      <c r="D27" s="29">
        <f aca="true" t="shared" si="10" ref="D27:N27">ROUND(D8+D9+D10+D12+D13+D14+D17+D18+D19+D22+D23+D24,2)</f>
        <v>1132096.31</v>
      </c>
      <c r="E27" s="29">
        <f t="shared" si="10"/>
        <v>24433182.51</v>
      </c>
      <c r="F27" s="29">
        <f t="shared" si="10"/>
        <v>1716080.94</v>
      </c>
      <c r="G27" s="29">
        <f t="shared" si="10"/>
        <v>91020</v>
      </c>
      <c r="H27" s="25">
        <f t="shared" si="1"/>
        <v>1807100.94</v>
      </c>
      <c r="I27" s="29">
        <f t="shared" si="10"/>
        <v>167087.39</v>
      </c>
      <c r="J27" s="29">
        <f t="shared" si="10"/>
        <v>48320.85</v>
      </c>
      <c r="K27" s="29">
        <f t="shared" si="10"/>
        <v>37790.95</v>
      </c>
      <c r="L27" s="29">
        <f t="shared" si="10"/>
        <v>103385.7</v>
      </c>
      <c r="M27" s="29">
        <f t="shared" si="10"/>
        <v>769424.76</v>
      </c>
      <c r="N27" s="29">
        <f t="shared" si="10"/>
        <v>700032.2</v>
      </c>
      <c r="O27" s="19">
        <f t="shared" si="2"/>
        <v>33933352.11</v>
      </c>
      <c r="P27" s="20">
        <f t="shared" si="0"/>
        <v>35740453.05</v>
      </c>
      <c r="Q27" s="56"/>
    </row>
    <row r="28" spans="1:17" s="58" customFormat="1" ht="25.5">
      <c r="A28" s="22" t="s">
        <v>55</v>
      </c>
      <c r="B28" s="57" t="s">
        <v>56</v>
      </c>
      <c r="C28" s="29">
        <f>ROUND(C7-C27,2)</f>
        <v>107198.56</v>
      </c>
      <c r="D28" s="29">
        <f>ROUND(D7-D27,2)</f>
        <v>112903.69</v>
      </c>
      <c r="E28" s="29">
        <f>ROUND(E7-E27,2)</f>
        <v>661127.49</v>
      </c>
      <c r="F28" s="29">
        <f>ROUND(F7-F27,2)</f>
        <v>70069.06</v>
      </c>
      <c r="G28" s="29">
        <f>ROUND(G7-G27,2)</f>
        <v>11840</v>
      </c>
      <c r="H28" s="25">
        <f t="shared" si="1"/>
        <v>81909.06</v>
      </c>
      <c r="I28" s="29">
        <f aca="true" t="shared" si="11" ref="I28:N28">ROUND(I7-I27,2)</f>
        <v>12052.61</v>
      </c>
      <c r="J28" s="29">
        <f t="shared" si="11"/>
        <v>1269.15</v>
      </c>
      <c r="K28" s="29">
        <f t="shared" si="11"/>
        <v>7199.05</v>
      </c>
      <c r="L28" s="29">
        <f t="shared" si="11"/>
        <v>414.3</v>
      </c>
      <c r="M28" s="29">
        <f t="shared" si="11"/>
        <v>68065.24</v>
      </c>
      <c r="N28" s="29">
        <f t="shared" si="11"/>
        <v>25227.8</v>
      </c>
      <c r="O28" s="19">
        <f t="shared" si="2"/>
        <v>995457.89</v>
      </c>
      <c r="P28" s="20">
        <f t="shared" si="0"/>
        <v>1077366.95</v>
      </c>
      <c r="Q28" s="56"/>
    </row>
    <row r="29" spans="1:17" s="82" customFormat="1" ht="12.75">
      <c r="A29" s="86">
        <v>23</v>
      </c>
      <c r="B29" s="87" t="s">
        <v>43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80">
        <f t="shared" si="1"/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5">
        <f>ROUND(C29+D29+E29+I29+J29+K29+N29+L29+M29,2)</f>
        <v>0</v>
      </c>
      <c r="P29" s="76">
        <f>ROUND(H29+O29,2)</f>
        <v>0</v>
      </c>
      <c r="Q29" s="81"/>
    </row>
    <row r="30" spans="1:17" s="82" customFormat="1" ht="26.25" customHeight="1">
      <c r="A30" s="78">
        <v>24</v>
      </c>
      <c r="B30" s="79" t="s">
        <v>57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80">
        <f t="shared" si="1"/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5">
        <f t="shared" si="2"/>
        <v>0</v>
      </c>
      <c r="P30" s="76">
        <f t="shared" si="0"/>
        <v>0</v>
      </c>
      <c r="Q30" s="81"/>
    </row>
    <row r="31" spans="1:17" s="21" customFormat="1" ht="12.75">
      <c r="A31" s="22">
        <v>25</v>
      </c>
      <c r="B31" s="55" t="s">
        <v>31</v>
      </c>
      <c r="C31" s="29">
        <v>435158.71</v>
      </c>
      <c r="D31" s="29">
        <v>73865.8</v>
      </c>
      <c r="E31" s="29">
        <v>1597558.36</v>
      </c>
      <c r="F31" s="29">
        <v>130629.53</v>
      </c>
      <c r="G31" s="29">
        <v>8015</v>
      </c>
      <c r="H31" s="59">
        <f t="shared" si="1"/>
        <v>138644.53</v>
      </c>
      <c r="I31" s="29">
        <v>16542.56</v>
      </c>
      <c r="J31" s="29">
        <v>4635.24</v>
      </c>
      <c r="K31" s="29">
        <v>3586.26</v>
      </c>
      <c r="L31" s="29">
        <v>10477.3</v>
      </c>
      <c r="M31" s="29">
        <v>18289.58</v>
      </c>
      <c r="N31" s="29">
        <v>59202.57</v>
      </c>
      <c r="O31" s="19">
        <f t="shared" si="2"/>
        <v>2219316.38</v>
      </c>
      <c r="P31" s="20">
        <f t="shared" si="0"/>
        <v>2357960.91</v>
      </c>
      <c r="Q31" s="56"/>
    </row>
    <row r="32" spans="1:17" s="21" customFormat="1" ht="39" thickBot="1">
      <c r="A32" s="88" t="s">
        <v>40</v>
      </c>
      <c r="B32" s="89" t="s">
        <v>28</v>
      </c>
      <c r="C32" s="90">
        <f>ROUND((C27+C30)/12,2)</f>
        <v>545169.29</v>
      </c>
      <c r="D32" s="90">
        <f aca="true" t="shared" si="12" ref="D32:N32">ROUND((D27+D30)/12,2)</f>
        <v>94341.36</v>
      </c>
      <c r="E32" s="90">
        <f t="shared" si="12"/>
        <v>2036098.54</v>
      </c>
      <c r="F32" s="90">
        <f t="shared" si="12"/>
        <v>143006.75</v>
      </c>
      <c r="G32" s="90">
        <f t="shared" si="12"/>
        <v>7585</v>
      </c>
      <c r="H32" s="91">
        <f t="shared" si="1"/>
        <v>150591.75</v>
      </c>
      <c r="I32" s="90">
        <f t="shared" si="12"/>
        <v>13923.95</v>
      </c>
      <c r="J32" s="90">
        <f t="shared" si="12"/>
        <v>4026.74</v>
      </c>
      <c r="K32" s="90">
        <f t="shared" si="12"/>
        <v>3149.25</v>
      </c>
      <c r="L32" s="90">
        <f t="shared" si="12"/>
        <v>8615.48</v>
      </c>
      <c r="M32" s="90">
        <f t="shared" si="12"/>
        <v>64118.73</v>
      </c>
      <c r="N32" s="90">
        <f t="shared" si="12"/>
        <v>58336.02</v>
      </c>
      <c r="O32" s="92">
        <f t="shared" si="2"/>
        <v>2827779.36</v>
      </c>
      <c r="P32" s="93">
        <f t="shared" si="0"/>
        <v>2978371.11</v>
      </c>
      <c r="Q32" s="56"/>
    </row>
    <row r="33" spans="1:17" s="61" customFormat="1" ht="12.75">
      <c r="A33" s="62"/>
      <c r="B33" s="63"/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6"/>
      <c r="Q33" s="60"/>
    </row>
    <row r="34" spans="1:13" ht="15.75">
      <c r="A34" s="77"/>
      <c r="B34" s="67"/>
      <c r="C34" s="67"/>
      <c r="E34" s="67"/>
      <c r="F34" s="26"/>
      <c r="G34" s="70"/>
      <c r="H34" s="68"/>
      <c r="L34" s="70"/>
      <c r="M34" s="70"/>
    </row>
    <row r="35" spans="1:16" ht="15.75">
      <c r="A35" s="21"/>
      <c r="B35" s="21"/>
      <c r="C35" s="67"/>
      <c r="E35" s="67"/>
      <c r="F35" s="26"/>
      <c r="G35" s="70"/>
      <c r="J35" s="69"/>
      <c r="K35" s="67"/>
      <c r="L35" s="71"/>
      <c r="M35" s="70"/>
      <c r="N35" s="21"/>
      <c r="O35" s="21"/>
      <c r="P35" s="21"/>
    </row>
    <row r="36" spans="4:17" ht="15.75">
      <c r="D36" s="67"/>
      <c r="E36" s="26"/>
      <c r="K36" s="67"/>
      <c r="L36" s="71"/>
      <c r="M36" s="70"/>
      <c r="N36" s="71"/>
      <c r="O36" s="71"/>
      <c r="P36" s="71"/>
      <c r="Q36" s="71"/>
    </row>
    <row r="37" spans="4:17" ht="15.75">
      <c r="D37" s="67"/>
      <c r="K37" s="67"/>
      <c r="N37" s="71"/>
      <c r="O37" s="71"/>
      <c r="P37" s="71"/>
      <c r="Q37" s="71"/>
    </row>
    <row r="38" spans="14:17" ht="15.75">
      <c r="N38" s="71"/>
      <c r="O38" s="71"/>
      <c r="P38" s="71"/>
      <c r="Q38" s="71"/>
    </row>
    <row r="39" ht="15.75">
      <c r="H39" s="67"/>
    </row>
  </sheetData>
  <mergeCells count="2">
    <mergeCell ref="A2:P2"/>
    <mergeCell ref="A3:P3"/>
  </mergeCells>
  <printOptions/>
  <pageMargins left="0.17" right="0.17" top="0.18" bottom="0.16" header="0.19" footer="0.16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cp:lastPrinted>2019-11-06T08:48:30Z</cp:lastPrinted>
  <dcterms:created xsi:type="dcterms:W3CDTF">2019-01-29T08:53:27Z</dcterms:created>
  <dcterms:modified xsi:type="dcterms:W3CDTF">2020-10-28T09:03:53Z</dcterms:modified>
  <cp:category/>
  <cp:version/>
  <cp:contentType/>
  <cp:contentStatus/>
</cp:coreProperties>
</file>