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'Foaie1'!$A:$C</definedName>
  </definedNames>
  <calcPr fullCalcOnLoad="1"/>
</workbook>
</file>

<file path=xl/sharedStrings.xml><?xml version="1.0" encoding="utf-8"?>
<sst xmlns="http://schemas.openxmlformats.org/spreadsheetml/2006/main" count="123" uniqueCount="72">
  <si>
    <t>CASA DE ASIGURARI DE SANATATE OLT</t>
  </si>
  <si>
    <t xml:space="preserve">1. Materiale sanitare specifice utilizate în programele naţionale cu scop curativ </t>
  </si>
  <si>
    <t>Nr. Crt.</t>
  </si>
  <si>
    <t>Denumire Program/ Subprogram national de sanatate</t>
  </si>
  <si>
    <t>DENUMIRE UNITATE SANITARA</t>
  </si>
  <si>
    <t>Program Ortopedie - endoprotezaţi adulţi, din care:</t>
  </si>
  <si>
    <t>Spital Judetean de Urgenta Slatina</t>
  </si>
  <si>
    <t>Spital Municipal Caracal</t>
  </si>
  <si>
    <t>TOTAL  ORTOPEDIE</t>
  </si>
  <si>
    <t>2. Medicamente pentru boli cronice cu risc crescut utilizate în programele naţionale cu scop curativ</t>
  </si>
  <si>
    <t>Programul naţional de oncologie - activitate curentă, din care:</t>
  </si>
  <si>
    <t>TOTAL ONCOLOGIE - ACTIVITATE CURENTA</t>
  </si>
  <si>
    <t>TOTAL ONCOLOGIE - COST VOLUM</t>
  </si>
  <si>
    <t>Programul naţional de diagnostic şi tratament pentru HEMOFILIE ŞI TALASEMIE (SPITAL SLATINA), din care:</t>
  </si>
  <si>
    <t>Spital Judetean de Urgenta Slatina: Hemofilie cu substitutie "on demand"</t>
  </si>
  <si>
    <t>Spital Judetean de Urgenta Slatina: Hemofilie profilaxie continuă</t>
  </si>
  <si>
    <t>Spital Judetean de Urgenta Slatina: Talasemie</t>
  </si>
  <si>
    <t>TOTAL HEMOFILIE/TALASEMIE</t>
  </si>
  <si>
    <t>Programul naţional de diagnostic şi tratament pentru boli rare, din care:</t>
  </si>
  <si>
    <t xml:space="preserve">Spital Municipal Caracal: Tirozinemie </t>
  </si>
  <si>
    <t xml:space="preserve">Spital Judetean de Urgenta Slatina: Boala Hunter </t>
  </si>
  <si>
    <t>Spital Judetean de Urgenta Slatina: Boala Fabry</t>
  </si>
  <si>
    <t>TOTAL BOLI RARE</t>
  </si>
  <si>
    <t>Programul național de boli endocrine - Osteoporoză</t>
  </si>
  <si>
    <t>TOTAL OSTEOPOROZA</t>
  </si>
  <si>
    <t>TOTAL VALOARE CONTRACT PNS MEDICAMENTE, din care:</t>
  </si>
  <si>
    <t>Spital Jud. Urgenta Slatina</t>
  </si>
  <si>
    <t>TOTAL GENERAL VALOARE DE CONTRACT PNS (MEDICAMENTE + MATERIALE SANITARE), din care:</t>
  </si>
  <si>
    <t>Programul naţional de oncologie - DCI medicamente contracte cost volum</t>
  </si>
  <si>
    <t>TOTAL GENERAL AN 2020</t>
  </si>
  <si>
    <t>Program Diabet zaharat - seturi consumabile pentru pompe de insulină</t>
  </si>
  <si>
    <t>TOTAL DIABET ZAHARAT- CONSUMABILE POMPE</t>
  </si>
  <si>
    <t>TOTAL PNS MATERIALE SANITARE 2020</t>
  </si>
  <si>
    <t>TOTAL VALOARE CONTRACT AN 2020 INITIALA</t>
  </si>
  <si>
    <t>TOTAL VALOARE CONTRACT TRIM. I 2020 INITIALA</t>
  </si>
  <si>
    <t>CONTRACT REALIZAT IANUARIE 2020</t>
  </si>
  <si>
    <t>CONTRACT REALIZAT FEBRUARIE 2020</t>
  </si>
  <si>
    <t>CONTRACT REALIZAT MARTIE 2020</t>
  </si>
  <si>
    <t>TOTAL  CONTRACT REALIZAT TRIM. I 2020 (FINAL)</t>
  </si>
  <si>
    <t>ECONOMII LA DATA DE 31.03.2020</t>
  </si>
  <si>
    <t xml:space="preserve">TOTAL VALOARE CONTRACT TRIM. II 2020 INITIALA </t>
  </si>
  <si>
    <t>CONTRACT REALIZAT APRILIE 2020</t>
  </si>
  <si>
    <t>CONTRACT REALIZAT MAI 2020</t>
  </si>
  <si>
    <t xml:space="preserve">VALOARE INITIALA CONTRACT IUNIE 2020  </t>
  </si>
  <si>
    <t>CONTRACT REALIZAT IUNIE 2020</t>
  </si>
  <si>
    <t>TOTAL  CONTRACT REALIZAT TRIM. II 2020 (FINAL)</t>
  </si>
  <si>
    <t>ECONOMII LA DATA DE 30.06.2020</t>
  </si>
  <si>
    <t xml:space="preserve">TOTAL VALOARE CONTRACT TRIM. III 2020 INITIALA </t>
  </si>
  <si>
    <t>CONTRACT REALIZAT IULIE 2020</t>
  </si>
  <si>
    <t>CONTRACT REALIZAT AUGUST 2020</t>
  </si>
  <si>
    <t xml:space="preserve">TOTAL VALOARE CONTRACT TRIM. IV 2020 INITIALA </t>
  </si>
  <si>
    <t>TOTAL VALOARE CONTRACT AN 2020 FINALA</t>
  </si>
  <si>
    <t>8=5+6+7</t>
  </si>
  <si>
    <t>9=4-8</t>
  </si>
  <si>
    <t>15=11+12+14</t>
  </si>
  <si>
    <t>16=9+10-15</t>
  </si>
  <si>
    <t>TOTAL PNS MEDICAMENTE</t>
  </si>
  <si>
    <t>CONTRACT REALIZAT SEPTEMB 2020</t>
  </si>
  <si>
    <t>TOTAL  CONTRACT REALIZAT TRIM. III 2020 (FINAL)</t>
  </si>
  <si>
    <t>ECONOMII LA DATA DE 30.09.2020</t>
  </si>
  <si>
    <t>21=18+19+20</t>
  </si>
  <si>
    <t>22=16+17-21</t>
  </si>
  <si>
    <t>ANEXA</t>
  </si>
  <si>
    <t>SITUAŢIA SUMELOR CONTRACTATE/ REALIZATE CU UNITĂŢILE SANITARE CU PATURI PENTRU DERULAREA PNS IN ANUL 2020, CA URMARE A VALIDARII CERERILOR JUSTIFICATIVE RAPORTATE PENTRU LUNA DECEMBRIE 2020, CONFORM CREDITELOR DE ANGAJAMENT APROBATE PRIN ADRESA CNAS NR. P11264/23.12.2020</t>
  </si>
  <si>
    <t>CONTRACT REALIZAT OCTOMB 2020</t>
  </si>
  <si>
    <t>CONTRACT REALIZAT NOV. 2020</t>
  </si>
  <si>
    <t>CONTRACT REALIZAT DEC. 2020</t>
  </si>
  <si>
    <t>TOTAL  CONTRACT REALIZAT TRIM. IV 2020 (FINAL)</t>
  </si>
  <si>
    <t>ECONOMII LA DATA DE 31.12.2020</t>
  </si>
  <si>
    <t>27=24+25+26</t>
  </si>
  <si>
    <t>28=8+15+21+ 27</t>
  </si>
  <si>
    <t>29=28-3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</si>
</sst>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0" fontId="4" fillId="0" borderId="3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40" fontId="5" fillId="0" borderId="3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vertical="top"/>
    </xf>
    <xf numFmtId="4" fontId="4" fillId="3" borderId="5" xfId="0" applyNumberFormat="1" applyFont="1" applyFill="1" applyBorder="1" applyAlignment="1">
      <alignment horizontal="right" vertical="top"/>
    </xf>
    <xf numFmtId="1" fontId="5" fillId="3" borderId="4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/>
    </xf>
    <xf numFmtId="4" fontId="2" fillId="0" borderId="0" xfId="0" applyNumberFormat="1" applyFont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" fontId="4" fillId="3" borderId="3" xfId="0" applyNumberFormat="1" applyFont="1" applyFill="1" applyBorder="1" applyAlignment="1">
      <alignment vertical="top"/>
    </xf>
    <xf numFmtId="4" fontId="5" fillId="0" borderId="3" xfId="0" applyNumberFormat="1" applyFont="1" applyFill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3" borderId="5" xfId="0" applyNumberFormat="1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right" vertical="top"/>
    </xf>
    <xf numFmtId="4" fontId="5" fillId="0" borderId="3" xfId="0" applyNumberFormat="1" applyFont="1" applyFill="1" applyBorder="1" applyAlignment="1">
      <alignment vertical="top"/>
    </xf>
    <xf numFmtId="0" fontId="4" fillId="0" borderId="0" xfId="0" applyNumberFormat="1" applyFont="1" applyAlignment="1">
      <alignment vertical="top" wrapText="1"/>
    </xf>
    <xf numFmtId="4" fontId="4" fillId="3" borderId="3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vertical="top"/>
    </xf>
    <xf numFmtId="4" fontId="5" fillId="0" borderId="3" xfId="0" applyNumberFormat="1" applyFont="1" applyFill="1" applyBorder="1" applyAlignment="1">
      <alignment horizontal="right" vertical="top"/>
    </xf>
    <xf numFmtId="4" fontId="5" fillId="0" borderId="3" xfId="0" applyNumberFormat="1" applyFont="1" applyBorder="1" applyAlignment="1">
      <alignment vertical="top"/>
    </xf>
    <xf numFmtId="0" fontId="5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4" fontId="4" fillId="3" borderId="8" xfId="0" applyNumberFormat="1" applyFont="1" applyFill="1" applyBorder="1" applyAlignment="1">
      <alignment vertical="top"/>
    </xf>
    <xf numFmtId="4" fontId="4" fillId="3" borderId="9" xfId="0" applyNumberFormat="1" applyFont="1" applyFill="1" applyBorder="1" applyAlignment="1">
      <alignment vertical="top"/>
    </xf>
    <xf numFmtId="4" fontId="4" fillId="3" borderId="5" xfId="0" applyNumberFormat="1" applyFont="1" applyFill="1" applyBorder="1" applyAlignment="1">
      <alignment vertical="top"/>
    </xf>
    <xf numFmtId="1" fontId="5" fillId="3" borderId="7" xfId="0" applyNumberFormat="1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3" borderId="3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40" fontId="4" fillId="0" borderId="3" xfId="0" applyNumberFormat="1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40" fontId="4" fillId="0" borderId="3" xfId="0" applyNumberFormat="1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workbookViewId="0" topLeftCell="O31">
      <selection activeCell="V47" sqref="V47"/>
    </sheetView>
  </sheetViews>
  <sheetFormatPr defaultColWidth="9.140625" defaultRowHeight="12.75"/>
  <cols>
    <col min="1" max="1" width="4.8515625" style="26" customWidth="1"/>
    <col min="2" max="2" width="38.421875" style="2" customWidth="1"/>
    <col min="3" max="3" width="29.00390625" style="2" customWidth="1"/>
    <col min="4" max="4" width="15.57421875" style="2" customWidth="1"/>
    <col min="5" max="5" width="13.28125" style="2" customWidth="1"/>
    <col min="6" max="6" width="11.57421875" style="2" customWidth="1"/>
    <col min="7" max="7" width="11.421875" style="57" customWidth="1"/>
    <col min="8" max="8" width="12.8515625" style="2" customWidth="1"/>
    <col min="9" max="10" width="12.7109375" style="2" customWidth="1"/>
    <col min="11" max="13" width="13.421875" style="2" customWidth="1"/>
    <col min="14" max="14" width="14.00390625" style="2" customWidth="1"/>
    <col min="15" max="15" width="13.28125" style="2" bestFit="1" customWidth="1"/>
    <col min="16" max="16" width="14.57421875" style="2" customWidth="1"/>
    <col min="17" max="17" width="14.140625" style="2" customWidth="1"/>
    <col min="18" max="18" width="13.8515625" style="57" customWidth="1"/>
    <col min="19" max="19" width="11.140625" style="57" customWidth="1"/>
    <col min="20" max="20" width="11.57421875" style="57" customWidth="1"/>
    <col min="21" max="23" width="13.28125" style="57" customWidth="1"/>
    <col min="24" max="24" width="12.8515625" style="57" customWidth="1"/>
    <col min="25" max="25" width="11.7109375" style="57" customWidth="1"/>
    <col min="26" max="26" width="11.421875" style="57" customWidth="1"/>
    <col min="27" max="27" width="12.57421875" style="57" customWidth="1"/>
    <col min="28" max="28" width="12.28125" style="57" customWidth="1"/>
    <col min="29" max="29" width="12.421875" style="2" customWidth="1"/>
    <col min="30" max="30" width="11.7109375" style="2" customWidth="1"/>
    <col min="31" max="31" width="9.140625" style="2" customWidth="1"/>
    <col min="32" max="32" width="9.28125" style="2" bestFit="1" customWidth="1"/>
    <col min="33" max="16384" width="9.140625" style="2" customWidth="1"/>
  </cols>
  <sheetData>
    <row r="1" spans="1:16" ht="13.5" customHeight="1">
      <c r="A1" s="1" t="s">
        <v>0</v>
      </c>
      <c r="C1" s="3"/>
      <c r="D1" s="3"/>
      <c r="P1" s="58" t="s">
        <v>62</v>
      </c>
    </row>
    <row r="2" spans="1:4" ht="9.75" customHeight="1">
      <c r="A2" s="1"/>
      <c r="C2" s="3"/>
      <c r="D2" s="3"/>
    </row>
    <row r="3" spans="1:30" ht="45.75" customHeight="1">
      <c r="A3" s="59"/>
      <c r="B3" s="52"/>
      <c r="C3" s="52"/>
      <c r="D3" s="88" t="s">
        <v>63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52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2"/>
      <c r="AD3" s="52"/>
    </row>
    <row r="4" ht="16.5" thickBot="1">
      <c r="A4" s="1" t="s">
        <v>1</v>
      </c>
    </row>
    <row r="5" spans="1:30" s="6" customFormat="1" ht="68.25" customHeight="1">
      <c r="A5" s="28" t="s">
        <v>2</v>
      </c>
      <c r="B5" s="22" t="s">
        <v>3</v>
      </c>
      <c r="C5" s="22" t="s">
        <v>4</v>
      </c>
      <c r="D5" s="60" t="s">
        <v>33</v>
      </c>
      <c r="E5" s="41" t="s">
        <v>34</v>
      </c>
      <c r="F5" s="42" t="s">
        <v>35</v>
      </c>
      <c r="G5" s="42" t="s">
        <v>36</v>
      </c>
      <c r="H5" s="42" t="s">
        <v>37</v>
      </c>
      <c r="I5" s="41" t="s">
        <v>38</v>
      </c>
      <c r="J5" s="41" t="s">
        <v>39</v>
      </c>
      <c r="K5" s="41" t="s">
        <v>40</v>
      </c>
      <c r="L5" s="42" t="s">
        <v>41</v>
      </c>
      <c r="M5" s="42" t="s">
        <v>42</v>
      </c>
      <c r="N5" s="42" t="s">
        <v>43</v>
      </c>
      <c r="O5" s="42" t="s">
        <v>44</v>
      </c>
      <c r="P5" s="41" t="s">
        <v>45</v>
      </c>
      <c r="Q5" s="41" t="s">
        <v>46</v>
      </c>
      <c r="R5" s="42" t="s">
        <v>47</v>
      </c>
      <c r="S5" s="42" t="s">
        <v>48</v>
      </c>
      <c r="T5" s="42" t="s">
        <v>49</v>
      </c>
      <c r="U5" s="42" t="s">
        <v>57</v>
      </c>
      <c r="V5" s="41" t="s">
        <v>58</v>
      </c>
      <c r="W5" s="41" t="s">
        <v>59</v>
      </c>
      <c r="X5" s="42" t="s">
        <v>50</v>
      </c>
      <c r="Y5" s="42" t="s">
        <v>64</v>
      </c>
      <c r="Z5" s="42" t="s">
        <v>65</v>
      </c>
      <c r="AA5" s="42" t="s">
        <v>66</v>
      </c>
      <c r="AB5" s="41" t="s">
        <v>67</v>
      </c>
      <c r="AC5" s="41" t="s">
        <v>51</v>
      </c>
      <c r="AD5" s="38" t="s">
        <v>68</v>
      </c>
    </row>
    <row r="6" spans="1:30" s="7" customFormat="1" ht="27">
      <c r="A6" s="29">
        <v>0</v>
      </c>
      <c r="B6" s="30">
        <v>1</v>
      </c>
      <c r="C6" s="30">
        <v>2</v>
      </c>
      <c r="D6" s="61">
        <v>3</v>
      </c>
      <c r="E6" s="43">
        <v>4</v>
      </c>
      <c r="F6" s="44">
        <v>5</v>
      </c>
      <c r="G6" s="44">
        <v>6</v>
      </c>
      <c r="H6" s="45">
        <v>7</v>
      </c>
      <c r="I6" s="43" t="s">
        <v>52</v>
      </c>
      <c r="J6" s="43" t="s">
        <v>53</v>
      </c>
      <c r="K6" s="43">
        <v>10</v>
      </c>
      <c r="L6" s="44">
        <v>11</v>
      </c>
      <c r="M6" s="44">
        <v>12</v>
      </c>
      <c r="N6" s="44">
        <v>13</v>
      </c>
      <c r="O6" s="44">
        <v>14</v>
      </c>
      <c r="P6" s="61" t="s">
        <v>54</v>
      </c>
      <c r="Q6" s="43" t="s">
        <v>55</v>
      </c>
      <c r="R6" s="44">
        <v>17</v>
      </c>
      <c r="S6" s="44">
        <v>18</v>
      </c>
      <c r="T6" s="44">
        <v>19</v>
      </c>
      <c r="U6" s="62">
        <v>20</v>
      </c>
      <c r="V6" s="79" t="s">
        <v>60</v>
      </c>
      <c r="W6" s="79" t="s">
        <v>61</v>
      </c>
      <c r="X6" s="44">
        <v>23</v>
      </c>
      <c r="Y6" s="44">
        <v>24</v>
      </c>
      <c r="Z6" s="44">
        <v>25</v>
      </c>
      <c r="AA6" s="44">
        <v>26</v>
      </c>
      <c r="AB6" s="43" t="s">
        <v>69</v>
      </c>
      <c r="AC6" s="61" t="s">
        <v>70</v>
      </c>
      <c r="AD6" s="39" t="s">
        <v>71</v>
      </c>
    </row>
    <row r="7" spans="1:32" s="6" customFormat="1" ht="15" customHeight="1">
      <c r="A7" s="86">
        <v>1</v>
      </c>
      <c r="B7" s="85" t="s">
        <v>5</v>
      </c>
      <c r="C7" s="31" t="s">
        <v>6</v>
      </c>
      <c r="D7" s="53">
        <v>479650</v>
      </c>
      <c r="E7" s="46">
        <v>90000</v>
      </c>
      <c r="F7" s="47">
        <v>53908.13</v>
      </c>
      <c r="G7" s="47">
        <v>0</v>
      </c>
      <c r="H7" s="48">
        <v>26888.28</v>
      </c>
      <c r="I7" s="53">
        <f>ROUND(F7+G7+H7,2)</f>
        <v>80796.41</v>
      </c>
      <c r="J7" s="53">
        <f>ROUND(E7-I7,2)</f>
        <v>9203.59</v>
      </c>
      <c r="K7" s="53">
        <f>75000+70000</f>
        <v>145000</v>
      </c>
      <c r="L7" s="63">
        <v>0</v>
      </c>
      <c r="M7" s="63">
        <v>0</v>
      </c>
      <c r="N7" s="63">
        <f>ROUND(J7+K7-L7-M7,2)</f>
        <v>154203.59</v>
      </c>
      <c r="O7" s="63">
        <v>139161.39</v>
      </c>
      <c r="P7" s="53">
        <f>ROUND(L7+M7+O7,2)</f>
        <v>139161.39</v>
      </c>
      <c r="Q7" s="53">
        <f>ROUND(J7+K7-P7,2)</f>
        <v>15042.2</v>
      </c>
      <c r="R7" s="63">
        <f>59650+185000</f>
        <v>244650</v>
      </c>
      <c r="S7" s="63">
        <v>0</v>
      </c>
      <c r="T7" s="63">
        <v>39436.6</v>
      </c>
      <c r="U7" s="63">
        <v>23042.6</v>
      </c>
      <c r="V7" s="53">
        <f>ROUND(S7+T7+U7,2)</f>
        <v>62479.2</v>
      </c>
      <c r="W7" s="53">
        <f>ROUND(Q7+R7-V7,2)</f>
        <v>197213</v>
      </c>
      <c r="X7" s="63">
        <v>0</v>
      </c>
      <c r="Y7" s="63">
        <v>0</v>
      </c>
      <c r="Z7" s="47">
        <v>42569.95</v>
      </c>
      <c r="AA7" s="47">
        <v>151596.11</v>
      </c>
      <c r="AB7" s="53">
        <f>ROUND(Y7+Z7+AA7,2)</f>
        <v>194166.06</v>
      </c>
      <c r="AC7" s="53">
        <f>ROUND(I7+P7+V7+AB7,2)</f>
        <v>476603.06</v>
      </c>
      <c r="AD7" s="49">
        <f>ROUND(AC7-D7,2)</f>
        <v>-3046.94</v>
      </c>
      <c r="AF7" s="54"/>
    </row>
    <row r="8" spans="1:32" s="6" customFormat="1" ht="12.75">
      <c r="A8" s="86"/>
      <c r="B8" s="85"/>
      <c r="C8" s="31" t="s">
        <v>7</v>
      </c>
      <c r="D8" s="53">
        <v>130000</v>
      </c>
      <c r="E8" s="46">
        <v>35000</v>
      </c>
      <c r="F8" s="47">
        <v>19809.19</v>
      </c>
      <c r="G8" s="47">
        <v>7180.82</v>
      </c>
      <c r="H8" s="48">
        <v>7983.43</v>
      </c>
      <c r="I8" s="53">
        <f>ROUND(F8+G8+H8,2)</f>
        <v>34973.44</v>
      </c>
      <c r="J8" s="53">
        <f>ROUND(E8-I8,2)</f>
        <v>26.56</v>
      </c>
      <c r="K8" s="53">
        <f>25000+30000</f>
        <v>55000</v>
      </c>
      <c r="L8" s="63">
        <v>24899.67</v>
      </c>
      <c r="M8" s="63">
        <v>29879.25</v>
      </c>
      <c r="N8" s="63">
        <f>ROUND(J8+K8-L8-M8,2)</f>
        <v>247.64</v>
      </c>
      <c r="O8" s="63">
        <v>0</v>
      </c>
      <c r="P8" s="53">
        <f>ROUND(L8+M8+O8,2)</f>
        <v>54778.92</v>
      </c>
      <c r="Q8" s="53">
        <f>ROUND(J8+K8-P8,2)</f>
        <v>247.64</v>
      </c>
      <c r="R8" s="63">
        <f>10000+30000</f>
        <v>40000</v>
      </c>
      <c r="S8" s="63">
        <v>0</v>
      </c>
      <c r="T8" s="63">
        <v>5777</v>
      </c>
      <c r="U8" s="63">
        <v>32876.31</v>
      </c>
      <c r="V8" s="53">
        <f>ROUND(S8+T8+U8,2)</f>
        <v>38653.31</v>
      </c>
      <c r="W8" s="53">
        <f>ROUND(Q8+R8-V8,2)</f>
        <v>1594.33</v>
      </c>
      <c r="X8" s="63">
        <v>0</v>
      </c>
      <c r="Y8" s="63">
        <v>0</v>
      </c>
      <c r="Z8" s="47">
        <v>0</v>
      </c>
      <c r="AA8" s="47">
        <v>1417</v>
      </c>
      <c r="AB8" s="53">
        <f>ROUND(Y8+Z8+AA8,2)</f>
        <v>1417</v>
      </c>
      <c r="AC8" s="53">
        <f>ROUND(I8+P8+V8+AB8,2)</f>
        <v>129822.67</v>
      </c>
      <c r="AD8" s="49">
        <f>ROUND(AC8-D8,2)</f>
        <v>-177.33</v>
      </c>
      <c r="AF8" s="54"/>
    </row>
    <row r="9" spans="1:32" s="6" customFormat="1" ht="12.75">
      <c r="A9" s="32"/>
      <c r="B9" s="20" t="s">
        <v>8</v>
      </c>
      <c r="C9" s="21"/>
      <c r="D9" s="53">
        <f aca="true" t="shared" si="0" ref="D9:AD9">SUM(D7:D8)</f>
        <v>609650</v>
      </c>
      <c r="E9" s="50">
        <f t="shared" si="0"/>
        <v>125000</v>
      </c>
      <c r="F9" s="50">
        <f t="shared" si="0"/>
        <v>73717.31999999999</v>
      </c>
      <c r="G9" s="50">
        <f t="shared" si="0"/>
        <v>7180.82</v>
      </c>
      <c r="H9" s="50">
        <f t="shared" si="0"/>
        <v>34871.71</v>
      </c>
      <c r="I9" s="50">
        <f t="shared" si="0"/>
        <v>115769.85</v>
      </c>
      <c r="J9" s="50">
        <f t="shared" si="0"/>
        <v>9230.15</v>
      </c>
      <c r="K9" s="50">
        <f t="shared" si="0"/>
        <v>200000</v>
      </c>
      <c r="L9" s="50">
        <f t="shared" si="0"/>
        <v>24899.67</v>
      </c>
      <c r="M9" s="50">
        <f t="shared" si="0"/>
        <v>29879.25</v>
      </c>
      <c r="N9" s="50">
        <f t="shared" si="0"/>
        <v>154451.23</v>
      </c>
      <c r="O9" s="50">
        <f t="shared" si="0"/>
        <v>139161.39</v>
      </c>
      <c r="P9" s="50">
        <f t="shared" si="0"/>
        <v>193940.31</v>
      </c>
      <c r="Q9" s="50">
        <f t="shared" si="0"/>
        <v>15289.84</v>
      </c>
      <c r="R9" s="50">
        <f t="shared" si="0"/>
        <v>284650</v>
      </c>
      <c r="S9" s="50">
        <f t="shared" si="0"/>
        <v>0</v>
      </c>
      <c r="T9" s="50">
        <f t="shared" si="0"/>
        <v>45213.6</v>
      </c>
      <c r="U9" s="50">
        <f t="shared" si="0"/>
        <v>55918.909999999996</v>
      </c>
      <c r="V9" s="50">
        <f t="shared" si="0"/>
        <v>101132.51</v>
      </c>
      <c r="W9" s="50">
        <f t="shared" si="0"/>
        <v>198807.33</v>
      </c>
      <c r="X9" s="50">
        <f t="shared" si="0"/>
        <v>0</v>
      </c>
      <c r="Y9" s="50">
        <f t="shared" si="0"/>
        <v>0</v>
      </c>
      <c r="Z9" s="50">
        <f t="shared" si="0"/>
        <v>42569.95</v>
      </c>
      <c r="AA9" s="50">
        <f t="shared" si="0"/>
        <v>153013.11</v>
      </c>
      <c r="AB9" s="50">
        <f t="shared" si="0"/>
        <v>195583.06</v>
      </c>
      <c r="AC9" s="50">
        <f t="shared" si="0"/>
        <v>606425.73</v>
      </c>
      <c r="AD9" s="18">
        <f t="shared" si="0"/>
        <v>-3224.27</v>
      </c>
      <c r="AF9" s="54"/>
    </row>
    <row r="10" spans="1:32" s="15" customFormat="1" ht="25.5">
      <c r="A10" s="55">
        <v>2</v>
      </c>
      <c r="B10" s="34" t="s">
        <v>30</v>
      </c>
      <c r="C10" s="31" t="s">
        <v>6</v>
      </c>
      <c r="D10" s="53">
        <v>30000</v>
      </c>
      <c r="E10" s="50">
        <v>0</v>
      </c>
      <c r="F10" s="64">
        <v>0</v>
      </c>
      <c r="G10" s="65">
        <v>0</v>
      </c>
      <c r="H10" s="51">
        <v>0</v>
      </c>
      <c r="I10" s="53">
        <f>ROUND(F10+G10+H10,2)</f>
        <v>0</v>
      </c>
      <c r="J10" s="53">
        <f>ROUND(E10-I10,2)</f>
        <v>0</v>
      </c>
      <c r="K10" s="53">
        <v>60000</v>
      </c>
      <c r="L10" s="63">
        <v>0</v>
      </c>
      <c r="M10" s="63">
        <v>0</v>
      </c>
      <c r="N10" s="63">
        <f>ROUND(J10+K10-L10-M10,2)</f>
        <v>60000</v>
      </c>
      <c r="O10" s="63">
        <v>24621.58</v>
      </c>
      <c r="P10" s="53">
        <f>ROUND(L10+M10+O10,2)</f>
        <v>24621.58</v>
      </c>
      <c r="Q10" s="53">
        <f>ROUND(J10+K10-P10,2)</f>
        <v>35378.42</v>
      </c>
      <c r="R10" s="63">
        <v>60000</v>
      </c>
      <c r="S10" s="63">
        <v>0</v>
      </c>
      <c r="T10" s="63">
        <v>0</v>
      </c>
      <c r="U10" s="63">
        <v>0</v>
      </c>
      <c r="V10" s="53">
        <f>ROUND(S10+T10+U10,2)</f>
        <v>0</v>
      </c>
      <c r="W10" s="53">
        <v>5378.42</v>
      </c>
      <c r="X10" s="63">
        <v>0</v>
      </c>
      <c r="Y10" s="47">
        <v>0</v>
      </c>
      <c r="Z10" s="47">
        <v>0</v>
      </c>
      <c r="AA10" s="47">
        <v>5129.5</v>
      </c>
      <c r="AB10" s="53">
        <f>ROUND(Y10+Z10+AA10,2)</f>
        <v>5129.5</v>
      </c>
      <c r="AC10" s="53">
        <f>ROUND(I10+P10+V10+AB10,2)</f>
        <v>29751.08</v>
      </c>
      <c r="AD10" s="49">
        <f>ROUND(AC10-D10,2)</f>
        <v>-248.92</v>
      </c>
      <c r="AF10" s="54"/>
    </row>
    <row r="11" spans="1:32" s="6" customFormat="1" ht="12.75">
      <c r="A11" s="32"/>
      <c r="B11" s="20" t="s">
        <v>31</v>
      </c>
      <c r="C11" s="21"/>
      <c r="D11" s="50">
        <f>SUM(D10)</f>
        <v>30000</v>
      </c>
      <c r="E11" s="50">
        <f aca="true" t="shared" si="1" ref="E11:AD11">SUM(E10)</f>
        <v>0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50">
        <f t="shared" si="1"/>
        <v>0</v>
      </c>
      <c r="K11" s="50">
        <f t="shared" si="1"/>
        <v>60000</v>
      </c>
      <c r="L11" s="50">
        <f t="shared" si="1"/>
        <v>0</v>
      </c>
      <c r="M11" s="50">
        <f t="shared" si="1"/>
        <v>0</v>
      </c>
      <c r="N11" s="50">
        <f t="shared" si="1"/>
        <v>60000</v>
      </c>
      <c r="O11" s="50">
        <f t="shared" si="1"/>
        <v>24621.58</v>
      </c>
      <c r="P11" s="50">
        <f t="shared" si="1"/>
        <v>24621.58</v>
      </c>
      <c r="Q11" s="50">
        <f t="shared" si="1"/>
        <v>35378.42</v>
      </c>
      <c r="R11" s="50">
        <f t="shared" si="1"/>
        <v>60000</v>
      </c>
      <c r="S11" s="50">
        <f t="shared" si="1"/>
        <v>0</v>
      </c>
      <c r="T11" s="50">
        <f t="shared" si="1"/>
        <v>0</v>
      </c>
      <c r="U11" s="50">
        <f t="shared" si="1"/>
        <v>0</v>
      </c>
      <c r="V11" s="50">
        <f t="shared" si="1"/>
        <v>0</v>
      </c>
      <c r="W11" s="50">
        <f t="shared" si="1"/>
        <v>5378.42</v>
      </c>
      <c r="X11" s="50">
        <f t="shared" si="1"/>
        <v>0</v>
      </c>
      <c r="Y11" s="50">
        <f t="shared" si="1"/>
        <v>0</v>
      </c>
      <c r="Z11" s="50">
        <f t="shared" si="1"/>
        <v>0</v>
      </c>
      <c r="AA11" s="50">
        <f t="shared" si="1"/>
        <v>5129.5</v>
      </c>
      <c r="AB11" s="50">
        <f t="shared" si="1"/>
        <v>5129.5</v>
      </c>
      <c r="AC11" s="50">
        <f t="shared" si="1"/>
        <v>29751.08</v>
      </c>
      <c r="AD11" s="18">
        <f t="shared" si="1"/>
        <v>-248.92</v>
      </c>
      <c r="AF11" s="54"/>
    </row>
    <row r="12" spans="1:32" s="6" customFormat="1" ht="12.75" customHeight="1">
      <c r="A12" s="87"/>
      <c r="B12" s="81" t="s">
        <v>25</v>
      </c>
      <c r="C12" s="31" t="s">
        <v>6</v>
      </c>
      <c r="D12" s="53">
        <f>ROUND(D7+D10,2)</f>
        <v>509650</v>
      </c>
      <c r="E12" s="53">
        <f aca="true" t="shared" si="2" ref="E12:AD12">ROUND(E7+E10,2)</f>
        <v>90000</v>
      </c>
      <c r="F12" s="53">
        <f t="shared" si="2"/>
        <v>53908.13</v>
      </c>
      <c r="G12" s="53">
        <f t="shared" si="2"/>
        <v>0</v>
      </c>
      <c r="H12" s="53">
        <f t="shared" si="2"/>
        <v>26888.28</v>
      </c>
      <c r="I12" s="53">
        <f t="shared" si="2"/>
        <v>80796.41</v>
      </c>
      <c r="J12" s="53">
        <f t="shared" si="2"/>
        <v>9203.59</v>
      </c>
      <c r="K12" s="53">
        <f t="shared" si="2"/>
        <v>205000</v>
      </c>
      <c r="L12" s="53">
        <f t="shared" si="2"/>
        <v>0</v>
      </c>
      <c r="M12" s="53">
        <f t="shared" si="2"/>
        <v>0</v>
      </c>
      <c r="N12" s="53">
        <f t="shared" si="2"/>
        <v>214203.59</v>
      </c>
      <c r="O12" s="53">
        <f t="shared" si="2"/>
        <v>163782.97</v>
      </c>
      <c r="P12" s="53">
        <f t="shared" si="2"/>
        <v>163782.97</v>
      </c>
      <c r="Q12" s="53">
        <f t="shared" si="2"/>
        <v>50420.62</v>
      </c>
      <c r="R12" s="53">
        <f t="shared" si="2"/>
        <v>304650</v>
      </c>
      <c r="S12" s="53">
        <f t="shared" si="2"/>
        <v>0</v>
      </c>
      <c r="T12" s="53">
        <f t="shared" si="2"/>
        <v>39436.6</v>
      </c>
      <c r="U12" s="53">
        <f t="shared" si="2"/>
        <v>23042.6</v>
      </c>
      <c r="V12" s="53">
        <f t="shared" si="2"/>
        <v>62479.2</v>
      </c>
      <c r="W12" s="53">
        <f t="shared" si="2"/>
        <v>202591.42</v>
      </c>
      <c r="X12" s="53">
        <f t="shared" si="2"/>
        <v>0</v>
      </c>
      <c r="Y12" s="53">
        <f t="shared" si="2"/>
        <v>0</v>
      </c>
      <c r="Z12" s="53">
        <f t="shared" si="2"/>
        <v>42569.95</v>
      </c>
      <c r="AA12" s="53">
        <f t="shared" si="2"/>
        <v>156725.61</v>
      </c>
      <c r="AB12" s="53">
        <f t="shared" si="2"/>
        <v>199295.56</v>
      </c>
      <c r="AC12" s="53">
        <f t="shared" si="2"/>
        <v>506354.14</v>
      </c>
      <c r="AD12" s="49">
        <f t="shared" si="2"/>
        <v>-3295.86</v>
      </c>
      <c r="AF12" s="54"/>
    </row>
    <row r="13" spans="1:32" s="6" customFormat="1" ht="12.75">
      <c r="A13" s="87"/>
      <c r="B13" s="81"/>
      <c r="C13" s="31" t="s">
        <v>7</v>
      </c>
      <c r="D13" s="53">
        <f>ROUND(D8,2)</f>
        <v>130000</v>
      </c>
      <c r="E13" s="53">
        <f aca="true" t="shared" si="3" ref="E13:AD13">ROUND(E8,2)</f>
        <v>35000</v>
      </c>
      <c r="F13" s="53">
        <f t="shared" si="3"/>
        <v>19809.19</v>
      </c>
      <c r="G13" s="53">
        <f t="shared" si="3"/>
        <v>7180.82</v>
      </c>
      <c r="H13" s="53">
        <f t="shared" si="3"/>
        <v>7983.43</v>
      </c>
      <c r="I13" s="53">
        <f t="shared" si="3"/>
        <v>34973.44</v>
      </c>
      <c r="J13" s="53">
        <f t="shared" si="3"/>
        <v>26.56</v>
      </c>
      <c r="K13" s="53">
        <f t="shared" si="3"/>
        <v>55000</v>
      </c>
      <c r="L13" s="53">
        <f t="shared" si="3"/>
        <v>24899.67</v>
      </c>
      <c r="M13" s="53">
        <f t="shared" si="3"/>
        <v>29879.25</v>
      </c>
      <c r="N13" s="53">
        <f t="shared" si="3"/>
        <v>247.64</v>
      </c>
      <c r="O13" s="53">
        <f t="shared" si="3"/>
        <v>0</v>
      </c>
      <c r="P13" s="53">
        <f t="shared" si="3"/>
        <v>54778.92</v>
      </c>
      <c r="Q13" s="53">
        <f t="shared" si="3"/>
        <v>247.64</v>
      </c>
      <c r="R13" s="53">
        <f t="shared" si="3"/>
        <v>40000</v>
      </c>
      <c r="S13" s="53">
        <f t="shared" si="3"/>
        <v>0</v>
      </c>
      <c r="T13" s="53">
        <f t="shared" si="3"/>
        <v>5777</v>
      </c>
      <c r="U13" s="53">
        <f t="shared" si="3"/>
        <v>32876.31</v>
      </c>
      <c r="V13" s="53">
        <f t="shared" si="3"/>
        <v>38653.31</v>
      </c>
      <c r="W13" s="53">
        <f t="shared" si="3"/>
        <v>1594.33</v>
      </c>
      <c r="X13" s="53">
        <f t="shared" si="3"/>
        <v>0</v>
      </c>
      <c r="Y13" s="53">
        <f t="shared" si="3"/>
        <v>0</v>
      </c>
      <c r="Z13" s="53">
        <f t="shared" si="3"/>
        <v>0</v>
      </c>
      <c r="AA13" s="53">
        <f t="shared" si="3"/>
        <v>1417</v>
      </c>
      <c r="AB13" s="53">
        <f t="shared" si="3"/>
        <v>1417</v>
      </c>
      <c r="AC13" s="53">
        <f t="shared" si="3"/>
        <v>129822.67</v>
      </c>
      <c r="AD13" s="49">
        <f t="shared" si="3"/>
        <v>-177.33</v>
      </c>
      <c r="AF13" s="54"/>
    </row>
    <row r="14" spans="1:32" s="6" customFormat="1" ht="13.5" thickBot="1">
      <c r="A14" s="66"/>
      <c r="B14" s="67" t="s">
        <v>32</v>
      </c>
      <c r="C14" s="68"/>
      <c r="D14" s="69">
        <f>ROUND(D12+D13,2)</f>
        <v>639650</v>
      </c>
      <c r="E14" s="69">
        <f aca="true" t="shared" si="4" ref="E14:AD14">ROUND(E12+E13,2)</f>
        <v>125000</v>
      </c>
      <c r="F14" s="69">
        <f t="shared" si="4"/>
        <v>73717.32</v>
      </c>
      <c r="G14" s="69">
        <f t="shared" si="4"/>
        <v>7180.82</v>
      </c>
      <c r="H14" s="69">
        <f t="shared" si="4"/>
        <v>34871.71</v>
      </c>
      <c r="I14" s="69">
        <f t="shared" si="4"/>
        <v>115769.85</v>
      </c>
      <c r="J14" s="69">
        <f t="shared" si="4"/>
        <v>9230.15</v>
      </c>
      <c r="K14" s="69">
        <f t="shared" si="4"/>
        <v>260000</v>
      </c>
      <c r="L14" s="69">
        <f t="shared" si="4"/>
        <v>24899.67</v>
      </c>
      <c r="M14" s="69">
        <f t="shared" si="4"/>
        <v>29879.25</v>
      </c>
      <c r="N14" s="69">
        <f t="shared" si="4"/>
        <v>214451.23</v>
      </c>
      <c r="O14" s="69">
        <f t="shared" si="4"/>
        <v>163782.97</v>
      </c>
      <c r="P14" s="69">
        <f t="shared" si="4"/>
        <v>218561.89</v>
      </c>
      <c r="Q14" s="69">
        <f t="shared" si="4"/>
        <v>50668.26</v>
      </c>
      <c r="R14" s="69">
        <f t="shared" si="4"/>
        <v>344650</v>
      </c>
      <c r="S14" s="69">
        <f t="shared" si="4"/>
        <v>0</v>
      </c>
      <c r="T14" s="69">
        <f t="shared" si="4"/>
        <v>45213.6</v>
      </c>
      <c r="U14" s="69">
        <f t="shared" si="4"/>
        <v>55918.91</v>
      </c>
      <c r="V14" s="69">
        <f t="shared" si="4"/>
        <v>101132.51</v>
      </c>
      <c r="W14" s="69">
        <f t="shared" si="4"/>
        <v>204185.75</v>
      </c>
      <c r="X14" s="69">
        <f t="shared" si="4"/>
        <v>0</v>
      </c>
      <c r="Y14" s="69">
        <f t="shared" si="4"/>
        <v>0</v>
      </c>
      <c r="Z14" s="69">
        <f t="shared" si="4"/>
        <v>42569.95</v>
      </c>
      <c r="AA14" s="69">
        <f t="shared" si="4"/>
        <v>158142.61</v>
      </c>
      <c r="AB14" s="69">
        <f t="shared" si="4"/>
        <v>200712.56</v>
      </c>
      <c r="AC14" s="69">
        <f t="shared" si="4"/>
        <v>636176.81</v>
      </c>
      <c r="AD14" s="70">
        <f t="shared" si="4"/>
        <v>-3473.19</v>
      </c>
      <c r="AF14" s="54"/>
    </row>
    <row r="15" spans="1:28" s="6" customFormat="1" ht="12.75">
      <c r="A15" s="9"/>
      <c r="G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ht="16.5" thickBot="1">
      <c r="A16" s="1" t="s">
        <v>9</v>
      </c>
    </row>
    <row r="17" spans="1:30" s="6" customFormat="1" ht="63.75">
      <c r="A17" s="4" t="s">
        <v>2</v>
      </c>
      <c r="B17" s="5" t="s">
        <v>3</v>
      </c>
      <c r="C17" s="5" t="s">
        <v>4</v>
      </c>
      <c r="D17" s="60" t="s">
        <v>33</v>
      </c>
      <c r="E17" s="41" t="s">
        <v>34</v>
      </c>
      <c r="F17" s="42" t="s">
        <v>35</v>
      </c>
      <c r="G17" s="42" t="s">
        <v>36</v>
      </c>
      <c r="H17" s="42" t="s">
        <v>37</v>
      </c>
      <c r="I17" s="41" t="s">
        <v>38</v>
      </c>
      <c r="J17" s="41" t="s">
        <v>39</v>
      </c>
      <c r="K17" s="41" t="s">
        <v>40</v>
      </c>
      <c r="L17" s="42" t="s">
        <v>41</v>
      </c>
      <c r="M17" s="42" t="s">
        <v>42</v>
      </c>
      <c r="N17" s="42" t="s">
        <v>43</v>
      </c>
      <c r="O17" s="42" t="s">
        <v>44</v>
      </c>
      <c r="P17" s="41" t="s">
        <v>45</v>
      </c>
      <c r="Q17" s="41" t="s">
        <v>46</v>
      </c>
      <c r="R17" s="42" t="s">
        <v>47</v>
      </c>
      <c r="S17" s="42" t="s">
        <v>48</v>
      </c>
      <c r="T17" s="42" t="s">
        <v>49</v>
      </c>
      <c r="U17" s="42" t="s">
        <v>57</v>
      </c>
      <c r="V17" s="41" t="s">
        <v>58</v>
      </c>
      <c r="W17" s="41" t="s">
        <v>59</v>
      </c>
      <c r="X17" s="42" t="s">
        <v>50</v>
      </c>
      <c r="Y17" s="42" t="s">
        <v>64</v>
      </c>
      <c r="Z17" s="42" t="s">
        <v>65</v>
      </c>
      <c r="AA17" s="42" t="s">
        <v>66</v>
      </c>
      <c r="AB17" s="41" t="s">
        <v>67</v>
      </c>
      <c r="AC17" s="41" t="s">
        <v>51</v>
      </c>
      <c r="AD17" s="38" t="s">
        <v>68</v>
      </c>
    </row>
    <row r="18" spans="1:30" s="12" customFormat="1" ht="27">
      <c r="A18" s="10">
        <v>0</v>
      </c>
      <c r="B18" s="11">
        <v>1</v>
      </c>
      <c r="C18" s="11">
        <v>2</v>
      </c>
      <c r="D18" s="61">
        <v>3</v>
      </c>
      <c r="E18" s="43">
        <v>4</v>
      </c>
      <c r="F18" s="44">
        <v>5</v>
      </c>
      <c r="G18" s="44">
        <v>6</v>
      </c>
      <c r="H18" s="45">
        <v>7</v>
      </c>
      <c r="I18" s="43" t="s">
        <v>52</v>
      </c>
      <c r="J18" s="43" t="s">
        <v>53</v>
      </c>
      <c r="K18" s="43">
        <v>10</v>
      </c>
      <c r="L18" s="44">
        <v>11</v>
      </c>
      <c r="M18" s="44">
        <v>12</v>
      </c>
      <c r="N18" s="44">
        <v>13</v>
      </c>
      <c r="O18" s="44">
        <v>14</v>
      </c>
      <c r="P18" s="61" t="s">
        <v>54</v>
      </c>
      <c r="Q18" s="43" t="s">
        <v>55</v>
      </c>
      <c r="R18" s="44">
        <v>17</v>
      </c>
      <c r="S18" s="44">
        <v>18</v>
      </c>
      <c r="T18" s="44">
        <v>19</v>
      </c>
      <c r="U18" s="62">
        <v>20</v>
      </c>
      <c r="V18" s="79" t="s">
        <v>60</v>
      </c>
      <c r="W18" s="79" t="s">
        <v>61</v>
      </c>
      <c r="X18" s="44">
        <v>23</v>
      </c>
      <c r="Y18" s="44">
        <v>24</v>
      </c>
      <c r="Z18" s="44">
        <v>25</v>
      </c>
      <c r="AA18" s="44">
        <v>26</v>
      </c>
      <c r="AB18" s="43" t="s">
        <v>69</v>
      </c>
      <c r="AC18" s="61" t="s">
        <v>70</v>
      </c>
      <c r="AD18" s="39" t="s">
        <v>71</v>
      </c>
    </row>
    <row r="19" spans="1:32" s="6" customFormat="1" ht="17.25" customHeight="1">
      <c r="A19" s="82">
        <v>1</v>
      </c>
      <c r="B19" s="81" t="s">
        <v>10</v>
      </c>
      <c r="C19" s="14" t="s">
        <v>6</v>
      </c>
      <c r="D19" s="53">
        <v>2069215.17</v>
      </c>
      <c r="E19" s="46">
        <v>400000</v>
      </c>
      <c r="F19" s="48">
        <v>131493.97</v>
      </c>
      <c r="G19" s="47">
        <v>98318.22</v>
      </c>
      <c r="H19" s="48">
        <v>16611.6</v>
      </c>
      <c r="I19" s="53">
        <f>ROUND(F19+G19+H19,2)</f>
        <v>246423.79</v>
      </c>
      <c r="J19" s="53">
        <f>ROUND(E19-I19,2)</f>
        <v>153576.21</v>
      </c>
      <c r="K19" s="53">
        <f>400000+400000</f>
        <v>800000</v>
      </c>
      <c r="L19" s="63">
        <v>277139.75</v>
      </c>
      <c r="M19" s="63">
        <v>141377.98</v>
      </c>
      <c r="N19" s="63">
        <f>ROUND(J19+K19-L19-M19,2)</f>
        <v>535058.48</v>
      </c>
      <c r="O19" s="63">
        <v>137480.31</v>
      </c>
      <c r="P19" s="53">
        <f>ROUND(L19+M19+O19,2)</f>
        <v>555998.04</v>
      </c>
      <c r="Q19" s="53">
        <f>ROUND(J19+K19-P19,2)</f>
        <v>397578.17</v>
      </c>
      <c r="R19" s="63">
        <v>200000</v>
      </c>
      <c r="S19" s="63">
        <v>61959.53</v>
      </c>
      <c r="T19" s="63">
        <v>179764.97</v>
      </c>
      <c r="U19" s="63">
        <v>155486.47</v>
      </c>
      <c r="V19" s="53">
        <f>ROUND(S19+T19+U19,2)</f>
        <v>397210.97</v>
      </c>
      <c r="W19" s="53">
        <f>ROUND(Q19+R19-V19,2)+153605.17</f>
        <v>353972.37</v>
      </c>
      <c r="X19" s="63">
        <f>115610+400000</f>
        <v>515610</v>
      </c>
      <c r="Y19" s="47">
        <v>184815.09</v>
      </c>
      <c r="Z19" s="47">
        <v>233168.9</v>
      </c>
      <c r="AA19" s="47">
        <v>376592.68</v>
      </c>
      <c r="AB19" s="53">
        <f>ROUND(Y19+Z19+AA19,2)</f>
        <v>794576.67</v>
      </c>
      <c r="AC19" s="53">
        <f>ROUND(I19+P19+V19+AB19,2)</f>
        <v>1994209.47</v>
      </c>
      <c r="AD19" s="49">
        <f>ROUND(AC19-D19,2)</f>
        <v>-75005.7</v>
      </c>
      <c r="AF19" s="54"/>
    </row>
    <row r="20" spans="1:32" s="6" customFormat="1" ht="12.75">
      <c r="A20" s="82"/>
      <c r="B20" s="81"/>
      <c r="C20" s="8" t="s">
        <v>7</v>
      </c>
      <c r="D20" s="53">
        <v>163394.83</v>
      </c>
      <c r="E20" s="46">
        <v>117000</v>
      </c>
      <c r="F20" s="48">
        <v>21851.25</v>
      </c>
      <c r="G20" s="47">
        <v>17992.64</v>
      </c>
      <c r="H20" s="48">
        <v>15933.43</v>
      </c>
      <c r="I20" s="53">
        <f>ROUND(F20+G20+H20,2)</f>
        <v>55777.32</v>
      </c>
      <c r="J20" s="53">
        <f>ROUND(E20-I20,2)</f>
        <v>61222.68</v>
      </c>
      <c r="K20" s="53">
        <f>100000+100000</f>
        <v>200000</v>
      </c>
      <c r="L20" s="63">
        <v>12105.76</v>
      </c>
      <c r="M20" s="63">
        <v>0</v>
      </c>
      <c r="N20" s="63">
        <f>ROUND(J20+K20-L20-M20,2)</f>
        <v>249116.92</v>
      </c>
      <c r="O20" s="63">
        <v>0</v>
      </c>
      <c r="P20" s="53">
        <f>ROUND(L20+M20+O20,2)</f>
        <v>12105.76</v>
      </c>
      <c r="Q20" s="53">
        <f>ROUND(J20+K20-P20,2)</f>
        <v>249116.92</v>
      </c>
      <c r="R20" s="63">
        <v>0</v>
      </c>
      <c r="S20" s="63">
        <v>47953.79</v>
      </c>
      <c r="T20" s="63">
        <v>47557.96</v>
      </c>
      <c r="U20" s="63">
        <v>0</v>
      </c>
      <c r="V20" s="53">
        <f>ROUND(S20+T20+U20,2)</f>
        <v>95511.75</v>
      </c>
      <c r="W20" s="53">
        <f>ROUND(Q20+R20-V20,2)-153605.17</f>
        <v>0</v>
      </c>
      <c r="X20" s="63">
        <v>0</v>
      </c>
      <c r="Y20" s="47">
        <v>0</v>
      </c>
      <c r="Z20" s="47">
        <v>0</v>
      </c>
      <c r="AA20" s="47">
        <v>0</v>
      </c>
      <c r="AB20" s="53">
        <f>ROUND(Y20+Z20+AA20,2)</f>
        <v>0</v>
      </c>
      <c r="AC20" s="53">
        <f>ROUND(I20+P20+V20+AB20,2)</f>
        <v>163394.83</v>
      </c>
      <c r="AD20" s="49">
        <f>ROUND(AC20-D20,2)</f>
        <v>0</v>
      </c>
      <c r="AF20" s="54"/>
    </row>
    <row r="21" spans="1:32" s="6" customFormat="1" ht="12.75">
      <c r="A21" s="19"/>
      <c r="B21" s="20" t="s">
        <v>11</v>
      </c>
      <c r="C21" s="21"/>
      <c r="D21" s="53">
        <f aca="true" t="shared" si="5" ref="D21:AD21">SUM(D19:D20)</f>
        <v>2232610</v>
      </c>
      <c r="E21" s="50">
        <f t="shared" si="5"/>
        <v>517000</v>
      </c>
      <c r="F21" s="50">
        <f t="shared" si="5"/>
        <v>153345.22</v>
      </c>
      <c r="G21" s="50">
        <f t="shared" si="5"/>
        <v>116310.86</v>
      </c>
      <c r="H21" s="50">
        <f t="shared" si="5"/>
        <v>32545.03</v>
      </c>
      <c r="I21" s="50">
        <f t="shared" si="5"/>
        <v>302201.11</v>
      </c>
      <c r="J21" s="50">
        <f t="shared" si="5"/>
        <v>214798.88999999998</v>
      </c>
      <c r="K21" s="50">
        <f t="shared" si="5"/>
        <v>1000000</v>
      </c>
      <c r="L21" s="50">
        <f t="shared" si="5"/>
        <v>289245.51</v>
      </c>
      <c r="M21" s="50">
        <f t="shared" si="5"/>
        <v>141377.98</v>
      </c>
      <c r="N21" s="50">
        <f t="shared" si="5"/>
        <v>784175.4</v>
      </c>
      <c r="O21" s="50">
        <f t="shared" si="5"/>
        <v>137480.31</v>
      </c>
      <c r="P21" s="50">
        <f t="shared" si="5"/>
        <v>568103.8</v>
      </c>
      <c r="Q21" s="50">
        <f t="shared" si="5"/>
        <v>646695.09</v>
      </c>
      <c r="R21" s="50">
        <f t="shared" si="5"/>
        <v>200000</v>
      </c>
      <c r="S21" s="50">
        <f t="shared" si="5"/>
        <v>109913.32</v>
      </c>
      <c r="T21" s="50">
        <f t="shared" si="5"/>
        <v>227322.93</v>
      </c>
      <c r="U21" s="50">
        <f t="shared" si="5"/>
        <v>155486.47</v>
      </c>
      <c r="V21" s="50">
        <f t="shared" si="5"/>
        <v>492722.72</v>
      </c>
      <c r="W21" s="50">
        <f t="shared" si="5"/>
        <v>353972.37</v>
      </c>
      <c r="X21" s="50">
        <f t="shared" si="5"/>
        <v>515610</v>
      </c>
      <c r="Y21" s="50">
        <f t="shared" si="5"/>
        <v>184815.09</v>
      </c>
      <c r="Z21" s="50">
        <f t="shared" si="5"/>
        <v>233168.9</v>
      </c>
      <c r="AA21" s="50">
        <f t="shared" si="5"/>
        <v>376592.68</v>
      </c>
      <c r="AB21" s="50">
        <f t="shared" si="5"/>
        <v>794576.67</v>
      </c>
      <c r="AC21" s="50">
        <f t="shared" si="5"/>
        <v>2157604.3</v>
      </c>
      <c r="AD21" s="18">
        <f t="shared" si="5"/>
        <v>-75005.7</v>
      </c>
      <c r="AF21" s="54"/>
    </row>
    <row r="22" spans="1:32" s="15" customFormat="1" ht="12.75">
      <c r="A22" s="84">
        <v>2</v>
      </c>
      <c r="B22" s="85" t="s">
        <v>28</v>
      </c>
      <c r="C22" s="8" t="s">
        <v>7</v>
      </c>
      <c r="D22" s="53">
        <v>336756.4</v>
      </c>
      <c r="E22" s="46">
        <v>286000</v>
      </c>
      <c r="F22" s="51">
        <v>0</v>
      </c>
      <c r="G22" s="47">
        <v>161265.59</v>
      </c>
      <c r="H22" s="48">
        <v>94494</v>
      </c>
      <c r="I22" s="53">
        <f>ROUND(F22+G22+H22,2)</f>
        <v>255759.59</v>
      </c>
      <c r="J22" s="53">
        <f>ROUND(E22-I22,2)</f>
        <v>30240.41</v>
      </c>
      <c r="K22" s="53">
        <f>150000+218000</f>
        <v>368000</v>
      </c>
      <c r="L22" s="63">
        <v>0</v>
      </c>
      <c r="M22" s="63">
        <v>0</v>
      </c>
      <c r="N22" s="63">
        <f>ROUND(J22+K22-L22-M22,2)</f>
        <v>398240.41</v>
      </c>
      <c r="O22" s="63">
        <v>0</v>
      </c>
      <c r="P22" s="53">
        <f>ROUND(L22+M22+O22,2)</f>
        <v>0</v>
      </c>
      <c r="Q22" s="53">
        <f>ROUND(J22+K22-P22,2)</f>
        <v>398240.41</v>
      </c>
      <c r="R22" s="63">
        <v>0</v>
      </c>
      <c r="S22" s="63">
        <v>80996.81</v>
      </c>
      <c r="T22" s="63">
        <v>0</v>
      </c>
      <c r="U22" s="63">
        <v>0</v>
      </c>
      <c r="V22" s="53">
        <f>ROUND(S22+T22+U22,2)</f>
        <v>80996.81</v>
      </c>
      <c r="W22" s="53">
        <f>ROUND(Q22+R22-V22,2)-317243.6</f>
        <v>0</v>
      </c>
      <c r="X22" s="63">
        <v>0</v>
      </c>
      <c r="Y22" s="47">
        <v>0</v>
      </c>
      <c r="Z22" s="47">
        <v>0</v>
      </c>
      <c r="AA22" s="47">
        <v>0</v>
      </c>
      <c r="AB22" s="53">
        <f>ROUND(Y22+Z22+AA22,2)</f>
        <v>0</v>
      </c>
      <c r="AC22" s="53">
        <f>ROUND(I22+P22+V22+AB22,2)</f>
        <v>336756.4</v>
      </c>
      <c r="AD22" s="49">
        <f>ROUND(AC22-D22,2)</f>
        <v>0</v>
      </c>
      <c r="AF22" s="54"/>
    </row>
    <row r="23" spans="1:32" s="6" customFormat="1" ht="12.75">
      <c r="A23" s="84"/>
      <c r="B23" s="85"/>
      <c r="C23" s="14" t="s">
        <v>6</v>
      </c>
      <c r="D23" s="53">
        <v>2740893.6</v>
      </c>
      <c r="E23" s="46">
        <v>743000</v>
      </c>
      <c r="F23" s="48">
        <v>25296.65</v>
      </c>
      <c r="G23" s="47">
        <v>301760.24</v>
      </c>
      <c r="H23" s="48">
        <v>183798.61</v>
      </c>
      <c r="I23" s="53">
        <f>ROUND(F23+G23+H23,2)</f>
        <v>510855.5</v>
      </c>
      <c r="J23" s="53">
        <f>ROUND(E23-I23,2)</f>
        <v>232144.5</v>
      </c>
      <c r="K23" s="53">
        <f>950000+243290</f>
        <v>1193290</v>
      </c>
      <c r="L23" s="63">
        <v>392989.3</v>
      </c>
      <c r="M23" s="63">
        <v>16251.65</v>
      </c>
      <c r="N23" s="63">
        <f>ROUND(J23+K23-L23-M23+243290,2)</f>
        <v>1259483.55</v>
      </c>
      <c r="O23" s="63">
        <v>180426.96</v>
      </c>
      <c r="P23" s="53">
        <f>ROUND(L23+M23+O23,2)</f>
        <v>589667.91</v>
      </c>
      <c r="Q23" s="53">
        <f>ROUND(J23+K23-P23,2)</f>
        <v>835766.59</v>
      </c>
      <c r="R23" s="63">
        <v>1000000</v>
      </c>
      <c r="S23" s="63">
        <v>162260.02</v>
      </c>
      <c r="T23" s="63">
        <v>81155.66</v>
      </c>
      <c r="U23" s="63">
        <v>196952.22</v>
      </c>
      <c r="V23" s="53">
        <f>ROUND(S23+T23+U23,2)</f>
        <v>440367.9</v>
      </c>
      <c r="W23" s="53">
        <f>ROUND(Q23+R23-V23,2)+317243.6-873060</f>
        <v>839582.29</v>
      </c>
      <c r="X23" s="63">
        <v>360420</v>
      </c>
      <c r="Y23" s="47">
        <v>266423.82</v>
      </c>
      <c r="Z23" s="47">
        <v>269170.4</v>
      </c>
      <c r="AA23" s="47">
        <v>438271.67</v>
      </c>
      <c r="AB23" s="53">
        <f>ROUND(Y23+Z23+AA23,2)</f>
        <v>973865.89</v>
      </c>
      <c r="AC23" s="53">
        <f>ROUND(I23+P23+V23+AB23,2)</f>
        <v>2514757.2</v>
      </c>
      <c r="AD23" s="49">
        <f>ROUND(AC23-D23,2)</f>
        <v>-226136.4</v>
      </c>
      <c r="AF23" s="54"/>
    </row>
    <row r="24" spans="1:32" s="6" customFormat="1" ht="12.75">
      <c r="A24" s="19"/>
      <c r="B24" s="20" t="s">
        <v>12</v>
      </c>
      <c r="C24" s="21"/>
      <c r="D24" s="46">
        <f aca="true" t="shared" si="6" ref="D24:AC24">SUM(D22:D23)</f>
        <v>3077650</v>
      </c>
      <c r="E24" s="46">
        <f t="shared" si="6"/>
        <v>1029000</v>
      </c>
      <c r="F24" s="46">
        <f t="shared" si="6"/>
        <v>25296.65</v>
      </c>
      <c r="G24" s="46">
        <f t="shared" si="6"/>
        <v>463025.82999999996</v>
      </c>
      <c r="H24" s="46">
        <f t="shared" si="6"/>
        <v>278292.61</v>
      </c>
      <c r="I24" s="46">
        <f t="shared" si="6"/>
        <v>766615.09</v>
      </c>
      <c r="J24" s="46">
        <f t="shared" si="6"/>
        <v>262384.91</v>
      </c>
      <c r="K24" s="46">
        <f t="shared" si="6"/>
        <v>1561290</v>
      </c>
      <c r="L24" s="46">
        <f t="shared" si="6"/>
        <v>392989.3</v>
      </c>
      <c r="M24" s="46">
        <f t="shared" si="6"/>
        <v>16251.65</v>
      </c>
      <c r="N24" s="46">
        <f t="shared" si="6"/>
        <v>1657723.96</v>
      </c>
      <c r="O24" s="46">
        <f t="shared" si="6"/>
        <v>180426.96</v>
      </c>
      <c r="P24" s="46">
        <f t="shared" si="6"/>
        <v>589667.91</v>
      </c>
      <c r="Q24" s="46">
        <f t="shared" si="6"/>
        <v>1234007</v>
      </c>
      <c r="R24" s="46">
        <f t="shared" si="6"/>
        <v>1000000</v>
      </c>
      <c r="S24" s="46">
        <f t="shared" si="6"/>
        <v>243256.83</v>
      </c>
      <c r="T24" s="46">
        <f t="shared" si="6"/>
        <v>81155.66</v>
      </c>
      <c r="U24" s="46">
        <f t="shared" si="6"/>
        <v>196952.22</v>
      </c>
      <c r="V24" s="46">
        <f t="shared" si="6"/>
        <v>521364.71</v>
      </c>
      <c r="W24" s="46">
        <f t="shared" si="6"/>
        <v>839582.29</v>
      </c>
      <c r="X24" s="46">
        <f t="shared" si="6"/>
        <v>360420</v>
      </c>
      <c r="Y24" s="46">
        <f t="shared" si="6"/>
        <v>266423.82</v>
      </c>
      <c r="Z24" s="46">
        <f t="shared" si="6"/>
        <v>269170.4</v>
      </c>
      <c r="AA24" s="46">
        <f t="shared" si="6"/>
        <v>438271.67</v>
      </c>
      <c r="AB24" s="46">
        <f t="shared" si="6"/>
        <v>973865.89</v>
      </c>
      <c r="AC24" s="46">
        <f t="shared" si="6"/>
        <v>2851513.6</v>
      </c>
      <c r="AD24" s="71">
        <f>SUM(AD22:AD23)</f>
        <v>-226136.4</v>
      </c>
      <c r="AF24" s="54"/>
    </row>
    <row r="25" spans="1:32" s="6" customFormat="1" ht="38.25">
      <c r="A25" s="82">
        <v>3</v>
      </c>
      <c r="B25" s="81" t="s">
        <v>13</v>
      </c>
      <c r="C25" s="16" t="s">
        <v>14</v>
      </c>
      <c r="D25" s="53">
        <v>0</v>
      </c>
      <c r="E25" s="46">
        <v>0</v>
      </c>
      <c r="F25" s="48">
        <v>0</v>
      </c>
      <c r="G25" s="47">
        <v>0</v>
      </c>
      <c r="H25" s="48">
        <v>0</v>
      </c>
      <c r="I25" s="53">
        <f>ROUND(F25+G25+H25,2)</f>
        <v>0</v>
      </c>
      <c r="J25" s="53">
        <f>ROUND(E25-I25,2)</f>
        <v>0</v>
      </c>
      <c r="K25" s="53">
        <v>0</v>
      </c>
      <c r="L25" s="63">
        <v>0</v>
      </c>
      <c r="M25" s="63">
        <v>0</v>
      </c>
      <c r="N25" s="63">
        <f>ROUND(J25+K25-L25-M25,2)</f>
        <v>0</v>
      </c>
      <c r="O25" s="63">
        <v>0</v>
      </c>
      <c r="P25" s="53">
        <f>ROUND(L25+M25+O25,2)</f>
        <v>0</v>
      </c>
      <c r="Q25" s="53">
        <f>ROUND(J25+K25-P25,2)</f>
        <v>0</v>
      </c>
      <c r="R25" s="63">
        <v>0</v>
      </c>
      <c r="S25" s="63">
        <v>0</v>
      </c>
      <c r="T25" s="63">
        <v>0</v>
      </c>
      <c r="U25" s="63">
        <v>0</v>
      </c>
      <c r="V25" s="53">
        <f>ROUND(S25+T25+U25,2)</f>
        <v>0</v>
      </c>
      <c r="W25" s="53">
        <f>ROUND(Q25+R25-V25,2)</f>
        <v>0</v>
      </c>
      <c r="X25" s="63">
        <v>0</v>
      </c>
      <c r="Y25" s="47">
        <v>0</v>
      </c>
      <c r="Z25" s="47">
        <v>0</v>
      </c>
      <c r="AA25" s="47">
        <v>0</v>
      </c>
      <c r="AB25" s="53">
        <f>ROUND(Y25+Z25+AA25,2)</f>
        <v>0</v>
      </c>
      <c r="AC25" s="53">
        <f>ROUND(I25+P25+V25+AB25,2)</f>
        <v>0</v>
      </c>
      <c r="AD25" s="49">
        <f>ROUND(AC25-D25,2)</f>
        <v>0</v>
      </c>
      <c r="AF25" s="54"/>
    </row>
    <row r="26" spans="1:32" s="6" customFormat="1" ht="25.5">
      <c r="A26" s="82"/>
      <c r="B26" s="81"/>
      <c r="C26" s="16" t="s">
        <v>15</v>
      </c>
      <c r="D26" s="53">
        <v>825690</v>
      </c>
      <c r="E26" s="46">
        <v>162000</v>
      </c>
      <c r="F26" s="48">
        <v>66061.85</v>
      </c>
      <c r="G26" s="47">
        <v>41557.77</v>
      </c>
      <c r="H26" s="48">
        <v>54344.79</v>
      </c>
      <c r="I26" s="53">
        <f>ROUND(F26+G26+H26,2)</f>
        <v>161964.41</v>
      </c>
      <c r="J26" s="53">
        <f>ROUND(E26-I26,2)</f>
        <v>35.59</v>
      </c>
      <c r="K26" s="53">
        <v>265000</v>
      </c>
      <c r="L26" s="63">
        <v>74582.16</v>
      </c>
      <c r="M26" s="63">
        <v>94478.15</v>
      </c>
      <c r="N26" s="63">
        <f>ROUND(J26+K26-L26-M26,2)</f>
        <v>95975.28</v>
      </c>
      <c r="O26" s="63">
        <v>88709.87</v>
      </c>
      <c r="P26" s="53">
        <f>ROUND(L26+M26+O26,2)</f>
        <v>257770.18</v>
      </c>
      <c r="Q26" s="53">
        <f>ROUND(J26+K26-P26,2)</f>
        <v>7265.41</v>
      </c>
      <c r="R26" s="63">
        <v>255000</v>
      </c>
      <c r="S26" s="63">
        <v>65006.73</v>
      </c>
      <c r="T26" s="63">
        <v>64904.9</v>
      </c>
      <c r="U26" s="63">
        <v>63381.56</v>
      </c>
      <c r="V26" s="53">
        <f>ROUND(S26+T26+U26,2)</f>
        <v>193293.19</v>
      </c>
      <c r="W26" s="53">
        <f>ROUND(Q26+R26-V26,2)</f>
        <v>68972.22</v>
      </c>
      <c r="X26" s="63">
        <f>103790+9900+30000</f>
        <v>143690</v>
      </c>
      <c r="Y26" s="47">
        <v>63381.56</v>
      </c>
      <c r="Z26" s="47">
        <v>65006.72</v>
      </c>
      <c r="AA26" s="47">
        <v>83696.16</v>
      </c>
      <c r="AB26" s="53">
        <f>ROUND(Y26+Z26+AA26,2)</f>
        <v>212084.44</v>
      </c>
      <c r="AC26" s="53">
        <f>ROUND(I26+P26+V26+AB26,2)</f>
        <v>825112.22</v>
      </c>
      <c r="AD26" s="49">
        <f>ROUND(AC26-D26,2)</f>
        <v>-577.78</v>
      </c>
      <c r="AF26" s="54"/>
    </row>
    <row r="27" spans="1:32" s="6" customFormat="1" ht="25.5">
      <c r="A27" s="82"/>
      <c r="B27" s="81"/>
      <c r="C27" s="16" t="s">
        <v>16</v>
      </c>
      <c r="D27" s="53">
        <v>586930</v>
      </c>
      <c r="E27" s="46">
        <v>177000</v>
      </c>
      <c r="F27" s="48">
        <v>26757.27</v>
      </c>
      <c r="G27" s="47">
        <v>75902.96</v>
      </c>
      <c r="H27" s="48">
        <v>2184.32</v>
      </c>
      <c r="I27" s="53">
        <f>ROUND(F27+G27+H27,2)</f>
        <v>104844.55</v>
      </c>
      <c r="J27" s="53">
        <f>ROUND(E27-I27,2)</f>
        <v>72155.45</v>
      </c>
      <c r="K27" s="53">
        <f>85000+85000</f>
        <v>170000</v>
      </c>
      <c r="L27" s="63">
        <v>68610.42</v>
      </c>
      <c r="M27" s="63">
        <v>168229.66</v>
      </c>
      <c r="N27" s="63">
        <f>ROUND(J27+K27-L27-M27,2)</f>
        <v>5315.37</v>
      </c>
      <c r="O27" s="63">
        <v>4624.17</v>
      </c>
      <c r="P27" s="53">
        <f>ROUND(L27+M27+O27,2)</f>
        <v>241464.25</v>
      </c>
      <c r="Q27" s="53">
        <f>ROUND(J27+K27-P27,2)</f>
        <v>691.2</v>
      </c>
      <c r="R27" s="63">
        <v>199930</v>
      </c>
      <c r="S27" s="63">
        <v>0</v>
      </c>
      <c r="T27" s="63">
        <v>0</v>
      </c>
      <c r="U27" s="63">
        <v>2991.61</v>
      </c>
      <c r="V27" s="53">
        <f>ROUND(S27+T27+U27,2)</f>
        <v>2991.61</v>
      </c>
      <c r="W27" s="53">
        <f>ROUND(Q27+R27-V27,2)</f>
        <v>197629.59</v>
      </c>
      <c r="X27" s="63">
        <v>40000</v>
      </c>
      <c r="Y27" s="47">
        <v>74823.01</v>
      </c>
      <c r="Z27" s="47">
        <v>158233.66</v>
      </c>
      <c r="AA27" s="47">
        <v>2902.45</v>
      </c>
      <c r="AB27" s="53">
        <f>ROUND(Y27+Z27+AA27,2)</f>
        <v>235959.12</v>
      </c>
      <c r="AC27" s="53">
        <f>ROUND(I27+P27+V27+AB27,2)</f>
        <v>585259.53</v>
      </c>
      <c r="AD27" s="49">
        <f>ROUND(AC27-D27,2)</f>
        <v>-1670.47</v>
      </c>
      <c r="AF27" s="54"/>
    </row>
    <row r="28" spans="1:32" s="6" customFormat="1" ht="12.75">
      <c r="A28" s="32"/>
      <c r="B28" s="20" t="s">
        <v>17</v>
      </c>
      <c r="C28" s="21"/>
      <c r="D28" s="46">
        <f aca="true" t="shared" si="7" ref="D28:AC28">SUM(D25:D27)</f>
        <v>1412620</v>
      </c>
      <c r="E28" s="46">
        <f t="shared" si="7"/>
        <v>339000</v>
      </c>
      <c r="F28" s="46">
        <f t="shared" si="7"/>
        <v>92819.12000000001</v>
      </c>
      <c r="G28" s="46">
        <f t="shared" si="7"/>
        <v>117460.73000000001</v>
      </c>
      <c r="H28" s="46">
        <f t="shared" si="7"/>
        <v>56529.11</v>
      </c>
      <c r="I28" s="46">
        <f t="shared" si="7"/>
        <v>266808.96</v>
      </c>
      <c r="J28" s="46">
        <f t="shared" si="7"/>
        <v>72191.04</v>
      </c>
      <c r="K28" s="46">
        <f t="shared" si="7"/>
        <v>435000</v>
      </c>
      <c r="L28" s="46">
        <f t="shared" si="7"/>
        <v>143192.58000000002</v>
      </c>
      <c r="M28" s="46">
        <f t="shared" si="7"/>
        <v>262707.81</v>
      </c>
      <c r="N28" s="46">
        <f t="shared" si="7"/>
        <v>101290.65</v>
      </c>
      <c r="O28" s="46">
        <f t="shared" si="7"/>
        <v>93334.04</v>
      </c>
      <c r="P28" s="46">
        <f t="shared" si="7"/>
        <v>499234.43</v>
      </c>
      <c r="Q28" s="46">
        <f t="shared" si="7"/>
        <v>7956.61</v>
      </c>
      <c r="R28" s="46">
        <f t="shared" si="7"/>
        <v>454930</v>
      </c>
      <c r="S28" s="46">
        <f t="shared" si="7"/>
        <v>65006.73</v>
      </c>
      <c r="T28" s="46">
        <f t="shared" si="7"/>
        <v>64904.9</v>
      </c>
      <c r="U28" s="46">
        <f t="shared" si="7"/>
        <v>66373.17</v>
      </c>
      <c r="V28" s="46">
        <f t="shared" si="7"/>
        <v>196284.8</v>
      </c>
      <c r="W28" s="46">
        <f t="shared" si="7"/>
        <v>266601.81</v>
      </c>
      <c r="X28" s="46">
        <f t="shared" si="7"/>
        <v>183690</v>
      </c>
      <c r="Y28" s="46">
        <f t="shared" si="7"/>
        <v>138204.57</v>
      </c>
      <c r="Z28" s="46">
        <f t="shared" si="7"/>
        <v>223240.38</v>
      </c>
      <c r="AA28" s="46">
        <f t="shared" si="7"/>
        <v>86598.61</v>
      </c>
      <c r="AB28" s="46">
        <f t="shared" si="7"/>
        <v>448043.56</v>
      </c>
      <c r="AC28" s="46">
        <f t="shared" si="7"/>
        <v>1410371.75</v>
      </c>
      <c r="AD28" s="71">
        <f>SUM(AD25:AD27)</f>
        <v>-2248.25</v>
      </c>
      <c r="AF28" s="54"/>
    </row>
    <row r="29" spans="1:32" s="6" customFormat="1" ht="15" customHeight="1">
      <c r="A29" s="80">
        <v>4</v>
      </c>
      <c r="B29" s="83" t="s">
        <v>18</v>
      </c>
      <c r="C29" s="16" t="s">
        <v>19</v>
      </c>
      <c r="D29" s="53">
        <v>122300</v>
      </c>
      <c r="E29" s="46">
        <v>48000</v>
      </c>
      <c r="F29" s="48">
        <v>0</v>
      </c>
      <c r="G29" s="47">
        <v>10305.07</v>
      </c>
      <c r="H29" s="48">
        <v>10305.08</v>
      </c>
      <c r="I29" s="53">
        <f>ROUND(F29+G29+H29,2)</f>
        <v>20610.15</v>
      </c>
      <c r="J29" s="53">
        <f>ROUND(E29-I29,2)</f>
        <v>27389.85</v>
      </c>
      <c r="K29" s="53">
        <f>12000+12000</f>
        <v>24000</v>
      </c>
      <c r="L29" s="63">
        <v>10305.08</v>
      </c>
      <c r="M29" s="63">
        <v>10305.08</v>
      </c>
      <c r="N29" s="63">
        <f>ROUND(J29+K29-L29-M29,2)</f>
        <v>30779.69</v>
      </c>
      <c r="O29" s="63">
        <v>18866.59</v>
      </c>
      <c r="P29" s="53">
        <f>ROUND(L29+M29+O29,2)</f>
        <v>39476.75</v>
      </c>
      <c r="Q29" s="53">
        <f>ROUND(J29+K29-P29,2)</f>
        <v>11913.1</v>
      </c>
      <c r="R29" s="63">
        <f>22000+13990</f>
        <v>35990</v>
      </c>
      <c r="S29" s="63">
        <v>0</v>
      </c>
      <c r="T29" s="63">
        <v>19188.49</v>
      </c>
      <c r="U29" s="63">
        <v>14024.64</v>
      </c>
      <c r="V29" s="53">
        <f>ROUND(S29+T29+U29,2)</f>
        <v>33213.13</v>
      </c>
      <c r="W29" s="53">
        <f>ROUND(Q29+R29-V29,2)</f>
        <v>14689.97</v>
      </c>
      <c r="X29" s="63">
        <f>12450+1860</f>
        <v>14310</v>
      </c>
      <c r="Y29" s="47">
        <v>10479.04</v>
      </c>
      <c r="Z29" s="47">
        <v>8706.7</v>
      </c>
      <c r="AA29" s="47">
        <v>9812.56</v>
      </c>
      <c r="AB29" s="53">
        <f>ROUND(Y29+Z29+AA29,2)</f>
        <v>28998.3</v>
      </c>
      <c r="AC29" s="53">
        <f>ROUND(I29+P29+V29+AB29,2)</f>
        <v>122298.33</v>
      </c>
      <c r="AD29" s="49">
        <f>ROUND(AC29-D29,2)</f>
        <v>-1.67</v>
      </c>
      <c r="AF29" s="54"/>
    </row>
    <row r="30" spans="1:32" s="6" customFormat="1" ht="25.5">
      <c r="A30" s="80"/>
      <c r="B30" s="83"/>
      <c r="C30" s="16" t="s">
        <v>20</v>
      </c>
      <c r="D30" s="53">
        <v>2135540</v>
      </c>
      <c r="E30" s="46">
        <v>434000</v>
      </c>
      <c r="F30" s="48">
        <v>96433.78</v>
      </c>
      <c r="G30" s="47">
        <v>144650.67</v>
      </c>
      <c r="H30" s="48">
        <v>144650.67</v>
      </c>
      <c r="I30" s="53">
        <f>ROUND(F30+G30+H30,2)</f>
        <v>385735.12</v>
      </c>
      <c r="J30" s="53">
        <f>ROUND(E30-I30,2)</f>
        <v>48264.88</v>
      </c>
      <c r="K30" s="53">
        <v>390000</v>
      </c>
      <c r="L30" s="63">
        <v>144650.67</v>
      </c>
      <c r="M30" s="63">
        <v>192867.56</v>
      </c>
      <c r="N30" s="63">
        <f>ROUND(J30+K30-L30-M30,2)</f>
        <v>100746.65</v>
      </c>
      <c r="O30" s="63">
        <v>96433.78</v>
      </c>
      <c r="P30" s="53">
        <f>ROUND(L30+M30+O30,2)</f>
        <v>433952.01</v>
      </c>
      <c r="Q30" s="53">
        <f>ROUND(J30+K30-P30,2)</f>
        <v>4312.87</v>
      </c>
      <c r="R30" s="63">
        <f>435000+267460</f>
        <v>702460</v>
      </c>
      <c r="S30" s="63">
        <v>0</v>
      </c>
      <c r="T30" s="63">
        <v>438882.92</v>
      </c>
      <c r="U30" s="63">
        <v>0</v>
      </c>
      <c r="V30" s="53">
        <f>ROUND(S30+T30+U30,2)</f>
        <v>438882.92</v>
      </c>
      <c r="W30" s="53">
        <f>ROUND(Q30+R30-V30,2)</f>
        <v>267889.95</v>
      </c>
      <c r="X30" s="63">
        <v>609080</v>
      </c>
      <c r="Y30" s="47">
        <v>195059.08</v>
      </c>
      <c r="Z30" s="47">
        <v>195059.08</v>
      </c>
      <c r="AA30" s="47">
        <v>438882.92</v>
      </c>
      <c r="AB30" s="53">
        <f>ROUND(Y30+Z30+AA30,2)</f>
        <v>829001.08</v>
      </c>
      <c r="AC30" s="53">
        <f>ROUND(I30+P30+V30+AB30,2)</f>
        <v>2087571.13</v>
      </c>
      <c r="AD30" s="49">
        <f>ROUND(AC30-D30,2)</f>
        <v>-47968.87</v>
      </c>
      <c r="AF30" s="54"/>
    </row>
    <row r="31" spans="1:32" s="6" customFormat="1" ht="25.5">
      <c r="A31" s="80"/>
      <c r="B31" s="83"/>
      <c r="C31" s="16" t="s">
        <v>21</v>
      </c>
      <c r="D31" s="53">
        <v>99170</v>
      </c>
      <c r="E31" s="46">
        <f>152000-52830</f>
        <v>99170</v>
      </c>
      <c r="F31" s="48">
        <v>0</v>
      </c>
      <c r="G31" s="47">
        <v>49581.92</v>
      </c>
      <c r="H31" s="48">
        <v>49581.92</v>
      </c>
      <c r="I31" s="53">
        <f>ROUND(F31+G31+H31,2)</f>
        <v>99163.84</v>
      </c>
      <c r="J31" s="53">
        <f>ROUND(E31-I31,2)</f>
        <v>6.16</v>
      </c>
      <c r="K31" s="53">
        <v>0</v>
      </c>
      <c r="L31" s="63">
        <v>0</v>
      </c>
      <c r="M31" s="63">
        <v>0</v>
      </c>
      <c r="N31" s="63">
        <f>ROUND(J31+K31-L31-M31,2)</f>
        <v>6.16</v>
      </c>
      <c r="O31" s="63">
        <v>0</v>
      </c>
      <c r="P31" s="53">
        <f>ROUND(L31+M31+O31,2)</f>
        <v>0</v>
      </c>
      <c r="Q31" s="53">
        <f>ROUND(J31+K31-P31,2)</f>
        <v>6.16</v>
      </c>
      <c r="R31" s="63">
        <v>0</v>
      </c>
      <c r="S31" s="63">
        <v>0</v>
      </c>
      <c r="T31" s="63">
        <v>0</v>
      </c>
      <c r="U31" s="63">
        <v>0</v>
      </c>
      <c r="V31" s="53">
        <f>ROUND(S31+T31+U31,2)</f>
        <v>0</v>
      </c>
      <c r="W31" s="53">
        <f>ROUND(Q31+R31-V31,2)</f>
        <v>6.16</v>
      </c>
      <c r="X31" s="63">
        <v>0</v>
      </c>
      <c r="Y31" s="47">
        <v>0</v>
      </c>
      <c r="Z31" s="47">
        <v>0</v>
      </c>
      <c r="AA31" s="47">
        <v>0</v>
      </c>
      <c r="AB31" s="53">
        <f>ROUND(Y31+Z31+AA31,2)</f>
        <v>0</v>
      </c>
      <c r="AC31" s="53">
        <f>ROUND(I31+P31+V31+AB31,2)</f>
        <v>99163.84</v>
      </c>
      <c r="AD31" s="49">
        <f>ROUND(AC31-D31,2)</f>
        <v>-6.16</v>
      </c>
      <c r="AF31" s="54"/>
    </row>
    <row r="32" spans="1:32" s="15" customFormat="1" ht="12.75">
      <c r="A32" s="32"/>
      <c r="B32" s="20" t="s">
        <v>22</v>
      </c>
      <c r="C32" s="21"/>
      <c r="D32" s="46">
        <f aca="true" t="shared" si="8" ref="D32:AC32">SUM(D29:D31)</f>
        <v>2357010</v>
      </c>
      <c r="E32" s="46">
        <f t="shared" si="8"/>
        <v>581170</v>
      </c>
      <c r="F32" s="46">
        <f t="shared" si="8"/>
        <v>96433.78</v>
      </c>
      <c r="G32" s="46">
        <f t="shared" si="8"/>
        <v>204537.66000000003</v>
      </c>
      <c r="H32" s="46">
        <f t="shared" si="8"/>
        <v>204537.66999999998</v>
      </c>
      <c r="I32" s="46">
        <f t="shared" si="8"/>
        <v>505509.11</v>
      </c>
      <c r="J32" s="46">
        <f t="shared" si="8"/>
        <v>75660.89</v>
      </c>
      <c r="K32" s="46">
        <f t="shared" si="8"/>
        <v>414000</v>
      </c>
      <c r="L32" s="46">
        <f t="shared" si="8"/>
        <v>154955.75</v>
      </c>
      <c r="M32" s="46">
        <f t="shared" si="8"/>
        <v>203172.63999999998</v>
      </c>
      <c r="N32" s="46">
        <f t="shared" si="8"/>
        <v>131532.5</v>
      </c>
      <c r="O32" s="46">
        <f t="shared" si="8"/>
        <v>115300.37</v>
      </c>
      <c r="P32" s="46">
        <f t="shared" si="8"/>
        <v>473428.76</v>
      </c>
      <c r="Q32" s="46">
        <f t="shared" si="8"/>
        <v>16232.130000000001</v>
      </c>
      <c r="R32" s="46">
        <f t="shared" si="8"/>
        <v>738450</v>
      </c>
      <c r="S32" s="46">
        <f t="shared" si="8"/>
        <v>0</v>
      </c>
      <c r="T32" s="46">
        <f t="shared" si="8"/>
        <v>458071.41</v>
      </c>
      <c r="U32" s="46">
        <f t="shared" si="8"/>
        <v>14024.64</v>
      </c>
      <c r="V32" s="46">
        <f t="shared" si="8"/>
        <v>472096.05</v>
      </c>
      <c r="W32" s="46">
        <f t="shared" si="8"/>
        <v>282586.07999999996</v>
      </c>
      <c r="X32" s="46">
        <f t="shared" si="8"/>
        <v>623390</v>
      </c>
      <c r="Y32" s="46">
        <f t="shared" si="8"/>
        <v>205538.12</v>
      </c>
      <c r="Z32" s="46">
        <f t="shared" si="8"/>
        <v>203765.78</v>
      </c>
      <c r="AA32" s="46">
        <f t="shared" si="8"/>
        <v>448695.48</v>
      </c>
      <c r="AB32" s="46">
        <f t="shared" si="8"/>
        <v>857999.38</v>
      </c>
      <c r="AC32" s="46">
        <f t="shared" si="8"/>
        <v>2309033.3</v>
      </c>
      <c r="AD32" s="71">
        <f>SUM(AD29:AD31)</f>
        <v>-47976.700000000004</v>
      </c>
      <c r="AF32" s="54"/>
    </row>
    <row r="33" spans="1:32" s="6" customFormat="1" ht="25.5">
      <c r="A33" s="33">
        <v>5</v>
      </c>
      <c r="B33" s="34" t="s">
        <v>23</v>
      </c>
      <c r="C33" s="14" t="s">
        <v>6</v>
      </c>
      <c r="D33" s="53">
        <v>5000</v>
      </c>
      <c r="E33" s="46">
        <v>2000</v>
      </c>
      <c r="F33" s="48">
        <v>0</v>
      </c>
      <c r="G33" s="47">
        <v>0</v>
      </c>
      <c r="H33" s="48">
        <v>0</v>
      </c>
      <c r="I33" s="53">
        <f>ROUND(F33+G33+H33,2)</f>
        <v>0</v>
      </c>
      <c r="J33" s="53">
        <f>ROUND(E33-I33,2)</f>
        <v>2000</v>
      </c>
      <c r="K33" s="53">
        <v>3000</v>
      </c>
      <c r="L33" s="63">
        <v>0</v>
      </c>
      <c r="M33" s="63">
        <v>0</v>
      </c>
      <c r="N33" s="63">
        <f>ROUND(J33+K33-L33-M33,2)</f>
        <v>5000</v>
      </c>
      <c r="O33" s="63">
        <v>0</v>
      </c>
      <c r="P33" s="53">
        <f>ROUND(L33+M33+O33,2)</f>
        <v>0</v>
      </c>
      <c r="Q33" s="53">
        <f>ROUND(J33+K33-P33,2)</f>
        <v>5000</v>
      </c>
      <c r="R33" s="63">
        <v>0</v>
      </c>
      <c r="S33" s="63">
        <v>0</v>
      </c>
      <c r="T33" s="63">
        <v>0</v>
      </c>
      <c r="U33" s="63">
        <v>3513</v>
      </c>
      <c r="V33" s="53">
        <f>ROUND(S33+T33+U33,2)</f>
        <v>3513</v>
      </c>
      <c r="W33" s="53">
        <f>ROUND(Q33+R33-V33,2)</f>
        <v>1487</v>
      </c>
      <c r="X33" s="63">
        <v>0</v>
      </c>
      <c r="Y33" s="47">
        <v>0</v>
      </c>
      <c r="Z33" s="63">
        <v>0</v>
      </c>
      <c r="AA33" s="47">
        <v>1464.96</v>
      </c>
      <c r="AB33" s="53">
        <f>ROUND(Y33+Z33+AA33,2)</f>
        <v>1464.96</v>
      </c>
      <c r="AC33" s="53">
        <f>ROUND(I33+P33+V33+AB33,2)</f>
        <v>4977.96</v>
      </c>
      <c r="AD33" s="49">
        <f>ROUND(AC33-D33,2)</f>
        <v>-22.04</v>
      </c>
      <c r="AF33" s="54"/>
    </row>
    <row r="34" spans="1:32" s="6" customFormat="1" ht="12.75">
      <c r="A34" s="32"/>
      <c r="B34" s="20" t="s">
        <v>24</v>
      </c>
      <c r="C34" s="21"/>
      <c r="D34" s="50">
        <f aca="true" t="shared" si="9" ref="D34:AB34">SUM(D33)</f>
        <v>5000</v>
      </c>
      <c r="E34" s="50">
        <f t="shared" si="9"/>
        <v>2000</v>
      </c>
      <c r="F34" s="50">
        <f t="shared" si="9"/>
        <v>0</v>
      </c>
      <c r="G34" s="50">
        <f t="shared" si="9"/>
        <v>0</v>
      </c>
      <c r="H34" s="50">
        <f t="shared" si="9"/>
        <v>0</v>
      </c>
      <c r="I34" s="50">
        <f t="shared" si="9"/>
        <v>0</v>
      </c>
      <c r="J34" s="50">
        <f t="shared" si="9"/>
        <v>2000</v>
      </c>
      <c r="K34" s="50">
        <f t="shared" si="9"/>
        <v>3000</v>
      </c>
      <c r="L34" s="50">
        <f t="shared" si="9"/>
        <v>0</v>
      </c>
      <c r="M34" s="50">
        <f t="shared" si="9"/>
        <v>0</v>
      </c>
      <c r="N34" s="50">
        <f t="shared" si="9"/>
        <v>5000</v>
      </c>
      <c r="O34" s="50">
        <f t="shared" si="9"/>
        <v>0</v>
      </c>
      <c r="P34" s="50">
        <f t="shared" si="9"/>
        <v>0</v>
      </c>
      <c r="Q34" s="50">
        <f t="shared" si="9"/>
        <v>5000</v>
      </c>
      <c r="R34" s="50">
        <f t="shared" si="9"/>
        <v>0</v>
      </c>
      <c r="S34" s="50">
        <f t="shared" si="9"/>
        <v>0</v>
      </c>
      <c r="T34" s="50">
        <f t="shared" si="9"/>
        <v>0</v>
      </c>
      <c r="U34" s="50">
        <f t="shared" si="9"/>
        <v>3513</v>
      </c>
      <c r="V34" s="50">
        <f t="shared" si="9"/>
        <v>3513</v>
      </c>
      <c r="W34" s="50">
        <f t="shared" si="9"/>
        <v>1487</v>
      </c>
      <c r="X34" s="50">
        <f t="shared" si="9"/>
        <v>0</v>
      </c>
      <c r="Y34" s="50">
        <f t="shared" si="9"/>
        <v>0</v>
      </c>
      <c r="Z34" s="50">
        <f t="shared" si="9"/>
        <v>0</v>
      </c>
      <c r="AA34" s="50">
        <f t="shared" si="9"/>
        <v>1464.96</v>
      </c>
      <c r="AB34" s="50">
        <f t="shared" si="9"/>
        <v>1464.96</v>
      </c>
      <c r="AC34" s="50">
        <f>SUM(AC33)</f>
        <v>4977.96</v>
      </c>
      <c r="AD34" s="18">
        <f>SUM(AD33)</f>
        <v>-22.04</v>
      </c>
      <c r="AF34" s="54"/>
    </row>
    <row r="35" spans="1:32" s="6" customFormat="1" ht="15.75" customHeight="1">
      <c r="A35" s="80">
        <v>6</v>
      </c>
      <c r="B35" s="81" t="s">
        <v>25</v>
      </c>
      <c r="C35" s="13" t="s">
        <v>26</v>
      </c>
      <c r="D35" s="50">
        <f aca="true" t="shared" si="10" ref="D35:AD35">ROUND(D19+D23+D28+D30+D31+D33,2)</f>
        <v>8462438.77</v>
      </c>
      <c r="E35" s="50">
        <f t="shared" si="10"/>
        <v>2017170</v>
      </c>
      <c r="F35" s="50">
        <f t="shared" si="10"/>
        <v>346043.52</v>
      </c>
      <c r="G35" s="50">
        <f t="shared" si="10"/>
        <v>711771.78</v>
      </c>
      <c r="H35" s="50">
        <f t="shared" si="10"/>
        <v>451171.91</v>
      </c>
      <c r="I35" s="50">
        <f t="shared" si="10"/>
        <v>1508987.21</v>
      </c>
      <c r="J35" s="50">
        <f t="shared" si="10"/>
        <v>508182.79</v>
      </c>
      <c r="K35" s="50">
        <f t="shared" si="10"/>
        <v>2821290</v>
      </c>
      <c r="L35" s="50">
        <f t="shared" si="10"/>
        <v>957972.3</v>
      </c>
      <c r="M35" s="50">
        <f t="shared" si="10"/>
        <v>613205</v>
      </c>
      <c r="N35" s="50">
        <f t="shared" si="10"/>
        <v>2001585.49</v>
      </c>
      <c r="O35" s="50">
        <f t="shared" si="10"/>
        <v>507675.09</v>
      </c>
      <c r="P35" s="50">
        <f t="shared" si="10"/>
        <v>2078852.39</v>
      </c>
      <c r="Q35" s="50">
        <f t="shared" si="10"/>
        <v>1250620.4</v>
      </c>
      <c r="R35" s="50">
        <f t="shared" si="10"/>
        <v>2357390</v>
      </c>
      <c r="S35" s="50">
        <f t="shared" si="10"/>
        <v>289226.28</v>
      </c>
      <c r="T35" s="50">
        <f t="shared" si="10"/>
        <v>764708.45</v>
      </c>
      <c r="U35" s="50">
        <f t="shared" si="10"/>
        <v>422324.86</v>
      </c>
      <c r="V35" s="50">
        <f t="shared" si="10"/>
        <v>1476259.59</v>
      </c>
      <c r="W35" s="50">
        <f t="shared" si="10"/>
        <v>1729539.58</v>
      </c>
      <c r="X35" s="50">
        <f t="shared" si="10"/>
        <v>1668800</v>
      </c>
      <c r="Y35" s="50">
        <f t="shared" si="10"/>
        <v>784502.56</v>
      </c>
      <c r="Z35" s="50">
        <f t="shared" si="10"/>
        <v>920638.76</v>
      </c>
      <c r="AA35" s="50">
        <f t="shared" si="10"/>
        <v>1341810.84</v>
      </c>
      <c r="AB35" s="50">
        <f t="shared" si="10"/>
        <v>3046952.16</v>
      </c>
      <c r="AC35" s="50">
        <f t="shared" si="10"/>
        <v>8111051.35</v>
      </c>
      <c r="AD35" s="18">
        <f t="shared" si="10"/>
        <v>-351387.42</v>
      </c>
      <c r="AF35" s="54"/>
    </row>
    <row r="36" spans="1:32" s="6" customFormat="1" ht="12.75">
      <c r="A36" s="80"/>
      <c r="B36" s="81"/>
      <c r="C36" s="17" t="s">
        <v>7</v>
      </c>
      <c r="D36" s="50">
        <f aca="true" t="shared" si="11" ref="D36:AD36">ROUND(D20+D22+D29,2)</f>
        <v>622451.23</v>
      </c>
      <c r="E36" s="50">
        <f t="shared" si="11"/>
        <v>451000</v>
      </c>
      <c r="F36" s="50">
        <f t="shared" si="11"/>
        <v>21851.25</v>
      </c>
      <c r="G36" s="50">
        <f t="shared" si="11"/>
        <v>189563.3</v>
      </c>
      <c r="H36" s="50">
        <f t="shared" si="11"/>
        <v>120732.51</v>
      </c>
      <c r="I36" s="50">
        <f t="shared" si="11"/>
        <v>332147.06</v>
      </c>
      <c r="J36" s="50">
        <f t="shared" si="11"/>
        <v>118852.94</v>
      </c>
      <c r="K36" s="50">
        <f t="shared" si="11"/>
        <v>592000</v>
      </c>
      <c r="L36" s="50">
        <f t="shared" si="11"/>
        <v>22410.84</v>
      </c>
      <c r="M36" s="50">
        <f t="shared" si="11"/>
        <v>10305.08</v>
      </c>
      <c r="N36" s="50">
        <f t="shared" si="11"/>
        <v>678137.02</v>
      </c>
      <c r="O36" s="50">
        <f t="shared" si="11"/>
        <v>18866.59</v>
      </c>
      <c r="P36" s="50">
        <f t="shared" si="11"/>
        <v>51582.51</v>
      </c>
      <c r="Q36" s="50">
        <f t="shared" si="11"/>
        <v>659270.43</v>
      </c>
      <c r="R36" s="50">
        <f t="shared" si="11"/>
        <v>35990</v>
      </c>
      <c r="S36" s="50">
        <f t="shared" si="11"/>
        <v>128950.6</v>
      </c>
      <c r="T36" s="50">
        <f t="shared" si="11"/>
        <v>66746.45</v>
      </c>
      <c r="U36" s="50">
        <f t="shared" si="11"/>
        <v>14024.64</v>
      </c>
      <c r="V36" s="50">
        <f t="shared" si="11"/>
        <v>209721.69</v>
      </c>
      <c r="W36" s="50">
        <f t="shared" si="11"/>
        <v>14689.97</v>
      </c>
      <c r="X36" s="50">
        <f t="shared" si="11"/>
        <v>14310</v>
      </c>
      <c r="Y36" s="50">
        <f t="shared" si="11"/>
        <v>10479.04</v>
      </c>
      <c r="Z36" s="50">
        <f t="shared" si="11"/>
        <v>8706.7</v>
      </c>
      <c r="AA36" s="50">
        <f t="shared" si="11"/>
        <v>9812.56</v>
      </c>
      <c r="AB36" s="50">
        <f t="shared" si="11"/>
        <v>28998.3</v>
      </c>
      <c r="AC36" s="50">
        <f t="shared" si="11"/>
        <v>622449.56</v>
      </c>
      <c r="AD36" s="18">
        <f t="shared" si="11"/>
        <v>-1.67</v>
      </c>
      <c r="AF36" s="54"/>
    </row>
    <row r="37" spans="1:32" s="6" customFormat="1" ht="12.75">
      <c r="A37" s="19"/>
      <c r="B37" s="20" t="s">
        <v>56</v>
      </c>
      <c r="C37" s="21"/>
      <c r="D37" s="50">
        <f aca="true" t="shared" si="12" ref="D37:AB37">SUM(D35:D36)</f>
        <v>9084890</v>
      </c>
      <c r="E37" s="50">
        <f t="shared" si="12"/>
        <v>2468170</v>
      </c>
      <c r="F37" s="50">
        <f t="shared" si="12"/>
        <v>367894.77</v>
      </c>
      <c r="G37" s="50">
        <f t="shared" si="12"/>
        <v>901335.0800000001</v>
      </c>
      <c r="H37" s="50">
        <f t="shared" si="12"/>
        <v>571904.4199999999</v>
      </c>
      <c r="I37" s="50">
        <f t="shared" si="12"/>
        <v>1841134.27</v>
      </c>
      <c r="J37" s="50">
        <f t="shared" si="12"/>
        <v>627035.73</v>
      </c>
      <c r="K37" s="50">
        <f t="shared" si="12"/>
        <v>3413290</v>
      </c>
      <c r="L37" s="50">
        <f t="shared" si="12"/>
        <v>980383.14</v>
      </c>
      <c r="M37" s="50">
        <f t="shared" si="12"/>
        <v>623510.08</v>
      </c>
      <c r="N37" s="50">
        <f t="shared" si="12"/>
        <v>2679722.51</v>
      </c>
      <c r="O37" s="50">
        <f t="shared" si="12"/>
        <v>526541.68</v>
      </c>
      <c r="P37" s="50">
        <f t="shared" si="12"/>
        <v>2130434.9</v>
      </c>
      <c r="Q37" s="50">
        <f t="shared" si="12"/>
        <v>1909890.83</v>
      </c>
      <c r="R37" s="50">
        <f t="shared" si="12"/>
        <v>2393380</v>
      </c>
      <c r="S37" s="50">
        <f t="shared" si="12"/>
        <v>418176.88</v>
      </c>
      <c r="T37" s="50">
        <f t="shared" si="12"/>
        <v>831454.8999999999</v>
      </c>
      <c r="U37" s="50">
        <f t="shared" si="12"/>
        <v>436349.5</v>
      </c>
      <c r="V37" s="50">
        <f t="shared" si="12"/>
        <v>1685981.28</v>
      </c>
      <c r="W37" s="50">
        <f t="shared" si="12"/>
        <v>1744229.55</v>
      </c>
      <c r="X37" s="50">
        <f t="shared" si="12"/>
        <v>1683110</v>
      </c>
      <c r="Y37" s="50">
        <f t="shared" si="12"/>
        <v>794981.6000000001</v>
      </c>
      <c r="Z37" s="50">
        <f t="shared" si="12"/>
        <v>929345.46</v>
      </c>
      <c r="AA37" s="50">
        <f t="shared" si="12"/>
        <v>1351623.4000000001</v>
      </c>
      <c r="AB37" s="50">
        <f t="shared" si="12"/>
        <v>3075950.46</v>
      </c>
      <c r="AC37" s="50">
        <f>SUM(AC35:AC36)</f>
        <v>8733500.91</v>
      </c>
      <c r="AD37" s="18">
        <f>SUM(AD35:AD36)</f>
        <v>-351389.08999999997</v>
      </c>
      <c r="AF37" s="54"/>
    </row>
    <row r="38" spans="1:32" s="6" customFormat="1" ht="18" customHeight="1">
      <c r="A38" s="80">
        <v>7</v>
      </c>
      <c r="B38" s="81" t="s">
        <v>27</v>
      </c>
      <c r="C38" s="13" t="s">
        <v>26</v>
      </c>
      <c r="D38" s="50">
        <f>ROUND(D12+D35,2)</f>
        <v>8972088.77</v>
      </c>
      <c r="E38" s="50">
        <f aca="true" t="shared" si="13" ref="E38:AD39">ROUND(E12+E35,2)</f>
        <v>2107170</v>
      </c>
      <c r="F38" s="50">
        <f t="shared" si="13"/>
        <v>399951.65</v>
      </c>
      <c r="G38" s="50">
        <f t="shared" si="13"/>
        <v>711771.78</v>
      </c>
      <c r="H38" s="50">
        <f t="shared" si="13"/>
        <v>478060.19</v>
      </c>
      <c r="I38" s="50">
        <f t="shared" si="13"/>
        <v>1589783.62</v>
      </c>
      <c r="J38" s="50">
        <f t="shared" si="13"/>
        <v>517386.38</v>
      </c>
      <c r="K38" s="50">
        <f t="shared" si="13"/>
        <v>3026290</v>
      </c>
      <c r="L38" s="50">
        <f t="shared" si="13"/>
        <v>957972.3</v>
      </c>
      <c r="M38" s="50">
        <f t="shared" si="13"/>
        <v>613205</v>
      </c>
      <c r="N38" s="50">
        <f t="shared" si="13"/>
        <v>2215789.08</v>
      </c>
      <c r="O38" s="50">
        <f t="shared" si="13"/>
        <v>671458.06</v>
      </c>
      <c r="P38" s="50">
        <f t="shared" si="13"/>
        <v>2242635.36</v>
      </c>
      <c r="Q38" s="50">
        <f t="shared" si="13"/>
        <v>1301041.02</v>
      </c>
      <c r="R38" s="50">
        <f t="shared" si="13"/>
        <v>2662040</v>
      </c>
      <c r="S38" s="50">
        <f t="shared" si="13"/>
        <v>289226.28</v>
      </c>
      <c r="T38" s="50">
        <f t="shared" si="13"/>
        <v>804145.05</v>
      </c>
      <c r="U38" s="50">
        <f t="shared" si="13"/>
        <v>445367.46</v>
      </c>
      <c r="V38" s="50">
        <f t="shared" si="13"/>
        <v>1538738.79</v>
      </c>
      <c r="W38" s="50">
        <f t="shared" si="13"/>
        <v>1932131</v>
      </c>
      <c r="X38" s="50">
        <f t="shared" si="13"/>
        <v>1668800</v>
      </c>
      <c r="Y38" s="50">
        <f t="shared" si="13"/>
        <v>784502.56</v>
      </c>
      <c r="Z38" s="50">
        <f t="shared" si="13"/>
        <v>963208.71</v>
      </c>
      <c r="AA38" s="50">
        <f t="shared" si="13"/>
        <v>1498536.45</v>
      </c>
      <c r="AB38" s="50">
        <f t="shared" si="13"/>
        <v>3246247.72</v>
      </c>
      <c r="AC38" s="50">
        <f t="shared" si="13"/>
        <v>8617405.49</v>
      </c>
      <c r="AD38" s="18">
        <f t="shared" si="13"/>
        <v>-354683.28</v>
      </c>
      <c r="AF38" s="54"/>
    </row>
    <row r="39" spans="1:32" s="6" customFormat="1" ht="24.75" customHeight="1">
      <c r="A39" s="80"/>
      <c r="B39" s="81"/>
      <c r="C39" s="17" t="s">
        <v>7</v>
      </c>
      <c r="D39" s="50">
        <f>ROUND(D13+D36,2)</f>
        <v>752451.23</v>
      </c>
      <c r="E39" s="50">
        <f t="shared" si="13"/>
        <v>486000</v>
      </c>
      <c r="F39" s="50">
        <f t="shared" si="13"/>
        <v>41660.44</v>
      </c>
      <c r="G39" s="50">
        <f t="shared" si="13"/>
        <v>196744.12</v>
      </c>
      <c r="H39" s="50">
        <f t="shared" si="13"/>
        <v>128715.94</v>
      </c>
      <c r="I39" s="50">
        <f t="shared" si="13"/>
        <v>367120.5</v>
      </c>
      <c r="J39" s="50">
        <f t="shared" si="13"/>
        <v>118879.5</v>
      </c>
      <c r="K39" s="50">
        <f t="shared" si="13"/>
        <v>647000</v>
      </c>
      <c r="L39" s="50">
        <f t="shared" si="13"/>
        <v>47310.51</v>
      </c>
      <c r="M39" s="50">
        <f t="shared" si="13"/>
        <v>40184.33</v>
      </c>
      <c r="N39" s="50">
        <f t="shared" si="13"/>
        <v>678384.66</v>
      </c>
      <c r="O39" s="50">
        <f t="shared" si="13"/>
        <v>18866.59</v>
      </c>
      <c r="P39" s="50">
        <f t="shared" si="13"/>
        <v>106361.43</v>
      </c>
      <c r="Q39" s="50">
        <f t="shared" si="13"/>
        <v>659518.07</v>
      </c>
      <c r="R39" s="50">
        <f t="shared" si="13"/>
        <v>75990</v>
      </c>
      <c r="S39" s="50">
        <f t="shared" si="13"/>
        <v>128950.6</v>
      </c>
      <c r="T39" s="50">
        <f t="shared" si="13"/>
        <v>72523.45</v>
      </c>
      <c r="U39" s="50">
        <f t="shared" si="13"/>
        <v>46900.95</v>
      </c>
      <c r="V39" s="50">
        <f t="shared" si="13"/>
        <v>248375</v>
      </c>
      <c r="W39" s="50">
        <f t="shared" si="13"/>
        <v>16284.3</v>
      </c>
      <c r="X39" s="50">
        <f t="shared" si="13"/>
        <v>14310</v>
      </c>
      <c r="Y39" s="50">
        <f t="shared" si="13"/>
        <v>10479.04</v>
      </c>
      <c r="Z39" s="50">
        <f t="shared" si="13"/>
        <v>8706.7</v>
      </c>
      <c r="AA39" s="50">
        <f t="shared" si="13"/>
        <v>11229.56</v>
      </c>
      <c r="AB39" s="50">
        <f t="shared" si="13"/>
        <v>30415.3</v>
      </c>
      <c r="AC39" s="50">
        <f t="shared" si="13"/>
        <v>752272.23</v>
      </c>
      <c r="AD39" s="18">
        <f t="shared" si="13"/>
        <v>-179</v>
      </c>
      <c r="AF39" s="54"/>
    </row>
    <row r="40" spans="1:32" s="15" customFormat="1" ht="13.5" thickBot="1">
      <c r="A40" s="72"/>
      <c r="B40" s="73" t="s">
        <v>29</v>
      </c>
      <c r="C40" s="68"/>
      <c r="D40" s="69">
        <f aca="true" t="shared" si="14" ref="D40:AB40">ROUND(D38+D39,2)</f>
        <v>9724540</v>
      </c>
      <c r="E40" s="69">
        <f t="shared" si="14"/>
        <v>2593170</v>
      </c>
      <c r="F40" s="69">
        <f t="shared" si="14"/>
        <v>441612.09</v>
      </c>
      <c r="G40" s="69">
        <f t="shared" si="14"/>
        <v>908515.9</v>
      </c>
      <c r="H40" s="69">
        <f t="shared" si="14"/>
        <v>606776.13</v>
      </c>
      <c r="I40" s="69">
        <f t="shared" si="14"/>
        <v>1956904.12</v>
      </c>
      <c r="J40" s="69">
        <f t="shared" si="14"/>
        <v>636265.88</v>
      </c>
      <c r="K40" s="69">
        <f t="shared" si="14"/>
        <v>3673290</v>
      </c>
      <c r="L40" s="69">
        <f t="shared" si="14"/>
        <v>1005282.81</v>
      </c>
      <c r="M40" s="69">
        <f t="shared" si="14"/>
        <v>653389.33</v>
      </c>
      <c r="N40" s="69">
        <f t="shared" si="14"/>
        <v>2894173.74</v>
      </c>
      <c r="O40" s="69">
        <f t="shared" si="14"/>
        <v>690324.65</v>
      </c>
      <c r="P40" s="69">
        <f t="shared" si="14"/>
        <v>2348996.79</v>
      </c>
      <c r="Q40" s="69">
        <f t="shared" si="14"/>
        <v>1960559.09</v>
      </c>
      <c r="R40" s="69">
        <f t="shared" si="14"/>
        <v>2738030</v>
      </c>
      <c r="S40" s="69">
        <f t="shared" si="14"/>
        <v>418176.88</v>
      </c>
      <c r="T40" s="69">
        <f t="shared" si="14"/>
        <v>876668.5</v>
      </c>
      <c r="U40" s="69">
        <f t="shared" si="14"/>
        <v>492268.41</v>
      </c>
      <c r="V40" s="69">
        <f t="shared" si="14"/>
        <v>1787113.79</v>
      </c>
      <c r="W40" s="69">
        <f t="shared" si="14"/>
        <v>1948415.3</v>
      </c>
      <c r="X40" s="69">
        <f t="shared" si="14"/>
        <v>1683110</v>
      </c>
      <c r="Y40" s="69">
        <f t="shared" si="14"/>
        <v>794981.6</v>
      </c>
      <c r="Z40" s="69">
        <f t="shared" si="14"/>
        <v>971915.41</v>
      </c>
      <c r="AA40" s="69">
        <f t="shared" si="14"/>
        <v>1509766.01</v>
      </c>
      <c r="AB40" s="69">
        <f t="shared" si="14"/>
        <v>3276663.02</v>
      </c>
      <c r="AC40" s="69">
        <f>ROUND(AC38+AC39,2)</f>
        <v>9369677.72</v>
      </c>
      <c r="AD40" s="70">
        <f>ROUND(AD38+AD39,2)</f>
        <v>-354862.28</v>
      </c>
      <c r="AF40" s="54"/>
    </row>
    <row r="41" spans="1:4" s="15" customFormat="1" ht="12.75">
      <c r="A41" s="23"/>
      <c r="B41" s="24"/>
      <c r="C41" s="25"/>
      <c r="D41" s="25"/>
    </row>
    <row r="42" spans="3:38" ht="15.75">
      <c r="C42" s="36"/>
      <c r="D42" s="36"/>
      <c r="G42" s="74"/>
      <c r="H42" s="27"/>
      <c r="I42" s="35"/>
      <c r="J42" s="35"/>
      <c r="K42" s="36"/>
      <c r="L42" s="36"/>
      <c r="M42" s="36"/>
      <c r="Q42" s="36"/>
      <c r="AC42" s="27"/>
      <c r="AF42" s="27"/>
      <c r="AG42" s="75"/>
      <c r="AI42" s="35"/>
      <c r="AJ42" s="35"/>
      <c r="AL42" s="27"/>
    </row>
    <row r="43" spans="3:38" ht="15.75">
      <c r="C43" s="36"/>
      <c r="D43" s="36"/>
      <c r="G43" s="76"/>
      <c r="H43" s="27"/>
      <c r="I43" s="40"/>
      <c r="J43" s="40"/>
      <c r="K43" s="36"/>
      <c r="L43" s="36"/>
      <c r="M43" s="36"/>
      <c r="Q43" s="77"/>
      <c r="AC43" s="27"/>
      <c r="AE43" s="78"/>
      <c r="AF43" s="27"/>
      <c r="AG43" s="35"/>
      <c r="AI43" s="40"/>
      <c r="AJ43" s="36"/>
      <c r="AL43" s="37"/>
    </row>
    <row r="44" spans="3:35" ht="15.75">
      <c r="C44" s="3"/>
      <c r="D44" s="3"/>
      <c r="AI44" s="27"/>
    </row>
    <row r="45" spans="3:4" ht="15.75">
      <c r="C45" s="3"/>
      <c r="D45" s="3"/>
    </row>
  </sheetData>
  <mergeCells count="17">
    <mergeCell ref="D3:P3"/>
    <mergeCell ref="A7:A8"/>
    <mergeCell ref="B7:B8"/>
    <mergeCell ref="A12:A13"/>
    <mergeCell ref="B12:B13"/>
    <mergeCell ref="A19:A20"/>
    <mergeCell ref="B19:B20"/>
    <mergeCell ref="A22:A23"/>
    <mergeCell ref="B22:B23"/>
    <mergeCell ref="A25:A27"/>
    <mergeCell ref="B25:B27"/>
    <mergeCell ref="A29:A31"/>
    <mergeCell ref="B29:B31"/>
    <mergeCell ref="A35:A36"/>
    <mergeCell ref="B35:B36"/>
    <mergeCell ref="A38:A39"/>
    <mergeCell ref="B38:B39"/>
  </mergeCells>
  <printOptions/>
  <pageMargins left="0.22" right="0.17" top="0.23" bottom="0.16" header="0.23" footer="0.16"/>
  <pageSetup horizontalDpi="600" verticalDpi="600" orientation="landscape" paperSize="9" scale="5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2021-01-25T07:57:46Z</cp:lastPrinted>
  <dcterms:created xsi:type="dcterms:W3CDTF">2019-01-29T08:55:49Z</dcterms:created>
  <dcterms:modified xsi:type="dcterms:W3CDTF">2021-01-25T07:57:53Z</dcterms:modified>
  <cp:category/>
  <cp:version/>
  <cp:contentType/>
  <cp:contentStatus/>
</cp:coreProperties>
</file>