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6" activeTab="11"/>
  </bookViews>
  <sheets>
    <sheet name="IAN.2021" sheetId="1" r:id="rId1"/>
    <sheet name="FEBR.2021 " sheetId="2" r:id="rId2"/>
    <sheet name="MARTIE 2021 " sheetId="3" r:id="rId3"/>
    <sheet name="APRILIE 2021 " sheetId="4" r:id="rId4"/>
    <sheet name="MAI 2021 " sheetId="5" r:id="rId5"/>
    <sheet name="IUNIE 2021" sheetId="6" r:id="rId6"/>
    <sheet name="IULIE 2021" sheetId="7" r:id="rId7"/>
    <sheet name="AUGUST 2021" sheetId="8" r:id="rId8"/>
    <sheet name="SEPTEMBRIE 2021" sheetId="9" r:id="rId9"/>
    <sheet name="OCTOMBRIE 2021" sheetId="10" r:id="rId10"/>
    <sheet name="NOIEMBRIE 2021" sheetId="11" r:id="rId11"/>
    <sheet name="DECEMBRIE 2021 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<sst xmlns="http://schemas.openxmlformats.org/spreadsheetml/2006/main" count="467" uniqueCount="56">
  <si>
    <t>CASA DE ASIGURARI DE SANATATE OLT</t>
  </si>
  <si>
    <t>LUNA pentru care s-a platit</t>
  </si>
  <si>
    <t>COMP.+GRATUIT</t>
  </si>
  <si>
    <t>PENSMS 40%</t>
  </si>
  <si>
    <t>CV COMP.SI GRATUIT</t>
  </si>
  <si>
    <t>ADO</t>
  </si>
  <si>
    <t>INSULINA</t>
  </si>
  <si>
    <t>MIXT</t>
  </si>
  <si>
    <t>TOTAL DIABET</t>
  </si>
  <si>
    <t>ONCOLOGIE ACTV.CRT.</t>
  </si>
  <si>
    <t>ONCOLOGIE COST-VOLUM</t>
  </si>
  <si>
    <t>POSTTRANSPLANT</t>
  </si>
  <si>
    <t>MUCOVISCIDOZA</t>
  </si>
  <si>
    <t>SCLEROZA</t>
  </si>
  <si>
    <t>ANGIOEDEM</t>
  </si>
  <si>
    <t>FIBROZA</t>
  </si>
  <si>
    <t>LIMFA</t>
  </si>
  <si>
    <t>TESTE COPII</t>
  </si>
  <si>
    <t>TESTE ADULTI</t>
  </si>
  <si>
    <t>TOTAL</t>
  </si>
  <si>
    <t xml:space="preserve">TOTAL </t>
  </si>
  <si>
    <t>PLATI FARMACII IANUARIE 2021</t>
  </si>
  <si>
    <t>AUG+SEPT.</t>
  </si>
  <si>
    <t>NOIEMBRIE 2020</t>
  </si>
  <si>
    <t>OCT. 2020</t>
  </si>
  <si>
    <t>SEPT.OCT. 2020</t>
  </si>
  <si>
    <t>PLATI FARMACII FEBRUARIE 2021</t>
  </si>
  <si>
    <t>NOV.2020</t>
  </si>
  <si>
    <t>PLATI FARMACII MARTIE 2021</t>
  </si>
  <si>
    <t>NOV 2020</t>
  </si>
  <si>
    <t>DEC. 2020</t>
  </si>
  <si>
    <t>DEC. 2020+IAN.2021</t>
  </si>
  <si>
    <t>PLATI FARMACII APRILIE 2021</t>
  </si>
  <si>
    <t>DEC 2020</t>
  </si>
  <si>
    <t>FEBR.2021</t>
  </si>
  <si>
    <t>IAN. 2020</t>
  </si>
  <si>
    <t>PLATI FARMACII MAI 2021</t>
  </si>
  <si>
    <t>MARTIE 2021</t>
  </si>
  <si>
    <t>IAN2021</t>
  </si>
  <si>
    <t>PLATI FARMACII IUNIE 2021</t>
  </si>
  <si>
    <t>APRILIE 2021</t>
  </si>
  <si>
    <t>PLATI FARMACII IULIE 2021</t>
  </si>
  <si>
    <t>MAI 2021</t>
  </si>
  <si>
    <t>PLATI FARMACII AUGUST 2021</t>
  </si>
  <si>
    <t>IUNIE 2021</t>
  </si>
  <si>
    <t>PLATI FARMACII SEPTEMBRIE 2021</t>
  </si>
  <si>
    <t>IULIE 2021</t>
  </si>
  <si>
    <t>MAI 2021 IUNIE</t>
  </si>
  <si>
    <t>PLATI FARMACII OCTOMBRIE 2021</t>
  </si>
  <si>
    <t>DIF. IUNIE</t>
  </si>
  <si>
    <t>AUG. 2021</t>
  </si>
  <si>
    <t>PLATI FARMACII NOIEMBRIE 2021</t>
  </si>
  <si>
    <t>IULIE</t>
  </si>
  <si>
    <t>SEPT. 2021</t>
  </si>
  <si>
    <t>PLATI FARMACII DECEMBRIE 2021</t>
  </si>
  <si>
    <t>OCT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</si>
</sst>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0" fontId="2" fillId="0" borderId="4" xfId="0" applyFont="1" applyBorder="1" applyAlignment="1">
      <alignment/>
    </xf>
    <xf numFmtId="49" fontId="2" fillId="0" borderId="5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/>
    </xf>
    <xf numFmtId="4" fontId="1" fillId="0" borderId="6" xfId="0" applyNumberFormat="1" applyFont="1" applyBorder="1" applyAlignment="1">
      <alignment vertical="top"/>
    </xf>
    <xf numFmtId="4" fontId="1" fillId="0" borderId="6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1" fillId="0" borderId="9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9" xfId="0" applyNumberFormat="1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" fontId="1" fillId="0" borderId="11" xfId="0" applyNumberFormat="1" applyFont="1" applyBorder="1" applyAlignment="1">
      <alignment vertical="top" wrapText="1"/>
    </xf>
    <xf numFmtId="0" fontId="1" fillId="0" borderId="9" xfId="0" applyFont="1" applyBorder="1" applyAlignment="1">
      <alignment/>
    </xf>
    <xf numFmtId="4" fontId="1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16" xfId="0" applyNumberFormat="1" applyFont="1" applyBorder="1" applyAlignment="1">
      <alignment vertical="top" wrapText="1"/>
    </xf>
    <xf numFmtId="4" fontId="1" fillId="0" borderId="17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50"/>
  <sheetViews>
    <sheetView workbookViewId="0" topLeftCell="C1">
      <selection activeCell="D12" sqref="D12"/>
    </sheetView>
  </sheetViews>
  <sheetFormatPr defaultColWidth="9.140625" defaultRowHeight="12.75"/>
  <cols>
    <col min="1" max="1" width="10.140625" style="3" customWidth="1"/>
    <col min="2" max="2" width="10.8515625" style="3" customWidth="1"/>
    <col min="3" max="3" width="3.7109375" style="3" customWidth="1"/>
    <col min="4" max="4" width="8.57421875" style="3" customWidth="1"/>
    <col min="5" max="5" width="9.8515625" style="3" customWidth="1"/>
    <col min="6" max="6" width="8.7109375" style="3" customWidth="1"/>
    <col min="7" max="7" width="10.7109375" style="3" customWidth="1"/>
    <col min="8" max="8" width="9.7109375" style="3" customWidth="1"/>
    <col min="9" max="9" width="9.8515625" style="3" customWidth="1"/>
    <col min="10" max="10" width="8.57421875" style="3" customWidth="1"/>
    <col min="11" max="11" width="8.421875" style="3" customWidth="1"/>
    <col min="12" max="12" width="7.8515625" style="3" customWidth="1"/>
    <col min="13" max="13" width="6.7109375" style="3" customWidth="1"/>
    <col min="14" max="14" width="8.00390625" style="3" customWidth="1"/>
    <col min="15" max="16" width="7.7109375" style="3" customWidth="1"/>
    <col min="17" max="17" width="7.28125" style="3" customWidth="1"/>
    <col min="18" max="18" width="8.710937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21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57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18" customHeight="1">
      <c r="A10" s="9" t="s">
        <v>22</v>
      </c>
      <c r="B10" s="10">
        <f>6910878.9+7271353.9</f>
        <v>14182232.8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23</v>
      </c>
      <c r="B11" s="16"/>
      <c r="C11" s="11"/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24</v>
      </c>
      <c r="B12" s="16"/>
      <c r="C12" s="11"/>
      <c r="D12" s="20">
        <f>119290+6532.58</f>
        <v>125822.58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25</v>
      </c>
      <c r="B13" s="16"/>
      <c r="C13" s="11"/>
      <c r="D13" s="20"/>
      <c r="E13" s="17">
        <f>737997.1+1385490.03</f>
        <v>2123487.13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24</v>
      </c>
      <c r="B14" s="16"/>
      <c r="C14" s="11"/>
      <c r="D14" s="20"/>
      <c r="E14" s="17"/>
      <c r="F14" s="35">
        <f>190679.6+188901.14</f>
        <v>379580.74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24</v>
      </c>
      <c r="B15" s="16"/>
      <c r="C15" s="11"/>
      <c r="D15" s="20"/>
      <c r="E15" s="18"/>
      <c r="F15" s="18"/>
      <c r="G15" s="13">
        <f>998632.19+1202986.89</f>
        <v>2201619.08</v>
      </c>
      <c r="H15" s="13"/>
      <c r="I15" s="13">
        <f>589473.08+586215.4</f>
        <v>1175688.48</v>
      </c>
      <c r="J15" s="17"/>
      <c r="K15" s="17"/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24</v>
      </c>
      <c r="B16" s="16"/>
      <c r="C16" s="11"/>
      <c r="D16" s="20"/>
      <c r="E16" s="18"/>
      <c r="F16" s="13"/>
      <c r="G16" s="13"/>
      <c r="H16" s="13"/>
      <c r="I16" s="13"/>
      <c r="J16" s="21">
        <v>131012.56</v>
      </c>
      <c r="K16" s="21"/>
      <c r="L16" s="21"/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24</v>
      </c>
      <c r="B17" s="20"/>
      <c r="C17" s="20"/>
      <c r="D17" s="20"/>
      <c r="E17" s="18"/>
      <c r="F17" s="21"/>
      <c r="G17" s="21"/>
      <c r="H17" s="21"/>
      <c r="I17" s="21"/>
      <c r="J17" s="21"/>
      <c r="K17" s="21">
        <f>3.76+81440.49</f>
        <v>81444.25</v>
      </c>
      <c r="L17" s="21"/>
      <c r="M17" s="21"/>
      <c r="N17" s="21"/>
      <c r="O17" s="21"/>
      <c r="P17" s="21"/>
      <c r="Q17" s="21"/>
      <c r="R17" s="22"/>
      <c r="S17" s="19"/>
    </row>
    <row r="18" spans="1:19" ht="15" customHeight="1">
      <c r="A18" s="9" t="s">
        <v>24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>
        <f>29807.11+6873.5</f>
        <v>36680.61</v>
      </c>
      <c r="M18" s="21"/>
      <c r="N18" s="21"/>
      <c r="O18" s="21"/>
      <c r="P18" s="21"/>
      <c r="Q18" s="21"/>
      <c r="R18" s="22"/>
      <c r="S18" s="19"/>
    </row>
    <row r="19" spans="1:19" ht="15" customHeight="1">
      <c r="A19" s="9" t="s">
        <v>24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>
        <v>2643.06</v>
      </c>
      <c r="N19" s="21"/>
      <c r="O19" s="21"/>
      <c r="P19" s="21"/>
      <c r="Q19" s="21"/>
      <c r="R19" s="22"/>
      <c r="S19" s="19"/>
    </row>
    <row r="20" spans="1:19" ht="11.25">
      <c r="A20" s="9" t="s">
        <v>24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>
        <v>89735.04</v>
      </c>
      <c r="O20" s="21"/>
      <c r="P20" s="21"/>
      <c r="Q20" s="21"/>
      <c r="R20" s="22"/>
      <c r="S20" s="19"/>
    </row>
    <row r="21" spans="1:19" ht="11.25" hidden="1">
      <c r="A21" s="9" t="s">
        <v>24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24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24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24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>
        <v>10376.35</v>
      </c>
      <c r="P24" s="17">
        <v>1637.28</v>
      </c>
      <c r="Q24" s="17"/>
      <c r="R24" s="23"/>
      <c r="S24" s="19"/>
    </row>
    <row r="25" spans="1:19" ht="15" customHeight="1">
      <c r="A25" s="9" t="s">
        <v>24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>
        <v>6480</v>
      </c>
      <c r="R25" s="23"/>
      <c r="S25" s="19"/>
    </row>
    <row r="26" spans="1:19" ht="12" thickBot="1">
      <c r="A26" s="9" t="s">
        <v>24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>
        <v>141540</v>
      </c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 aca="true" t="shared" si="0" ref="B32:G32">SUM(B10:B31)</f>
        <v>14182232.8</v>
      </c>
      <c r="C32" s="32">
        <f t="shared" si="0"/>
        <v>0</v>
      </c>
      <c r="D32" s="32">
        <f t="shared" si="0"/>
        <v>125822.58</v>
      </c>
      <c r="E32" s="32">
        <f t="shared" si="0"/>
        <v>2123487.13</v>
      </c>
      <c r="F32" s="32">
        <f t="shared" si="0"/>
        <v>379580.74</v>
      </c>
      <c r="G32" s="32">
        <f t="shared" si="0"/>
        <v>2201619.08</v>
      </c>
      <c r="H32" s="6">
        <f>E32+F32+G32</f>
        <v>4704686.95</v>
      </c>
      <c r="I32" s="6">
        <f aca="true" t="shared" si="1" ref="I32:O32">SUM(I10:I31)</f>
        <v>1175688.48</v>
      </c>
      <c r="J32" s="6">
        <f t="shared" si="1"/>
        <v>131012.56</v>
      </c>
      <c r="K32" s="6">
        <f t="shared" si="1"/>
        <v>81444.25</v>
      </c>
      <c r="L32" s="6">
        <f t="shared" si="1"/>
        <v>36680.61</v>
      </c>
      <c r="M32" s="6">
        <f t="shared" si="1"/>
        <v>2643.06</v>
      </c>
      <c r="N32" s="6">
        <f t="shared" si="1"/>
        <v>89735.04</v>
      </c>
      <c r="O32" s="6">
        <f t="shared" si="1"/>
        <v>10376.35</v>
      </c>
      <c r="P32" s="6">
        <f>SUM(P20:P31)</f>
        <v>1637.28</v>
      </c>
      <c r="Q32" s="6">
        <f>SUM(Q10:Q31)</f>
        <v>6480</v>
      </c>
      <c r="R32" s="7">
        <f>SUM(R26:R31)</f>
        <v>141540</v>
      </c>
      <c r="S32" s="33">
        <f>B32+C32+D32+H32+I32+J32+K32+L32+M32+N32+O32+Q32+R32</f>
        <v>20688342.68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>
        <f>B32+C32+D32+H32+I32+J32+K32+L32+M32+N32+O32+P32+Q32+R32</f>
        <v>20689979.96</v>
      </c>
      <c r="H38" s="2"/>
      <c r="I38" s="2"/>
    </row>
    <row r="39" spans="6:11" ht="11.25">
      <c r="F39" s="2"/>
      <c r="G39" s="2"/>
      <c r="H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/>
      <c r="H41" s="2"/>
      <c r="I41" s="2"/>
    </row>
    <row r="42" spans="6:8" ht="11.25">
      <c r="F42" s="2"/>
      <c r="G42" s="2"/>
      <c r="H42" s="2"/>
    </row>
    <row r="43" spans="7:11" ht="11.25">
      <c r="G43" s="2"/>
      <c r="H43" s="2"/>
      <c r="K43" s="2"/>
    </row>
    <row r="44" ht="11.25"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</sheetData>
  <printOptions/>
  <pageMargins left="0.5511811023622047" right="0" top="0" bottom="0" header="0.5118110236220472" footer="0.5118110236220472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S52"/>
  <sheetViews>
    <sheetView workbookViewId="0" topLeftCell="A1">
      <selection activeCell="H39" sqref="H39"/>
    </sheetView>
  </sheetViews>
  <sheetFormatPr defaultColWidth="9.140625" defaultRowHeight="12.75"/>
  <cols>
    <col min="1" max="1" width="9.00390625" style="3" customWidth="1"/>
    <col min="2" max="2" width="10.421875" style="3" customWidth="1"/>
    <col min="3" max="3" width="8.8515625" style="3" customWidth="1"/>
    <col min="4" max="4" width="8.57421875" style="3" customWidth="1"/>
    <col min="5" max="5" width="9.8515625" style="3" customWidth="1"/>
    <col min="6" max="6" width="8.421875" style="3" customWidth="1"/>
    <col min="7" max="7" width="10.140625" style="3" customWidth="1"/>
    <col min="8" max="8" width="9.7109375" style="3" customWidth="1"/>
    <col min="9" max="9" width="8.7109375" style="3" customWidth="1"/>
    <col min="10" max="10" width="8.57421875" style="3" customWidth="1"/>
    <col min="11" max="11" width="7.7109375" style="3" customWidth="1"/>
    <col min="12" max="12" width="7.8515625" style="3" customWidth="1"/>
    <col min="13" max="13" width="7.00390625" style="3" customWidth="1"/>
    <col min="14" max="14" width="8.421875" style="3" customWidth="1"/>
    <col min="15" max="15" width="7.7109375" style="3" customWidth="1"/>
    <col min="16" max="16" width="7.140625" style="3" customWidth="1"/>
    <col min="17" max="17" width="7.00390625" style="3" customWidth="1"/>
    <col min="18" max="18" width="8.42187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48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45.7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27" customHeight="1">
      <c r="A10" s="9" t="s">
        <v>49</v>
      </c>
      <c r="B10" s="10">
        <v>3190327.73</v>
      </c>
      <c r="C10" s="36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50</v>
      </c>
      <c r="B11" s="16"/>
      <c r="C11" s="20">
        <v>186467.5</v>
      </c>
      <c r="D11" s="25">
        <f>359776.87+22974.1+14610+19051.17</f>
        <v>416412.13999999996</v>
      </c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46</v>
      </c>
      <c r="B12" s="16"/>
      <c r="C12" s="11"/>
      <c r="D12" s="20"/>
      <c r="E12" s="18">
        <v>1605408.32</v>
      </c>
      <c r="F12" s="13">
        <v>112547.79</v>
      </c>
      <c r="G12" s="13">
        <v>1093714.93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46</v>
      </c>
      <c r="B13" s="16"/>
      <c r="C13" s="11"/>
      <c r="D13" s="20"/>
      <c r="E13" s="17"/>
      <c r="G13" s="13"/>
      <c r="H13" s="13"/>
      <c r="I13" s="13">
        <v>629881.73</v>
      </c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46</v>
      </c>
      <c r="B14" s="16"/>
      <c r="C14" s="11"/>
      <c r="D14" s="20"/>
      <c r="E14" s="17"/>
      <c r="F14" s="35"/>
      <c r="G14" s="13"/>
      <c r="H14" s="13"/>
      <c r="I14" s="13"/>
      <c r="J14" s="21">
        <v>184510.6</v>
      </c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46</v>
      </c>
      <c r="B15" s="16"/>
      <c r="C15" s="11"/>
      <c r="D15" s="20"/>
      <c r="E15" s="18"/>
      <c r="F15" s="18"/>
      <c r="G15" s="13"/>
      <c r="H15" s="13"/>
      <c r="I15" s="13"/>
      <c r="J15" s="17"/>
      <c r="K15" s="17">
        <v>54348.63</v>
      </c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46</v>
      </c>
      <c r="B16" s="16"/>
      <c r="C16" s="11"/>
      <c r="D16" s="20"/>
      <c r="E16" s="18"/>
      <c r="F16" s="13"/>
      <c r="G16" s="13"/>
      <c r="H16" s="13"/>
      <c r="I16" s="13"/>
      <c r="J16" s="21"/>
      <c r="K16" s="21"/>
      <c r="L16" s="21">
        <f>15877.94+3398.56</f>
        <v>19276.5</v>
      </c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46</v>
      </c>
      <c r="B17" s="20"/>
      <c r="C17" s="20"/>
      <c r="D17" s="20"/>
      <c r="E17" s="18"/>
      <c r="F17" s="21"/>
      <c r="G17" s="21"/>
      <c r="H17" s="21"/>
      <c r="I17" s="21"/>
      <c r="J17" s="21"/>
      <c r="K17" s="21"/>
      <c r="L17" s="21"/>
      <c r="M17" s="21">
        <v>2658.51</v>
      </c>
      <c r="N17" s="21"/>
      <c r="O17" s="21"/>
      <c r="P17" s="21"/>
      <c r="Q17" s="21"/>
      <c r="R17" s="22"/>
      <c r="S17" s="19"/>
    </row>
    <row r="18" spans="1:19" ht="15" customHeight="1">
      <c r="A18" s="9" t="s">
        <v>46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/>
      <c r="M18" s="21"/>
      <c r="N18" s="21">
        <v>147645</v>
      </c>
      <c r="O18" s="21">
        <v>10376.35</v>
      </c>
      <c r="P18" s="21"/>
      <c r="Q18" s="21"/>
      <c r="R18" s="22"/>
      <c r="S18" s="19"/>
    </row>
    <row r="19" spans="1:19" ht="15" customHeight="1">
      <c r="A19" s="9" t="s">
        <v>46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v>2183.04</v>
      </c>
      <c r="Q19" s="21"/>
      <c r="R19" s="22"/>
      <c r="S19" s="19"/>
    </row>
    <row r="20" spans="1:19" ht="11.25">
      <c r="A20" s="9" t="s">
        <v>46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/>
      <c r="O20" s="21"/>
      <c r="P20" s="21"/>
      <c r="Q20" s="21">
        <v>3120</v>
      </c>
      <c r="R20" s="22"/>
      <c r="S20" s="19"/>
    </row>
    <row r="21" spans="1:19" ht="11.25" hidden="1">
      <c r="A21" s="9" t="s">
        <v>46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46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46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46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23">
        <v>132220</v>
      </c>
      <c r="S24" s="19"/>
    </row>
    <row r="25" spans="1:19" ht="15" customHeight="1">
      <c r="A25" s="9" t="s">
        <v>46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/>
      <c r="R25" s="23"/>
      <c r="S25" s="19"/>
    </row>
    <row r="26" spans="1:19" ht="12" thickBot="1">
      <c r="A26" s="9" t="s">
        <v>46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/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 aca="true" t="shared" si="0" ref="B32:G32">SUM(B10:B31)</f>
        <v>3190327.73</v>
      </c>
      <c r="C32" s="32">
        <v>186467.5</v>
      </c>
      <c r="D32" s="32">
        <f t="shared" si="0"/>
        <v>416412.13999999996</v>
      </c>
      <c r="E32" s="32">
        <f t="shared" si="0"/>
        <v>1605408.32</v>
      </c>
      <c r="F32" s="32">
        <f t="shared" si="0"/>
        <v>112547.79</v>
      </c>
      <c r="G32" s="32">
        <f t="shared" si="0"/>
        <v>1093714.93</v>
      </c>
      <c r="H32" s="6">
        <f>E32+F32+G32</f>
        <v>2811671.04</v>
      </c>
      <c r="I32" s="6">
        <f aca="true" t="shared" si="1" ref="I32:O32">SUM(I10:I31)</f>
        <v>629881.73</v>
      </c>
      <c r="J32" s="6">
        <f t="shared" si="1"/>
        <v>184510.6</v>
      </c>
      <c r="K32" s="6">
        <f t="shared" si="1"/>
        <v>54348.63</v>
      </c>
      <c r="L32" s="6">
        <f t="shared" si="1"/>
        <v>19276.5</v>
      </c>
      <c r="M32" s="6">
        <f t="shared" si="1"/>
        <v>2658.51</v>
      </c>
      <c r="N32" s="6">
        <f t="shared" si="1"/>
        <v>147645</v>
      </c>
      <c r="O32" s="6">
        <f t="shared" si="1"/>
        <v>10376.35</v>
      </c>
      <c r="P32" s="6">
        <f>SUM(P16:P31)</f>
        <v>2183.04</v>
      </c>
      <c r="Q32" s="6">
        <f>SUM(Q10:Q31)</f>
        <v>3120</v>
      </c>
      <c r="R32" s="7">
        <f>SUM(R10:R31)</f>
        <v>132220</v>
      </c>
      <c r="S32" s="33">
        <f>B32+C32+D32+H32+I32+J32+K32+L32+M32+N32+O32+Q32+R32</f>
        <v>7788915.7299999995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/>
      <c r="H38" s="2"/>
      <c r="I38" s="2"/>
    </row>
    <row r="39" spans="6:11" ht="11.25">
      <c r="F39" s="2"/>
      <c r="G39" s="2"/>
      <c r="H39" s="2">
        <f>B32+C32+D32+I32+J32+K32+L32+M32+N32+O32+P32+Q32+R32+H32</f>
        <v>7791098.769999999</v>
      </c>
      <c r="I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/>
      <c r="H41" s="2"/>
      <c r="I41" s="2"/>
    </row>
    <row r="42" spans="6:8" ht="11.25">
      <c r="F42" s="2"/>
      <c r="G42" s="2"/>
      <c r="H42" s="2"/>
    </row>
    <row r="43" spans="7:11" ht="11.25">
      <c r="G43" s="2"/>
      <c r="H43" s="2"/>
      <c r="K43" s="2"/>
    </row>
    <row r="44" spans="7:8" ht="11.25">
      <c r="G44" s="2"/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  <row r="52" ht="11.25">
      <c r="G52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S52"/>
  <sheetViews>
    <sheetView workbookViewId="0" topLeftCell="A1">
      <selection activeCell="E43" sqref="E43"/>
    </sheetView>
  </sheetViews>
  <sheetFormatPr defaultColWidth="9.140625" defaultRowHeight="12.75"/>
  <cols>
    <col min="1" max="1" width="9.00390625" style="3" customWidth="1"/>
    <col min="2" max="2" width="10.421875" style="3" customWidth="1"/>
    <col min="3" max="3" width="8.8515625" style="3" customWidth="1"/>
    <col min="4" max="4" width="8.57421875" style="3" customWidth="1"/>
    <col min="5" max="5" width="9.8515625" style="3" customWidth="1"/>
    <col min="6" max="6" width="8.421875" style="3" customWidth="1"/>
    <col min="7" max="7" width="10.140625" style="3" customWidth="1"/>
    <col min="8" max="8" width="11.140625" style="3" customWidth="1"/>
    <col min="9" max="9" width="8.7109375" style="3" customWidth="1"/>
    <col min="10" max="10" width="8.57421875" style="3" customWidth="1"/>
    <col min="11" max="11" width="7.7109375" style="3" customWidth="1"/>
    <col min="12" max="12" width="7.8515625" style="3" customWidth="1"/>
    <col min="13" max="13" width="7.00390625" style="3" customWidth="1"/>
    <col min="14" max="14" width="8.421875" style="3" customWidth="1"/>
    <col min="15" max="15" width="7.7109375" style="3" customWidth="1"/>
    <col min="16" max="16" width="7.140625" style="3" customWidth="1"/>
    <col min="17" max="17" width="7.00390625" style="3" customWidth="1"/>
    <col min="18" max="18" width="8.42187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51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45.7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27" customHeight="1">
      <c r="A10" s="9" t="s">
        <v>52</v>
      </c>
      <c r="B10" s="10">
        <v>7402214.4799999995</v>
      </c>
      <c r="C10" s="36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53</v>
      </c>
      <c r="B11" s="16"/>
      <c r="C11" s="20">
        <v>201940.38</v>
      </c>
      <c r="D11" s="25">
        <f>225223.13+21285.6</f>
        <v>246508.73</v>
      </c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50</v>
      </c>
      <c r="B12" s="16"/>
      <c r="C12" s="11"/>
      <c r="D12" s="20"/>
      <c r="E12" s="18">
        <v>1460407.62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50</v>
      </c>
      <c r="B13" s="16"/>
      <c r="C13" s="11"/>
      <c r="D13" s="20"/>
      <c r="E13" s="17"/>
      <c r="F13" s="3">
        <v>119494.63</v>
      </c>
      <c r="G13" s="13">
        <v>1134870.48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50</v>
      </c>
      <c r="B14" s="16"/>
      <c r="C14" s="11"/>
      <c r="D14" s="20"/>
      <c r="E14" s="17"/>
      <c r="F14" s="35"/>
      <c r="G14" s="13"/>
      <c r="H14" s="13"/>
      <c r="I14" s="13">
        <v>619598.59</v>
      </c>
      <c r="J14" s="21">
        <v>199120.98</v>
      </c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50</v>
      </c>
      <c r="B15" s="16"/>
      <c r="C15" s="11"/>
      <c r="D15" s="20"/>
      <c r="E15" s="18"/>
      <c r="F15" s="18"/>
      <c r="G15" s="13"/>
      <c r="H15" s="13"/>
      <c r="I15" s="13"/>
      <c r="J15" s="17"/>
      <c r="K15" s="17">
        <v>68208.81</v>
      </c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50</v>
      </c>
      <c r="B16" s="16"/>
      <c r="C16" s="11"/>
      <c r="D16" s="20"/>
      <c r="E16" s="18"/>
      <c r="F16" s="13"/>
      <c r="G16" s="13"/>
      <c r="H16" s="13"/>
      <c r="I16" s="13"/>
      <c r="J16" s="21"/>
      <c r="K16" s="21"/>
      <c r="L16" s="21">
        <v>25745.53</v>
      </c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50</v>
      </c>
      <c r="B17" s="20"/>
      <c r="C17" s="20"/>
      <c r="D17" s="20"/>
      <c r="E17" s="18"/>
      <c r="F17" s="21"/>
      <c r="G17" s="21"/>
      <c r="H17" s="21"/>
      <c r="I17" s="21"/>
      <c r="J17" s="21"/>
      <c r="K17" s="21"/>
      <c r="L17" s="21"/>
      <c r="M17" s="21">
        <v>881.02</v>
      </c>
      <c r="N17" s="21"/>
      <c r="O17" s="21"/>
      <c r="P17" s="21"/>
      <c r="Q17" s="21"/>
      <c r="R17" s="22"/>
      <c r="S17" s="19"/>
    </row>
    <row r="18" spans="1:19" ht="15" customHeight="1">
      <c r="A18" s="9" t="s">
        <v>50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/>
      <c r="M18" s="21"/>
      <c r="N18" s="21">
        <v>170078.76</v>
      </c>
      <c r="O18" s="21"/>
      <c r="P18" s="21">
        <v>2183.04</v>
      </c>
      <c r="Q18" s="21"/>
      <c r="R18" s="22"/>
      <c r="S18" s="19"/>
    </row>
    <row r="19" spans="1:19" ht="15" customHeight="1">
      <c r="A19" s="9" t="s">
        <v>50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19"/>
    </row>
    <row r="20" spans="1:19" ht="11.25">
      <c r="A20" s="9" t="s">
        <v>50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/>
      <c r="O20" s="21"/>
      <c r="P20" s="21"/>
      <c r="Q20" s="21"/>
      <c r="R20" s="22"/>
      <c r="S20" s="19"/>
    </row>
    <row r="21" spans="1:19" ht="11.25" hidden="1">
      <c r="A21" s="9" t="s">
        <v>50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50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50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50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23"/>
      <c r="S24" s="19"/>
    </row>
    <row r="25" spans="1:19" ht="15" customHeight="1">
      <c r="A25" s="9" t="s">
        <v>50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>
        <v>7800</v>
      </c>
      <c r="R25" s="23">
        <v>133704</v>
      </c>
      <c r="S25" s="19"/>
    </row>
    <row r="26" spans="1:19" ht="12" thickBot="1">
      <c r="A26" s="9" t="s">
        <v>50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/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>SUM(B10:B31)</f>
        <v>7402214.4799999995</v>
      </c>
      <c r="C32" s="32">
        <f>SUM(C11:C31)</f>
        <v>201940.38</v>
      </c>
      <c r="D32" s="32">
        <f>SUM(D10:D31)</f>
        <v>246508.73</v>
      </c>
      <c r="E32" s="32">
        <f>SUM(E10:E31)</f>
        <v>1460407.62</v>
      </c>
      <c r="F32" s="32">
        <f>SUM(F10:F31)</f>
        <v>119494.63</v>
      </c>
      <c r="G32" s="32">
        <f>SUM(G10:G31)</f>
        <v>1134870.48</v>
      </c>
      <c r="H32" s="6">
        <f>E32+F32+G32</f>
        <v>2714772.73</v>
      </c>
      <c r="I32" s="6">
        <f aca="true" t="shared" si="0" ref="I32:O32">SUM(I10:I31)</f>
        <v>619598.59</v>
      </c>
      <c r="J32" s="6">
        <f t="shared" si="0"/>
        <v>199120.98</v>
      </c>
      <c r="K32" s="6">
        <f t="shared" si="0"/>
        <v>68208.81</v>
      </c>
      <c r="L32" s="6">
        <f t="shared" si="0"/>
        <v>25745.53</v>
      </c>
      <c r="M32" s="6">
        <f t="shared" si="0"/>
        <v>881.02</v>
      </c>
      <c r="N32" s="6">
        <f t="shared" si="0"/>
        <v>170078.76</v>
      </c>
      <c r="O32" s="6">
        <f t="shared" si="0"/>
        <v>0</v>
      </c>
      <c r="P32" s="6">
        <f>SUM(P16:P31)</f>
        <v>2183.04</v>
      </c>
      <c r="Q32" s="6">
        <f>SUM(Q10:Q31)</f>
        <v>7800</v>
      </c>
      <c r="R32" s="7">
        <f>SUM(R10:R31)</f>
        <v>133704</v>
      </c>
      <c r="S32" s="33">
        <f>B32+C32+D32+H32+I32+J32+K32+L32+M32+N32+O32+Q32+R32</f>
        <v>11790574.01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/>
      <c r="H38" s="2"/>
      <c r="I38" s="2"/>
    </row>
    <row r="39" spans="6:11" ht="11.25">
      <c r="F39" s="2"/>
      <c r="G39" s="2"/>
      <c r="H39" s="2">
        <f>B32+C32+D32+I32+J32+K32+L32+M32+N32+O32+P32+Q32+R32+H32</f>
        <v>11792757.049999999</v>
      </c>
      <c r="I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/>
      <c r="H41" s="2">
        <v>11792757.05</v>
      </c>
      <c r="I41" s="2"/>
    </row>
    <row r="42" spans="6:8" ht="11.25">
      <c r="F42" s="2"/>
      <c r="G42" s="2"/>
      <c r="H42" s="2"/>
    </row>
    <row r="43" spans="7:11" ht="11.25">
      <c r="G43" s="2"/>
      <c r="H43" s="2">
        <f>H41-H39</f>
        <v>0</v>
      </c>
      <c r="K43" s="2"/>
    </row>
    <row r="44" spans="7:8" ht="11.25">
      <c r="G44" s="2"/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  <row r="52" ht="11.25">
      <c r="G52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S52"/>
  <sheetViews>
    <sheetView tabSelected="1" workbookViewId="0" topLeftCell="A1">
      <selection activeCell="L38" sqref="L38"/>
    </sheetView>
  </sheetViews>
  <sheetFormatPr defaultColWidth="9.140625" defaultRowHeight="12.75"/>
  <cols>
    <col min="1" max="1" width="9.00390625" style="3" customWidth="1"/>
    <col min="2" max="2" width="10.421875" style="3" customWidth="1"/>
    <col min="3" max="3" width="8.8515625" style="3" customWidth="1"/>
    <col min="4" max="4" width="8.57421875" style="3" customWidth="1"/>
    <col min="5" max="5" width="9.8515625" style="3" customWidth="1"/>
    <col min="6" max="6" width="8.421875" style="3" customWidth="1"/>
    <col min="7" max="7" width="10.140625" style="3" customWidth="1"/>
    <col min="8" max="8" width="11.140625" style="3" customWidth="1"/>
    <col min="9" max="9" width="8.7109375" style="3" customWidth="1"/>
    <col min="10" max="10" width="8.57421875" style="3" customWidth="1"/>
    <col min="11" max="11" width="7.7109375" style="3" customWidth="1"/>
    <col min="12" max="12" width="7.8515625" style="3" customWidth="1"/>
    <col min="13" max="13" width="7.00390625" style="3" customWidth="1"/>
    <col min="14" max="14" width="8.421875" style="3" customWidth="1"/>
    <col min="15" max="15" width="7.7109375" style="3" customWidth="1"/>
    <col min="16" max="16" width="7.140625" style="3" customWidth="1"/>
    <col min="17" max="17" width="7.00390625" style="3" customWidth="1"/>
    <col min="18" max="18" width="8.42187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54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45.7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27" customHeight="1">
      <c r="A10" s="9"/>
      <c r="B10" s="10"/>
      <c r="C10" s="36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55</v>
      </c>
      <c r="B11" s="16"/>
      <c r="C11" s="20">
        <v>200677.27</v>
      </c>
      <c r="D11" s="25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53</v>
      </c>
      <c r="B12" s="16"/>
      <c r="C12" s="11"/>
      <c r="D12" s="20">
        <f>23135.46+2284.84+17027.85</f>
        <v>42448.149999999994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53</v>
      </c>
      <c r="B13" s="16"/>
      <c r="C13" s="11"/>
      <c r="D13" s="20"/>
      <c r="E13" s="17">
        <v>1620970.73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53</v>
      </c>
      <c r="B14" s="16"/>
      <c r="C14" s="11"/>
      <c r="D14" s="20"/>
      <c r="E14" s="17"/>
      <c r="F14" s="35">
        <v>102132.71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53</v>
      </c>
      <c r="B15" s="16"/>
      <c r="C15" s="11"/>
      <c r="D15" s="20"/>
      <c r="E15" s="18"/>
      <c r="F15" s="18"/>
      <c r="G15" s="13">
        <v>1233943.73</v>
      </c>
      <c r="H15" s="13"/>
      <c r="I15" s="13">
        <v>554330.17</v>
      </c>
      <c r="J15" s="17">
        <v>181499.82</v>
      </c>
      <c r="K15" s="17">
        <v>49370.38</v>
      </c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53</v>
      </c>
      <c r="B16" s="16"/>
      <c r="C16" s="11"/>
      <c r="D16" s="20"/>
      <c r="E16" s="18"/>
      <c r="F16" s="13"/>
      <c r="G16" s="13"/>
      <c r="H16" s="13"/>
      <c r="I16" s="13"/>
      <c r="J16" s="21"/>
      <c r="K16" s="21"/>
      <c r="L16" s="21">
        <v>8505.7</v>
      </c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53</v>
      </c>
      <c r="B17" s="20"/>
      <c r="C17" s="20"/>
      <c r="D17" s="20"/>
      <c r="E17" s="18"/>
      <c r="F17" s="21"/>
      <c r="G17" s="21"/>
      <c r="H17" s="21"/>
      <c r="I17" s="21"/>
      <c r="J17" s="21"/>
      <c r="K17" s="21"/>
      <c r="L17" s="21"/>
      <c r="M17" s="21">
        <v>1321.53</v>
      </c>
      <c r="N17" s="21"/>
      <c r="O17" s="21"/>
      <c r="P17" s="21"/>
      <c r="Q17" s="21"/>
      <c r="R17" s="22"/>
      <c r="S17" s="19"/>
    </row>
    <row r="18" spans="1:19" ht="15" customHeight="1">
      <c r="A18" s="9" t="s">
        <v>53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/>
      <c r="M18" s="21"/>
      <c r="N18" s="21">
        <v>158659.04</v>
      </c>
      <c r="O18" s="21"/>
      <c r="P18" s="21"/>
      <c r="Q18" s="21"/>
      <c r="R18" s="22"/>
      <c r="S18" s="19"/>
    </row>
    <row r="19" spans="1:19" ht="15" customHeight="1">
      <c r="A19" s="9" t="s">
        <v>53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>
        <v>10376.35</v>
      </c>
      <c r="P19" s="21"/>
      <c r="Q19" s="21"/>
      <c r="R19" s="22"/>
      <c r="S19" s="19"/>
    </row>
    <row r="20" spans="1:19" ht="11.25">
      <c r="A20" s="9" t="s">
        <v>53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/>
      <c r="O20" s="21"/>
      <c r="P20" s="21">
        <v>2183.04</v>
      </c>
      <c r="Q20" s="21"/>
      <c r="R20" s="22"/>
      <c r="S20" s="19"/>
    </row>
    <row r="21" spans="1:19" ht="11.25" hidden="1">
      <c r="A21" s="9" t="s">
        <v>53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53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53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53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/>
      <c r="P24" s="17"/>
      <c r="Q24" s="17">
        <v>6120</v>
      </c>
      <c r="R24" s="23"/>
      <c r="S24" s="19"/>
    </row>
    <row r="25" spans="1:19" ht="15" customHeight="1">
      <c r="A25" s="9" t="s">
        <v>53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/>
      <c r="R25" s="23">
        <v>138111.2</v>
      </c>
      <c r="S25" s="19"/>
    </row>
    <row r="26" spans="1:19" ht="12" thickBot="1">
      <c r="A26" s="9" t="s">
        <v>53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/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>SUM(B10:B31)</f>
        <v>0</v>
      </c>
      <c r="C32" s="32">
        <f>SUM(C11:C31)</f>
        <v>200677.27</v>
      </c>
      <c r="D32" s="32">
        <f>SUM(D10:D31)</f>
        <v>42448.149999999994</v>
      </c>
      <c r="E32" s="32">
        <f>SUM(E10:E31)</f>
        <v>1620970.73</v>
      </c>
      <c r="F32" s="32">
        <f>SUM(F10:F31)</f>
        <v>102132.71</v>
      </c>
      <c r="G32" s="32">
        <f>SUM(G10:G31)</f>
        <v>1233943.73</v>
      </c>
      <c r="H32" s="6">
        <f>E32+F32+G32</f>
        <v>2957047.17</v>
      </c>
      <c r="I32" s="6">
        <f aca="true" t="shared" si="0" ref="I32:O32">SUM(I10:I31)</f>
        <v>554330.17</v>
      </c>
      <c r="J32" s="6">
        <f t="shared" si="0"/>
        <v>181499.82</v>
      </c>
      <c r="K32" s="6">
        <f t="shared" si="0"/>
        <v>49370.38</v>
      </c>
      <c r="L32" s="6">
        <f t="shared" si="0"/>
        <v>8505.7</v>
      </c>
      <c r="M32" s="6">
        <f t="shared" si="0"/>
        <v>1321.53</v>
      </c>
      <c r="N32" s="6">
        <f t="shared" si="0"/>
        <v>158659.04</v>
      </c>
      <c r="O32" s="6">
        <f t="shared" si="0"/>
        <v>10376.35</v>
      </c>
      <c r="P32" s="6">
        <f>SUM(P16:P31)</f>
        <v>2183.04</v>
      </c>
      <c r="Q32" s="6">
        <f>SUM(Q10:Q31)</f>
        <v>6120</v>
      </c>
      <c r="R32" s="7">
        <f>SUM(R10:R31)</f>
        <v>138111.2</v>
      </c>
      <c r="S32" s="33">
        <f>B32+C32+D32+H32+I32+J32+K32+L32+M32+N32+O32+Q32+R32</f>
        <v>4308466.779999999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/>
      <c r="H38" s="2"/>
      <c r="I38" s="2"/>
    </row>
    <row r="39" spans="6:11" ht="11.25">
      <c r="F39" s="2"/>
      <c r="G39" s="2"/>
      <c r="H39" s="2">
        <f>B32+C32+D32+I32+J32+K32+L32+M32+N32+O32+P32+Q32+R32+H32</f>
        <v>4310649.82</v>
      </c>
      <c r="I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/>
      <c r="H41" s="2"/>
      <c r="I41" s="2"/>
    </row>
    <row r="42" spans="6:8" ht="11.25">
      <c r="F42" s="2"/>
      <c r="G42" s="2"/>
      <c r="H42" s="2">
        <v>4310649.82</v>
      </c>
    </row>
    <row r="43" spans="7:11" ht="11.25">
      <c r="G43" s="2"/>
      <c r="H43" s="2"/>
      <c r="K43" s="2"/>
    </row>
    <row r="44" spans="7:8" ht="11.25">
      <c r="G44" s="2"/>
      <c r="H44" s="2">
        <f>H42-H39</f>
        <v>0</v>
      </c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  <row r="52" ht="11.25">
      <c r="G52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S50"/>
  <sheetViews>
    <sheetView workbookViewId="0" topLeftCell="A11">
      <selection activeCell="D12" sqref="D12"/>
    </sheetView>
  </sheetViews>
  <sheetFormatPr defaultColWidth="9.140625" defaultRowHeight="12.75"/>
  <cols>
    <col min="1" max="1" width="10.140625" style="3" customWidth="1"/>
    <col min="2" max="2" width="9.8515625" style="3" customWidth="1"/>
    <col min="3" max="3" width="9.421875" style="3" customWidth="1"/>
    <col min="4" max="4" width="8.57421875" style="3" customWidth="1"/>
    <col min="5" max="5" width="9.8515625" style="3" customWidth="1"/>
    <col min="6" max="6" width="8.7109375" style="3" customWidth="1"/>
    <col min="7" max="7" width="10.57421875" style="3" customWidth="1"/>
    <col min="8" max="8" width="9.7109375" style="3" customWidth="1"/>
    <col min="9" max="9" width="9.8515625" style="3" customWidth="1"/>
    <col min="10" max="10" width="8.57421875" style="3" customWidth="1"/>
    <col min="11" max="11" width="8.421875" style="3" customWidth="1"/>
    <col min="12" max="12" width="7.8515625" style="3" customWidth="1"/>
    <col min="13" max="13" width="6.7109375" style="3" customWidth="1"/>
    <col min="14" max="14" width="8.00390625" style="3" customWidth="1"/>
    <col min="15" max="16" width="7.7109375" style="3" customWidth="1"/>
    <col min="17" max="17" width="7.28125" style="3" customWidth="1"/>
    <col min="18" max="18" width="8.710937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26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34.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18" customHeight="1">
      <c r="A10" s="9" t="s">
        <v>24</v>
      </c>
      <c r="B10" s="10">
        <v>7668514.38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23</v>
      </c>
      <c r="B11" s="16"/>
      <c r="C11" s="11">
        <v>213490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27</v>
      </c>
      <c r="B12" s="16"/>
      <c r="C12" s="11"/>
      <c r="D12" s="20">
        <f>130080.45+3.58+8246.34+5227.47</f>
        <v>143557.84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27</v>
      </c>
      <c r="B13" s="16"/>
      <c r="C13" s="11"/>
      <c r="D13" s="20"/>
      <c r="E13" s="17">
        <v>1194737.68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27</v>
      </c>
      <c r="B14" s="16"/>
      <c r="C14" s="11"/>
      <c r="D14" s="20"/>
      <c r="E14" s="17"/>
      <c r="F14" s="35">
        <v>167115.03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27</v>
      </c>
      <c r="B15" s="16"/>
      <c r="C15" s="11"/>
      <c r="D15" s="20"/>
      <c r="E15" s="18"/>
      <c r="F15" s="18"/>
      <c r="G15" s="13">
        <v>971915.85</v>
      </c>
      <c r="H15" s="13"/>
      <c r="I15" s="13"/>
      <c r="J15" s="17"/>
      <c r="K15" s="17"/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27</v>
      </c>
      <c r="B16" s="16"/>
      <c r="C16" s="11"/>
      <c r="D16" s="20"/>
      <c r="E16" s="18"/>
      <c r="F16" s="13"/>
      <c r="G16" s="13"/>
      <c r="H16" s="13"/>
      <c r="I16" s="13">
        <v>548932.82</v>
      </c>
      <c r="J16" s="21"/>
      <c r="K16" s="21"/>
      <c r="L16" s="21"/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27</v>
      </c>
      <c r="B17" s="20"/>
      <c r="C17" s="20"/>
      <c r="D17" s="20"/>
      <c r="E17" s="18"/>
      <c r="F17" s="21"/>
      <c r="G17" s="21"/>
      <c r="H17" s="21"/>
      <c r="I17" s="21"/>
      <c r="J17" s="21">
        <v>145865.82</v>
      </c>
      <c r="K17" s="21"/>
      <c r="L17" s="21"/>
      <c r="M17" s="21"/>
      <c r="N17" s="21"/>
      <c r="O17" s="21"/>
      <c r="P17" s="21"/>
      <c r="Q17" s="21"/>
      <c r="R17" s="22"/>
      <c r="S17" s="19"/>
    </row>
    <row r="18" spans="1:19" ht="15" customHeight="1">
      <c r="A18" s="9" t="s">
        <v>27</v>
      </c>
      <c r="B18" s="20"/>
      <c r="C18" s="20"/>
      <c r="D18" s="20"/>
      <c r="E18" s="18"/>
      <c r="F18" s="21"/>
      <c r="G18" s="21"/>
      <c r="H18" s="21"/>
      <c r="I18" s="21"/>
      <c r="J18" s="21"/>
      <c r="K18" s="21">
        <v>54827.19</v>
      </c>
      <c r="L18" s="21">
        <v>12385.48</v>
      </c>
      <c r="M18" s="21"/>
      <c r="N18" s="21"/>
      <c r="O18" s="21"/>
      <c r="P18" s="21"/>
      <c r="Q18" s="21"/>
      <c r="R18" s="22"/>
      <c r="S18" s="19"/>
    </row>
    <row r="19" spans="1:19" ht="15" customHeight="1">
      <c r="A19" s="9" t="s">
        <v>27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>
        <v>1762.04</v>
      </c>
      <c r="N19" s="21"/>
      <c r="O19" s="21"/>
      <c r="P19" s="21"/>
      <c r="Q19" s="21"/>
      <c r="R19" s="22"/>
      <c r="S19" s="19"/>
    </row>
    <row r="20" spans="1:19" ht="11.25">
      <c r="A20" s="9" t="s">
        <v>27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>
        <v>89735.04</v>
      </c>
      <c r="O20" s="21"/>
      <c r="P20" s="21"/>
      <c r="Q20" s="21"/>
      <c r="R20" s="22"/>
      <c r="S20" s="19"/>
    </row>
    <row r="21" spans="1:19" ht="11.25" hidden="1">
      <c r="A21" s="9" t="s">
        <v>27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27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27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27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>
        <v>10376.35</v>
      </c>
      <c r="P24" s="17">
        <v>1637.28</v>
      </c>
      <c r="Q24" s="17"/>
      <c r="R24" s="23"/>
      <c r="S24" s="19"/>
    </row>
    <row r="25" spans="1:19" ht="15" customHeight="1">
      <c r="A25" s="9" t="s">
        <v>27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>
        <v>7980</v>
      </c>
      <c r="R25" s="23"/>
      <c r="S25" s="19"/>
    </row>
    <row r="26" spans="1:19" ht="12" thickBot="1">
      <c r="A26" s="9" t="s">
        <v>27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>
        <v>135480</v>
      </c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 aca="true" t="shared" si="0" ref="B32:G32">SUM(B10:B31)</f>
        <v>7668514.38</v>
      </c>
      <c r="C32" s="32">
        <f t="shared" si="0"/>
        <v>213490</v>
      </c>
      <c r="D32" s="32">
        <f t="shared" si="0"/>
        <v>143557.84</v>
      </c>
      <c r="E32" s="32">
        <f t="shared" si="0"/>
        <v>1194737.68</v>
      </c>
      <c r="F32" s="32">
        <f t="shared" si="0"/>
        <v>167115.03</v>
      </c>
      <c r="G32" s="32">
        <f t="shared" si="0"/>
        <v>971915.85</v>
      </c>
      <c r="H32" s="6">
        <f>E32+F32+G32</f>
        <v>2333768.56</v>
      </c>
      <c r="I32" s="6">
        <f aca="true" t="shared" si="1" ref="I32:O32">SUM(I10:I31)</f>
        <v>548932.82</v>
      </c>
      <c r="J32" s="6">
        <f t="shared" si="1"/>
        <v>145865.82</v>
      </c>
      <c r="K32" s="6">
        <f t="shared" si="1"/>
        <v>54827.19</v>
      </c>
      <c r="L32" s="6">
        <f t="shared" si="1"/>
        <v>12385.48</v>
      </c>
      <c r="M32" s="6">
        <f t="shared" si="1"/>
        <v>1762.04</v>
      </c>
      <c r="N32" s="6">
        <f t="shared" si="1"/>
        <v>89735.04</v>
      </c>
      <c r="O32" s="6">
        <f t="shared" si="1"/>
        <v>10376.35</v>
      </c>
      <c r="P32" s="6">
        <f>SUM(P20:P31)</f>
        <v>1637.28</v>
      </c>
      <c r="Q32" s="6">
        <f>SUM(Q10:Q31)</f>
        <v>7980</v>
      </c>
      <c r="R32" s="7">
        <f>SUM(R26:R31)</f>
        <v>135480</v>
      </c>
      <c r="S32" s="33">
        <f>B32+C32+D32+H32+I32+J32+K32+L32+M32+N32+O32+Q32+R32</f>
        <v>11366675.519999998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>
        <f>B32+C32+D32+H32+I32+J32+K32+L32+M32+N32+O32+P32+Q32+R32</f>
        <v>11368312.799999997</v>
      </c>
      <c r="H38" s="2"/>
      <c r="I38" s="2"/>
    </row>
    <row r="39" spans="6:11" ht="11.25">
      <c r="F39" s="2"/>
      <c r="G39" s="2">
        <v>12349560.48</v>
      </c>
      <c r="H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>
        <f>G39-G38</f>
        <v>981247.6800000034</v>
      </c>
      <c r="H41" s="2"/>
      <c r="I41" s="2"/>
    </row>
    <row r="42" spans="6:8" ht="11.25">
      <c r="F42" s="2"/>
      <c r="G42" s="2"/>
      <c r="H42" s="2"/>
    </row>
    <row r="43" spans="7:11" ht="11.25">
      <c r="G43" s="2"/>
      <c r="H43" s="2"/>
      <c r="K43" s="2"/>
    </row>
    <row r="44" ht="11.25"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50"/>
  <sheetViews>
    <sheetView workbookViewId="0" topLeftCell="C7">
      <selection activeCell="J38" sqref="J38"/>
    </sheetView>
  </sheetViews>
  <sheetFormatPr defaultColWidth="9.140625" defaultRowHeight="12.75"/>
  <cols>
    <col min="1" max="1" width="10.140625" style="3" customWidth="1"/>
    <col min="2" max="2" width="9.8515625" style="3" customWidth="1"/>
    <col min="3" max="3" width="9.421875" style="3" customWidth="1"/>
    <col min="4" max="4" width="8.57421875" style="3" customWidth="1"/>
    <col min="5" max="5" width="9.8515625" style="3" customWidth="1"/>
    <col min="6" max="6" width="8.7109375" style="3" customWidth="1"/>
    <col min="7" max="7" width="12.00390625" style="3" customWidth="1"/>
    <col min="8" max="8" width="9.7109375" style="3" customWidth="1"/>
    <col min="9" max="9" width="9.8515625" style="3" customWidth="1"/>
    <col min="10" max="10" width="8.57421875" style="3" customWidth="1"/>
    <col min="11" max="11" width="8.421875" style="3" customWidth="1"/>
    <col min="12" max="12" width="7.8515625" style="3" customWidth="1"/>
    <col min="13" max="13" width="6.7109375" style="3" customWidth="1"/>
    <col min="14" max="14" width="8.00390625" style="3" customWidth="1"/>
    <col min="15" max="15" width="7.7109375" style="3" hidden="1" customWidth="1"/>
    <col min="16" max="16" width="7.7109375" style="3" customWidth="1"/>
    <col min="17" max="17" width="7.28125" style="3" customWidth="1"/>
    <col min="18" max="18" width="8.710937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28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34.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18" customHeight="1">
      <c r="A10" s="9" t="s">
        <v>29</v>
      </c>
      <c r="B10" s="10">
        <v>7258042.71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31</v>
      </c>
      <c r="B11" s="16"/>
      <c r="C11" s="11">
        <f>204816.81+222440</f>
        <v>427256.81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30</v>
      </c>
      <c r="B12" s="16"/>
      <c r="C12" s="11"/>
      <c r="D12" s="20">
        <f>156620.73+9780.28+6596.95+7820</f>
        <v>180817.96000000002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30</v>
      </c>
      <c r="B13" s="16"/>
      <c r="C13" s="11"/>
      <c r="D13" s="20"/>
      <c r="E13" s="17">
        <v>1478044.89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30</v>
      </c>
      <c r="B14" s="16"/>
      <c r="C14" s="11"/>
      <c r="D14" s="20"/>
      <c r="E14" s="17"/>
      <c r="F14" s="35">
        <v>167094.84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30</v>
      </c>
      <c r="B15" s="16"/>
      <c r="C15" s="11"/>
      <c r="D15" s="20"/>
      <c r="E15" s="18"/>
      <c r="F15" s="18"/>
      <c r="G15" s="13">
        <v>1349469.13</v>
      </c>
      <c r="H15" s="13"/>
      <c r="I15" s="13">
        <v>638077.92</v>
      </c>
      <c r="J15" s="17"/>
      <c r="K15" s="17"/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30</v>
      </c>
      <c r="B16" s="16"/>
      <c r="C16" s="11"/>
      <c r="D16" s="20"/>
      <c r="E16" s="18"/>
      <c r="F16" s="13"/>
      <c r="G16" s="13"/>
      <c r="H16" s="13"/>
      <c r="I16" s="13"/>
      <c r="J16" s="21">
        <v>131012.56</v>
      </c>
      <c r="K16" s="21"/>
      <c r="L16" s="21"/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30</v>
      </c>
      <c r="B17" s="20"/>
      <c r="C17" s="20"/>
      <c r="D17" s="20"/>
      <c r="E17" s="18"/>
      <c r="F17" s="21"/>
      <c r="G17" s="21"/>
      <c r="H17" s="21"/>
      <c r="I17" s="21"/>
      <c r="J17" s="21"/>
      <c r="K17" s="21">
        <v>68940.99</v>
      </c>
      <c r="L17" s="21"/>
      <c r="M17" s="21"/>
      <c r="N17" s="21"/>
      <c r="O17" s="21"/>
      <c r="P17" s="21"/>
      <c r="Q17" s="21"/>
      <c r="R17" s="22"/>
      <c r="S17" s="19"/>
    </row>
    <row r="18" spans="1:19" ht="15" customHeight="1">
      <c r="A18" s="9" t="s">
        <v>30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>
        <f>8551.68+9913.2</f>
        <v>18464.88</v>
      </c>
      <c r="M18" s="21"/>
      <c r="N18" s="21"/>
      <c r="O18" s="21"/>
      <c r="P18" s="21"/>
      <c r="Q18" s="21"/>
      <c r="R18" s="22"/>
      <c r="S18" s="19"/>
    </row>
    <row r="19" spans="1:19" ht="15" customHeight="1">
      <c r="A19" s="9" t="s">
        <v>30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>
        <v>2202.55</v>
      </c>
      <c r="N19" s="21"/>
      <c r="O19" s="21"/>
      <c r="P19" s="21"/>
      <c r="Q19" s="21"/>
      <c r="R19" s="22"/>
      <c r="S19" s="19"/>
    </row>
    <row r="20" spans="1:19" ht="11.25">
      <c r="A20" s="9" t="s">
        <v>30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>
        <v>89735.04</v>
      </c>
      <c r="O20" s="21"/>
      <c r="P20" s="21"/>
      <c r="Q20" s="21"/>
      <c r="R20" s="22"/>
      <c r="S20" s="19"/>
    </row>
    <row r="21" spans="1:19" ht="11.25" hidden="1">
      <c r="A21" s="9" t="s">
        <v>30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30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30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30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>
        <v>0</v>
      </c>
      <c r="P24" s="17">
        <v>1637.28</v>
      </c>
      <c r="Q24" s="17"/>
      <c r="R24" s="23"/>
      <c r="S24" s="19"/>
    </row>
    <row r="25" spans="1:19" ht="15" customHeight="1">
      <c r="A25" s="9" t="s">
        <v>30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>
        <v>7322.4</v>
      </c>
      <c r="R25" s="23"/>
      <c r="S25" s="19"/>
    </row>
    <row r="26" spans="1:19" ht="12" thickBot="1">
      <c r="A26" s="9" t="s">
        <v>30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>
        <v>170928</v>
      </c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 aca="true" t="shared" si="0" ref="B32:G32">SUM(B10:B31)</f>
        <v>7258042.71</v>
      </c>
      <c r="C32" s="32">
        <f t="shared" si="0"/>
        <v>427256.81</v>
      </c>
      <c r="D32" s="32">
        <f t="shared" si="0"/>
        <v>180817.96000000002</v>
      </c>
      <c r="E32" s="32">
        <f t="shared" si="0"/>
        <v>1478044.89</v>
      </c>
      <c r="F32" s="32">
        <f t="shared" si="0"/>
        <v>167094.84</v>
      </c>
      <c r="G32" s="32">
        <f t="shared" si="0"/>
        <v>1349469.13</v>
      </c>
      <c r="H32" s="6">
        <f>E32+F32+G32</f>
        <v>2994608.86</v>
      </c>
      <c r="I32" s="6">
        <f aca="true" t="shared" si="1" ref="I32:O32">SUM(I10:I31)</f>
        <v>638077.92</v>
      </c>
      <c r="J32" s="6">
        <f t="shared" si="1"/>
        <v>131012.56</v>
      </c>
      <c r="K32" s="6">
        <f t="shared" si="1"/>
        <v>68940.99</v>
      </c>
      <c r="L32" s="6">
        <f t="shared" si="1"/>
        <v>18464.88</v>
      </c>
      <c r="M32" s="6">
        <f t="shared" si="1"/>
        <v>2202.55</v>
      </c>
      <c r="N32" s="6">
        <f t="shared" si="1"/>
        <v>89735.04</v>
      </c>
      <c r="O32" s="6">
        <f t="shared" si="1"/>
        <v>0</v>
      </c>
      <c r="P32" s="6">
        <f>SUM(P20:P31)</f>
        <v>1637.28</v>
      </c>
      <c r="Q32" s="6">
        <f>SUM(Q10:Q31)</f>
        <v>7322.4</v>
      </c>
      <c r="R32" s="7">
        <f>SUM(R26:R31)</f>
        <v>170928</v>
      </c>
      <c r="S32" s="33">
        <f>B32+C32+D32+H32+I32+J32+K32+L32+M32+N32+O32+Q32+R32</f>
        <v>11987410.680000002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>
        <f>B32+C32+D32+H32+I32+J32+K32+L32+M32+N32+P32+Q32+R32</f>
        <v>11989047.96</v>
      </c>
      <c r="H38" s="2"/>
      <c r="I38" s="2"/>
    </row>
    <row r="39" spans="6:11" ht="11.25">
      <c r="F39" s="2"/>
      <c r="G39" s="2"/>
      <c r="H39" s="2"/>
      <c r="I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/>
      <c r="H41" s="2"/>
      <c r="I41" s="2"/>
    </row>
    <row r="42" spans="6:8" ht="11.25">
      <c r="F42" s="2"/>
      <c r="G42" s="2"/>
      <c r="H42" s="2"/>
    </row>
    <row r="43" spans="7:11" ht="11.25">
      <c r="G43" s="2"/>
      <c r="H43" s="2"/>
      <c r="K43" s="2"/>
    </row>
    <row r="44" ht="11.25"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S50"/>
  <sheetViews>
    <sheetView workbookViewId="0" topLeftCell="A10">
      <selection activeCell="L49" sqref="L49"/>
    </sheetView>
  </sheetViews>
  <sheetFormatPr defaultColWidth="9.140625" defaultRowHeight="12.75"/>
  <cols>
    <col min="1" max="1" width="10.140625" style="3" customWidth="1"/>
    <col min="2" max="2" width="9.8515625" style="3" customWidth="1"/>
    <col min="3" max="3" width="9.421875" style="3" customWidth="1"/>
    <col min="4" max="4" width="8.57421875" style="3" customWidth="1"/>
    <col min="5" max="5" width="9.8515625" style="3" customWidth="1"/>
    <col min="6" max="6" width="8.7109375" style="3" customWidth="1"/>
    <col min="7" max="7" width="10.140625" style="3" customWidth="1"/>
    <col min="8" max="8" width="9.7109375" style="3" customWidth="1"/>
    <col min="9" max="9" width="8.7109375" style="3" customWidth="1"/>
    <col min="10" max="10" width="8.57421875" style="3" customWidth="1"/>
    <col min="11" max="11" width="7.7109375" style="3" customWidth="1"/>
    <col min="12" max="12" width="7.8515625" style="3" customWidth="1"/>
    <col min="13" max="13" width="6.7109375" style="3" customWidth="1"/>
    <col min="14" max="14" width="8.00390625" style="3" customWidth="1"/>
    <col min="15" max="15" width="7.7109375" style="3" customWidth="1"/>
    <col min="16" max="16" width="7.140625" style="3" customWidth="1"/>
    <col min="17" max="17" width="7.28125" style="3" customWidth="1"/>
    <col min="18" max="18" width="8.851562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32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45.7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18" customHeight="1">
      <c r="A10" s="9" t="s">
        <v>33</v>
      </c>
      <c r="B10" s="10">
        <v>7164742.34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34</v>
      </c>
      <c r="B11" s="16"/>
      <c r="C11" s="11">
        <f>190711.89+3.5</f>
        <v>190715.39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35</v>
      </c>
      <c r="B12" s="16"/>
      <c r="C12" s="11"/>
      <c r="D12" s="20">
        <f>177010.01+8749.99+10932.4</f>
        <v>196692.4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35</v>
      </c>
      <c r="B13" s="16"/>
      <c r="C13" s="11"/>
      <c r="D13" s="20"/>
      <c r="E13" s="17">
        <v>1552793.8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35</v>
      </c>
      <c r="B14" s="16"/>
      <c r="C14" s="11"/>
      <c r="D14" s="20"/>
      <c r="E14" s="17"/>
      <c r="F14" s="35">
        <v>161571.85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35</v>
      </c>
      <c r="B15" s="16"/>
      <c r="C15" s="11"/>
      <c r="D15" s="20"/>
      <c r="E15" s="18"/>
      <c r="F15" s="18"/>
      <c r="G15" s="13">
        <v>1156286.43</v>
      </c>
      <c r="H15" s="13"/>
      <c r="I15" s="13">
        <v>494941.23</v>
      </c>
      <c r="J15" s="17"/>
      <c r="K15" s="17"/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35</v>
      </c>
      <c r="B16" s="16"/>
      <c r="C16" s="11"/>
      <c r="D16" s="20"/>
      <c r="E16" s="18"/>
      <c r="F16" s="13"/>
      <c r="G16" s="13"/>
      <c r="H16" s="13"/>
      <c r="I16" s="13"/>
      <c r="J16" s="21">
        <v>145865.82</v>
      </c>
      <c r="K16" s="21"/>
      <c r="L16" s="21"/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35</v>
      </c>
      <c r="B17" s="20"/>
      <c r="C17" s="20"/>
      <c r="D17" s="20"/>
      <c r="E17" s="18"/>
      <c r="F17" s="21"/>
      <c r="G17" s="21"/>
      <c r="H17" s="21"/>
      <c r="I17" s="21"/>
      <c r="J17" s="21"/>
      <c r="K17" s="21">
        <v>73965.61</v>
      </c>
      <c r="L17" s="21">
        <f>29947.69</f>
        <v>29947.69</v>
      </c>
      <c r="M17" s="21"/>
      <c r="N17" s="21"/>
      <c r="O17" s="21"/>
      <c r="P17" s="21"/>
      <c r="Q17" s="21"/>
      <c r="R17" s="22"/>
      <c r="S17" s="19"/>
    </row>
    <row r="18" spans="1:19" ht="15" customHeight="1">
      <c r="A18" s="9" t="s">
        <v>35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/>
      <c r="M18" s="21">
        <v>1321.53</v>
      </c>
      <c r="N18" s="21">
        <v>89735.04</v>
      </c>
      <c r="O18" s="21">
        <v>10376.35</v>
      </c>
      <c r="P18" s="21">
        <v>1637.28</v>
      </c>
      <c r="Q18" s="21"/>
      <c r="R18" s="22"/>
      <c r="S18" s="19"/>
    </row>
    <row r="19" spans="1:19" ht="15" customHeight="1">
      <c r="A19" s="9" t="s">
        <v>35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>
        <v>5040</v>
      </c>
      <c r="R19" s="22"/>
      <c r="S19" s="19"/>
    </row>
    <row r="20" spans="1:19" ht="11.25">
      <c r="A20" s="9" t="s">
        <v>35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/>
      <c r="O20" s="21"/>
      <c r="P20" s="21"/>
      <c r="Q20" s="21"/>
      <c r="R20" s="22">
        <v>153352</v>
      </c>
      <c r="S20" s="19"/>
    </row>
    <row r="21" spans="1:19" ht="11.25" hidden="1">
      <c r="A21" s="9" t="s">
        <v>35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35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35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35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23"/>
      <c r="S24" s="19"/>
    </row>
    <row r="25" spans="1:19" ht="15" customHeight="1">
      <c r="A25" s="9" t="s">
        <v>35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/>
      <c r="R25" s="23"/>
      <c r="S25" s="19"/>
    </row>
    <row r="26" spans="1:19" ht="12" thickBot="1">
      <c r="A26" s="9" t="s">
        <v>35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/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 aca="true" t="shared" si="0" ref="B32:G32">SUM(B10:B31)</f>
        <v>7164742.34</v>
      </c>
      <c r="C32" s="32">
        <f t="shared" si="0"/>
        <v>190715.39</v>
      </c>
      <c r="D32" s="32">
        <f t="shared" si="0"/>
        <v>196692.4</v>
      </c>
      <c r="E32" s="32">
        <f t="shared" si="0"/>
        <v>1552793.8</v>
      </c>
      <c r="F32" s="32">
        <f t="shared" si="0"/>
        <v>161571.85</v>
      </c>
      <c r="G32" s="32">
        <f t="shared" si="0"/>
        <v>1156286.43</v>
      </c>
      <c r="H32" s="6">
        <f>E32+F32+G32</f>
        <v>2870652.08</v>
      </c>
      <c r="I32" s="6">
        <f aca="true" t="shared" si="1" ref="I32:O32">SUM(I10:I31)</f>
        <v>494941.23</v>
      </c>
      <c r="J32" s="6">
        <f t="shared" si="1"/>
        <v>145865.82</v>
      </c>
      <c r="K32" s="6">
        <f t="shared" si="1"/>
        <v>73965.61</v>
      </c>
      <c r="L32" s="6">
        <f t="shared" si="1"/>
        <v>29947.69</v>
      </c>
      <c r="M32" s="6">
        <f t="shared" si="1"/>
        <v>1321.53</v>
      </c>
      <c r="N32" s="6">
        <f t="shared" si="1"/>
        <v>89735.04</v>
      </c>
      <c r="O32" s="6">
        <f t="shared" si="1"/>
        <v>10376.35</v>
      </c>
      <c r="P32" s="6">
        <f>SUM(P16:P31)</f>
        <v>1637.28</v>
      </c>
      <c r="Q32" s="6">
        <f>SUM(Q10:Q31)</f>
        <v>5040</v>
      </c>
      <c r="R32" s="7">
        <f>SUM(R10:R31)</f>
        <v>153352</v>
      </c>
      <c r="S32" s="33">
        <f>B32+C32+D32+H32+I32+J32+K32+L32+M32+N32+O32+Q32+R32</f>
        <v>11427347.479999999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/>
      <c r="H38" s="2"/>
      <c r="I38" s="2"/>
    </row>
    <row r="39" spans="6:11" ht="11.25">
      <c r="F39" s="2"/>
      <c r="G39" s="2"/>
      <c r="H39" s="2"/>
      <c r="I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/>
      <c r="H41" s="2"/>
      <c r="I41" s="2"/>
    </row>
    <row r="42" spans="6:8" ht="11.25">
      <c r="F42" s="2"/>
      <c r="G42" s="2"/>
      <c r="H42" s="2"/>
    </row>
    <row r="43" spans="7:11" ht="11.25">
      <c r="G43" s="2"/>
      <c r="H43" s="2"/>
      <c r="K43" s="2"/>
    </row>
    <row r="44" ht="11.25"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S50"/>
  <sheetViews>
    <sheetView workbookViewId="0" topLeftCell="A1">
      <selection activeCell="G40" sqref="G40"/>
    </sheetView>
  </sheetViews>
  <sheetFormatPr defaultColWidth="9.140625" defaultRowHeight="12.75"/>
  <cols>
    <col min="1" max="1" width="10.140625" style="3" customWidth="1"/>
    <col min="2" max="2" width="9.8515625" style="3" customWidth="1"/>
    <col min="3" max="3" width="9.421875" style="3" customWidth="1"/>
    <col min="4" max="4" width="8.57421875" style="3" customWidth="1"/>
    <col min="5" max="5" width="9.8515625" style="3" customWidth="1"/>
    <col min="6" max="6" width="8.7109375" style="3" customWidth="1"/>
    <col min="7" max="7" width="14.140625" style="3" customWidth="1"/>
    <col min="8" max="8" width="9.7109375" style="3" customWidth="1"/>
    <col min="9" max="9" width="8.7109375" style="3" customWidth="1"/>
    <col min="10" max="10" width="8.57421875" style="3" customWidth="1"/>
    <col min="11" max="11" width="7.7109375" style="3" customWidth="1"/>
    <col min="12" max="12" width="7.8515625" style="3" customWidth="1"/>
    <col min="13" max="13" width="8.421875" style="3" customWidth="1"/>
    <col min="14" max="14" width="8.8515625" style="3" customWidth="1"/>
    <col min="15" max="15" width="7.7109375" style="3" customWidth="1"/>
    <col min="16" max="16" width="7.140625" style="3" customWidth="1"/>
    <col min="17" max="17" width="7.28125" style="3" customWidth="1"/>
    <col min="18" max="18" width="8.851562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36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45.7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18" customHeight="1">
      <c r="A10" s="9" t="s">
        <v>38</v>
      </c>
      <c r="B10" s="10">
        <v>7518713.470000001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37</v>
      </c>
      <c r="B11" s="16"/>
      <c r="C11" s="11">
        <v>218033.49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34</v>
      </c>
      <c r="B12" s="16"/>
      <c r="C12" s="11"/>
      <c r="D12" s="20">
        <f>185984.96+11302.76+9042</f>
        <v>206329.72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34</v>
      </c>
      <c r="B13" s="16"/>
      <c r="C13" s="11"/>
      <c r="D13" s="20"/>
      <c r="E13" s="17">
        <v>1448924.52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34</v>
      </c>
      <c r="B14" s="16"/>
      <c r="C14" s="11"/>
      <c r="D14" s="20"/>
      <c r="E14" s="17"/>
      <c r="F14" s="35">
        <v>132012.83</v>
      </c>
      <c r="G14" s="13">
        <v>1171343.75</v>
      </c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34</v>
      </c>
      <c r="B15" s="16"/>
      <c r="C15" s="11"/>
      <c r="D15" s="20"/>
      <c r="E15" s="18"/>
      <c r="F15" s="18"/>
      <c r="G15" s="13"/>
      <c r="H15" s="13"/>
      <c r="I15" s="13">
        <v>524739.55</v>
      </c>
      <c r="J15" s="17">
        <v>131012.56</v>
      </c>
      <c r="K15" s="17"/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34</v>
      </c>
      <c r="B16" s="16"/>
      <c r="C16" s="11"/>
      <c r="D16" s="20"/>
      <c r="E16" s="18"/>
      <c r="F16" s="13"/>
      <c r="G16" s="13"/>
      <c r="H16" s="13"/>
      <c r="I16" s="13"/>
      <c r="J16" s="21"/>
      <c r="K16" s="21">
        <v>57821.9</v>
      </c>
      <c r="L16" s="21"/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34</v>
      </c>
      <c r="B17" s="20"/>
      <c r="C17" s="20"/>
      <c r="D17" s="20"/>
      <c r="E17" s="18"/>
      <c r="F17" s="21"/>
      <c r="G17" s="21"/>
      <c r="H17" s="21"/>
      <c r="I17" s="21"/>
      <c r="J17" s="21"/>
      <c r="K17" s="21"/>
      <c r="L17" s="21">
        <f>14421.35+9457.8</f>
        <v>23879.15</v>
      </c>
      <c r="M17" s="21"/>
      <c r="N17" s="21"/>
      <c r="O17" s="21"/>
      <c r="P17" s="21"/>
      <c r="Q17" s="21"/>
      <c r="R17" s="22"/>
      <c r="S17" s="19"/>
    </row>
    <row r="18" spans="1:19" ht="15" customHeight="1">
      <c r="A18" s="9" t="s">
        <v>34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/>
      <c r="M18" s="21">
        <v>2202.55</v>
      </c>
      <c r="N18" s="21"/>
      <c r="O18" s="21"/>
      <c r="P18" s="21"/>
      <c r="Q18" s="21"/>
      <c r="R18" s="22"/>
      <c r="S18" s="19"/>
    </row>
    <row r="19" spans="1:19" ht="15" customHeight="1">
      <c r="A19" s="9" t="s">
        <v>34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/>
      <c r="N19" s="21">
        <v>134602.56</v>
      </c>
      <c r="O19" s="21"/>
      <c r="P19" s="21"/>
      <c r="Q19" s="21"/>
      <c r="R19" s="22"/>
      <c r="S19" s="19"/>
    </row>
    <row r="20" spans="1:19" ht="11.25">
      <c r="A20" s="9" t="s">
        <v>34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/>
      <c r="O20" s="21">
        <v>10376.35</v>
      </c>
      <c r="P20" s="21"/>
      <c r="Q20" s="21"/>
      <c r="R20" s="22"/>
      <c r="S20" s="19"/>
    </row>
    <row r="21" spans="1:19" ht="11.25" hidden="1">
      <c r="A21" s="9" t="s">
        <v>34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34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34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34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/>
      <c r="P24" s="17">
        <v>2183.04</v>
      </c>
      <c r="Q24" s="17"/>
      <c r="R24" s="23"/>
      <c r="S24" s="19"/>
    </row>
    <row r="25" spans="1:19" ht="15" customHeight="1">
      <c r="A25" s="9" t="s">
        <v>34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>
        <v>9960</v>
      </c>
      <c r="R25" s="23">
        <v>151796</v>
      </c>
      <c r="S25" s="19"/>
    </row>
    <row r="26" spans="1:19" ht="12" thickBot="1">
      <c r="A26" s="9" t="s">
        <v>34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/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 aca="true" t="shared" si="0" ref="B32:G32">SUM(B10:B31)</f>
        <v>7518713.470000001</v>
      </c>
      <c r="C32" s="32">
        <f t="shared" si="0"/>
        <v>218033.49</v>
      </c>
      <c r="D32" s="32">
        <f t="shared" si="0"/>
        <v>206329.72</v>
      </c>
      <c r="E32" s="32">
        <f t="shared" si="0"/>
        <v>1448924.52</v>
      </c>
      <c r="F32" s="32">
        <f t="shared" si="0"/>
        <v>132012.83</v>
      </c>
      <c r="G32" s="32">
        <f t="shared" si="0"/>
        <v>1171343.75</v>
      </c>
      <c r="H32" s="6">
        <f>E32+F32+G32</f>
        <v>2752281.1</v>
      </c>
      <c r="I32" s="6">
        <f aca="true" t="shared" si="1" ref="I32:O32">SUM(I10:I31)</f>
        <v>524739.55</v>
      </c>
      <c r="J32" s="6">
        <f t="shared" si="1"/>
        <v>131012.56</v>
      </c>
      <c r="K32" s="6">
        <f t="shared" si="1"/>
        <v>57821.9</v>
      </c>
      <c r="L32" s="6">
        <f t="shared" si="1"/>
        <v>23879.15</v>
      </c>
      <c r="M32" s="6">
        <f t="shared" si="1"/>
        <v>2202.55</v>
      </c>
      <c r="N32" s="6">
        <f t="shared" si="1"/>
        <v>134602.56</v>
      </c>
      <c r="O32" s="6">
        <f t="shared" si="1"/>
        <v>10376.35</v>
      </c>
      <c r="P32" s="6">
        <f>SUM(P16:P31)</f>
        <v>2183.04</v>
      </c>
      <c r="Q32" s="6">
        <f>SUM(Q10:Q31)</f>
        <v>9960</v>
      </c>
      <c r="R32" s="7">
        <f>SUM(R10:R31)</f>
        <v>151796</v>
      </c>
      <c r="S32" s="33">
        <f>B32+C32+D32+H32+I32+J32+K32+L32+M32+N32+O32+Q32+R32</f>
        <v>11741748.400000004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/>
      <c r="H38" s="2"/>
      <c r="I38" s="2"/>
    </row>
    <row r="39" spans="6:11" ht="11.25">
      <c r="F39" s="2"/>
      <c r="G39" s="2"/>
      <c r="H39" s="2"/>
      <c r="I39" s="2"/>
      <c r="K39" s="2"/>
    </row>
    <row r="40" spans="6:11" ht="11.25">
      <c r="F40" s="2"/>
      <c r="G40" s="2">
        <f>B32+D32+H32+I32+J32+K32+L32+M32+N32+O32+P32+Q32+R32+C32</f>
        <v>11743931.440000003</v>
      </c>
      <c r="H40" s="2"/>
      <c r="I40" s="2"/>
      <c r="K40" s="2"/>
    </row>
    <row r="41" spans="6:9" ht="11.25">
      <c r="F41" s="2"/>
      <c r="G41" s="2"/>
      <c r="H41" s="2"/>
      <c r="I41" s="2"/>
    </row>
    <row r="42" spans="6:8" ht="11.25">
      <c r="F42" s="2"/>
      <c r="G42" s="2">
        <v>11516855.950000001</v>
      </c>
      <c r="H42" s="2"/>
    </row>
    <row r="43" spans="7:11" ht="11.25">
      <c r="G43" s="2"/>
      <c r="H43" s="2"/>
      <c r="K43" s="2"/>
    </row>
    <row r="44" ht="11.25"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S50"/>
  <sheetViews>
    <sheetView workbookViewId="0" topLeftCell="A1">
      <selection activeCell="M43" sqref="M43"/>
    </sheetView>
  </sheetViews>
  <sheetFormatPr defaultColWidth="9.140625" defaultRowHeight="12.75"/>
  <cols>
    <col min="1" max="1" width="10.140625" style="3" customWidth="1"/>
    <col min="2" max="2" width="9.8515625" style="3" customWidth="1"/>
    <col min="3" max="3" width="8.8515625" style="3" customWidth="1"/>
    <col min="4" max="4" width="8.57421875" style="3" customWidth="1"/>
    <col min="5" max="5" width="9.8515625" style="3" customWidth="1"/>
    <col min="6" max="6" width="8.421875" style="3" customWidth="1"/>
    <col min="7" max="7" width="9.140625" style="3" customWidth="1"/>
    <col min="8" max="8" width="9.7109375" style="3" customWidth="1"/>
    <col min="9" max="9" width="8.7109375" style="3" customWidth="1"/>
    <col min="10" max="10" width="8.57421875" style="3" customWidth="1"/>
    <col min="11" max="11" width="7.7109375" style="3" customWidth="1"/>
    <col min="12" max="12" width="7.8515625" style="3" customWidth="1"/>
    <col min="13" max="13" width="7.00390625" style="3" customWidth="1"/>
    <col min="14" max="14" width="8.421875" style="3" customWidth="1"/>
    <col min="15" max="15" width="7.7109375" style="3" customWidth="1"/>
    <col min="16" max="16" width="7.140625" style="3" customWidth="1"/>
    <col min="17" max="17" width="7.00390625" style="3" customWidth="1"/>
    <col min="18" max="18" width="8.42187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39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45.7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18" customHeight="1">
      <c r="A10" s="9" t="s">
        <v>34</v>
      </c>
      <c r="B10" s="10">
        <v>7120654.09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40</v>
      </c>
      <c r="B11" s="16"/>
      <c r="C11" s="11">
        <v>206765.91</v>
      </c>
      <c r="D11" s="17">
        <f>225289.73+12205.64+7563.29</f>
        <v>245058.66</v>
      </c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37</v>
      </c>
      <c r="B12" s="16"/>
      <c r="C12" s="11"/>
      <c r="D12" s="20"/>
      <c r="E12" s="18">
        <v>1570116.31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37</v>
      </c>
      <c r="B13" s="16"/>
      <c r="C13" s="11"/>
      <c r="D13" s="20"/>
      <c r="E13" s="17"/>
      <c r="F13" s="3">
        <v>135365.84</v>
      </c>
      <c r="G13" s="13">
        <v>931520.3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37</v>
      </c>
      <c r="B14" s="16"/>
      <c r="C14" s="11"/>
      <c r="D14" s="20"/>
      <c r="E14" s="17"/>
      <c r="F14" s="35"/>
      <c r="G14" s="13"/>
      <c r="H14" s="13"/>
      <c r="I14" s="13">
        <v>652599.65</v>
      </c>
      <c r="J14" s="21">
        <v>190425.6</v>
      </c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37</v>
      </c>
      <c r="B15" s="16"/>
      <c r="C15" s="11"/>
      <c r="D15" s="20"/>
      <c r="E15" s="18"/>
      <c r="F15" s="18"/>
      <c r="G15" s="13"/>
      <c r="H15" s="13"/>
      <c r="I15" s="13"/>
      <c r="J15" s="17"/>
      <c r="K15" s="17">
        <v>49697.55</v>
      </c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37</v>
      </c>
      <c r="B16" s="16"/>
      <c r="C16" s="11"/>
      <c r="D16" s="20"/>
      <c r="E16" s="18"/>
      <c r="F16" s="13"/>
      <c r="G16" s="13"/>
      <c r="H16" s="13"/>
      <c r="I16" s="13"/>
      <c r="J16" s="21"/>
      <c r="K16" s="21"/>
      <c r="L16" s="21">
        <v>12782.96</v>
      </c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37</v>
      </c>
      <c r="B17" s="20"/>
      <c r="C17" s="20"/>
      <c r="D17" s="20"/>
      <c r="E17" s="18"/>
      <c r="F17" s="21"/>
      <c r="G17" s="21"/>
      <c r="H17" s="21"/>
      <c r="I17" s="21"/>
      <c r="J17" s="21"/>
      <c r="K17" s="21"/>
      <c r="L17" s="21"/>
      <c r="M17" s="21">
        <v>1101.27</v>
      </c>
      <c r="N17" s="21"/>
      <c r="O17" s="21"/>
      <c r="P17" s="21"/>
      <c r="Q17" s="21"/>
      <c r="R17" s="22"/>
      <c r="S17" s="19"/>
    </row>
    <row r="18" spans="1:19" ht="15" customHeight="1">
      <c r="A18" s="9" t="s">
        <v>37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/>
      <c r="M18" s="21"/>
      <c r="N18" s="21">
        <v>134602.56</v>
      </c>
      <c r="O18" s="21"/>
      <c r="P18" s="21"/>
      <c r="Q18" s="21"/>
      <c r="R18" s="22"/>
      <c r="S18" s="19"/>
    </row>
    <row r="19" spans="1:19" ht="15" customHeight="1">
      <c r="A19" s="9" t="s">
        <v>37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>
        <v>10376.35</v>
      </c>
      <c r="P19" s="21">
        <v>2183.04</v>
      </c>
      <c r="Q19" s="21"/>
      <c r="R19" s="22"/>
      <c r="S19" s="19"/>
    </row>
    <row r="20" spans="1:19" ht="11.25">
      <c r="A20" s="9" t="s">
        <v>37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/>
      <c r="O20" s="21"/>
      <c r="P20" s="21"/>
      <c r="Q20" s="21">
        <v>6840</v>
      </c>
      <c r="R20" s="22"/>
      <c r="S20" s="19"/>
    </row>
    <row r="21" spans="1:19" ht="11.25" hidden="1">
      <c r="A21" s="9" t="s">
        <v>37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37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37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37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23">
        <f>155480-2198.4</f>
        <v>153281.6</v>
      </c>
      <c r="S24" s="19"/>
    </row>
    <row r="25" spans="1:19" ht="15" customHeight="1">
      <c r="A25" s="9" t="s">
        <v>37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/>
      <c r="R25" s="23"/>
      <c r="S25" s="19"/>
    </row>
    <row r="26" spans="1:19" ht="12" thickBot="1">
      <c r="A26" s="9" t="s">
        <v>37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/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 aca="true" t="shared" si="0" ref="B32:G32">SUM(B10:B31)</f>
        <v>7120654.09</v>
      </c>
      <c r="C32" s="32">
        <f t="shared" si="0"/>
        <v>206765.91</v>
      </c>
      <c r="D32" s="32">
        <f t="shared" si="0"/>
        <v>245058.66</v>
      </c>
      <c r="E32" s="32">
        <f t="shared" si="0"/>
        <v>1570116.31</v>
      </c>
      <c r="F32" s="32">
        <f t="shared" si="0"/>
        <v>135365.84</v>
      </c>
      <c r="G32" s="32">
        <f t="shared" si="0"/>
        <v>931520.3</v>
      </c>
      <c r="H32" s="6">
        <f>E32+F32+G32</f>
        <v>2637002.45</v>
      </c>
      <c r="I32" s="6">
        <f aca="true" t="shared" si="1" ref="I32:O32">SUM(I10:I31)</f>
        <v>652599.65</v>
      </c>
      <c r="J32" s="6">
        <f t="shared" si="1"/>
        <v>190425.6</v>
      </c>
      <c r="K32" s="6">
        <f t="shared" si="1"/>
        <v>49697.55</v>
      </c>
      <c r="L32" s="6">
        <f t="shared" si="1"/>
        <v>12782.96</v>
      </c>
      <c r="M32" s="6">
        <f t="shared" si="1"/>
        <v>1101.27</v>
      </c>
      <c r="N32" s="6">
        <f t="shared" si="1"/>
        <v>134602.56</v>
      </c>
      <c r="O32" s="6">
        <f t="shared" si="1"/>
        <v>10376.35</v>
      </c>
      <c r="P32" s="6">
        <f>SUM(P16:P31)</f>
        <v>2183.04</v>
      </c>
      <c r="Q32" s="6">
        <f>SUM(Q10:Q31)</f>
        <v>6840</v>
      </c>
      <c r="R32" s="7">
        <f>SUM(R10:R31)</f>
        <v>153281.6</v>
      </c>
      <c r="S32" s="33">
        <f>B32+C32+D32+H32+I32+J32+K32+L32+M32+N32+O32+Q32+R32</f>
        <v>11421188.65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/>
      <c r="H38" s="2"/>
      <c r="I38" s="2"/>
    </row>
    <row r="39" spans="6:11" ht="11.25">
      <c r="F39" s="2"/>
      <c r="G39" s="2"/>
      <c r="H39" s="2"/>
      <c r="I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/>
      <c r="H41" s="2"/>
      <c r="I41" s="2"/>
    </row>
    <row r="42" spans="6:8" ht="11.25">
      <c r="F42" s="2"/>
      <c r="G42" s="2"/>
      <c r="H42" s="2"/>
    </row>
    <row r="43" spans="7:11" ht="11.25">
      <c r="G43" s="2"/>
      <c r="H43" s="2"/>
      <c r="K43" s="2"/>
    </row>
    <row r="44" ht="11.25"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S50"/>
  <sheetViews>
    <sheetView workbookViewId="0" topLeftCell="A1">
      <selection activeCell="G39" sqref="G39"/>
    </sheetView>
  </sheetViews>
  <sheetFormatPr defaultColWidth="9.140625" defaultRowHeight="12.75"/>
  <cols>
    <col min="1" max="1" width="10.140625" style="3" customWidth="1"/>
    <col min="2" max="2" width="9.8515625" style="3" customWidth="1"/>
    <col min="3" max="3" width="8.8515625" style="3" customWidth="1"/>
    <col min="4" max="4" width="8.57421875" style="3" customWidth="1"/>
    <col min="5" max="5" width="9.8515625" style="3" customWidth="1"/>
    <col min="6" max="6" width="8.421875" style="3" customWidth="1"/>
    <col min="7" max="7" width="11.140625" style="3" customWidth="1"/>
    <col min="8" max="8" width="9.7109375" style="3" customWidth="1"/>
    <col min="9" max="9" width="8.7109375" style="3" customWidth="1"/>
    <col min="10" max="10" width="8.57421875" style="3" customWidth="1"/>
    <col min="11" max="11" width="7.7109375" style="3" customWidth="1"/>
    <col min="12" max="12" width="7.8515625" style="3" customWidth="1"/>
    <col min="13" max="13" width="7.00390625" style="3" customWidth="1"/>
    <col min="14" max="14" width="8.421875" style="3" customWidth="1"/>
    <col min="15" max="15" width="7.7109375" style="3" customWidth="1"/>
    <col min="16" max="16" width="7.140625" style="3" customWidth="1"/>
    <col min="17" max="17" width="7.00390625" style="3" customWidth="1"/>
    <col min="18" max="18" width="8.42187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41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45.7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18" customHeight="1">
      <c r="A10" s="9" t="s">
        <v>37</v>
      </c>
      <c r="B10" s="10">
        <v>7869157.3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42</v>
      </c>
      <c r="B11" s="16"/>
      <c r="C11" s="11">
        <v>199912.71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40</v>
      </c>
      <c r="B12" s="16"/>
      <c r="C12" s="11"/>
      <c r="D12" s="20">
        <f>237225.87+17372.45+16098.84</f>
        <v>270697.16000000003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40</v>
      </c>
      <c r="B13" s="16"/>
      <c r="C13" s="11"/>
      <c r="D13" s="20"/>
      <c r="E13" s="17">
        <v>1467345.01</v>
      </c>
      <c r="F13" s="3">
        <v>126176.29</v>
      </c>
      <c r="G13" s="13">
        <f>1142505.16+359514.63</f>
        <v>1502019.79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40</v>
      </c>
      <c r="B14" s="16"/>
      <c r="C14" s="11"/>
      <c r="D14" s="20"/>
      <c r="E14" s="17"/>
      <c r="F14" s="35"/>
      <c r="G14" s="13"/>
      <c r="H14" s="13"/>
      <c r="I14" s="13">
        <v>575737.78</v>
      </c>
      <c r="J14" s="21"/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40</v>
      </c>
      <c r="B15" s="16"/>
      <c r="C15" s="11"/>
      <c r="D15" s="20"/>
      <c r="E15" s="18"/>
      <c r="F15" s="18"/>
      <c r="G15" s="13"/>
      <c r="H15" s="13"/>
      <c r="I15" s="13"/>
      <c r="J15" s="17">
        <v>106697.99</v>
      </c>
      <c r="K15" s="17"/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40</v>
      </c>
      <c r="B16" s="16"/>
      <c r="C16" s="11"/>
      <c r="D16" s="20"/>
      <c r="E16" s="18"/>
      <c r="F16" s="13"/>
      <c r="G16" s="13"/>
      <c r="H16" s="13"/>
      <c r="I16" s="13"/>
      <c r="J16" s="21"/>
      <c r="K16" s="21">
        <v>70855.88</v>
      </c>
      <c r="L16" s="21"/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40</v>
      </c>
      <c r="B17" s="20"/>
      <c r="C17" s="20"/>
      <c r="D17" s="20"/>
      <c r="E17" s="18"/>
      <c r="F17" s="21"/>
      <c r="G17" s="21"/>
      <c r="H17" s="21"/>
      <c r="I17" s="21"/>
      <c r="J17" s="21"/>
      <c r="K17" s="21"/>
      <c r="L17" s="21">
        <f>20745.18+3398.56</f>
        <v>24143.74</v>
      </c>
      <c r="M17" s="21"/>
      <c r="N17" s="21"/>
      <c r="O17" s="21"/>
      <c r="P17" s="21"/>
      <c r="Q17" s="21"/>
      <c r="R17" s="22"/>
      <c r="S17" s="19"/>
    </row>
    <row r="18" spans="1:19" ht="15" customHeight="1">
      <c r="A18" s="9" t="s">
        <v>40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/>
      <c r="M18" s="21">
        <v>1321.53</v>
      </c>
      <c r="N18" s="21"/>
      <c r="O18" s="21"/>
      <c r="P18" s="21"/>
      <c r="Q18" s="21"/>
      <c r="R18" s="22"/>
      <c r="S18" s="19"/>
    </row>
    <row r="19" spans="1:19" ht="15" customHeight="1">
      <c r="A19" s="9" t="s">
        <v>40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/>
      <c r="N19" s="21">
        <v>112168.8</v>
      </c>
      <c r="O19" s="21"/>
      <c r="P19" s="21"/>
      <c r="Q19" s="21"/>
      <c r="R19" s="22"/>
      <c r="S19" s="19"/>
    </row>
    <row r="20" spans="1:19" ht="11.25">
      <c r="A20" s="9" t="s">
        <v>40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/>
      <c r="O20" s="21">
        <v>10376.35</v>
      </c>
      <c r="P20" s="21"/>
      <c r="Q20" s="21"/>
      <c r="R20" s="22"/>
      <c r="S20" s="19"/>
    </row>
    <row r="21" spans="1:19" ht="11.25" hidden="1">
      <c r="A21" s="9" t="s">
        <v>40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40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40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40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/>
      <c r="P24" s="17">
        <v>2183.04</v>
      </c>
      <c r="Q24" s="17"/>
      <c r="R24" s="23"/>
      <c r="S24" s="19"/>
    </row>
    <row r="25" spans="1:19" ht="15" customHeight="1">
      <c r="A25" s="9" t="s">
        <v>40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>
        <v>4200</v>
      </c>
      <c r="R25" s="23"/>
      <c r="S25" s="19"/>
    </row>
    <row r="26" spans="1:19" ht="12" thickBot="1">
      <c r="A26" s="9" t="s">
        <v>40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>
        <v>137250</v>
      </c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 aca="true" t="shared" si="0" ref="B32:G32">SUM(B10:B31)</f>
        <v>7869157.3</v>
      </c>
      <c r="C32" s="32">
        <f t="shared" si="0"/>
        <v>199912.71</v>
      </c>
      <c r="D32" s="32">
        <f t="shared" si="0"/>
        <v>270697.16000000003</v>
      </c>
      <c r="E32" s="32">
        <f t="shared" si="0"/>
        <v>1467345.01</v>
      </c>
      <c r="F32" s="32">
        <f t="shared" si="0"/>
        <v>126176.29</v>
      </c>
      <c r="G32" s="32">
        <f t="shared" si="0"/>
        <v>1502019.79</v>
      </c>
      <c r="H32" s="6">
        <f>E32+F32+G32</f>
        <v>3095541.09</v>
      </c>
      <c r="I32" s="6">
        <f aca="true" t="shared" si="1" ref="I32:O32">SUM(I10:I31)</f>
        <v>575737.78</v>
      </c>
      <c r="J32" s="6">
        <f t="shared" si="1"/>
        <v>106697.99</v>
      </c>
      <c r="K32" s="6">
        <f t="shared" si="1"/>
        <v>70855.88</v>
      </c>
      <c r="L32" s="6">
        <f t="shared" si="1"/>
        <v>24143.74</v>
      </c>
      <c r="M32" s="6">
        <f t="shared" si="1"/>
        <v>1321.53</v>
      </c>
      <c r="N32" s="6">
        <f t="shared" si="1"/>
        <v>112168.8</v>
      </c>
      <c r="O32" s="6">
        <f t="shared" si="1"/>
        <v>10376.35</v>
      </c>
      <c r="P32" s="6">
        <f>SUM(P16:P31)</f>
        <v>2183.04</v>
      </c>
      <c r="Q32" s="6">
        <f>SUM(Q10:Q31)</f>
        <v>4200</v>
      </c>
      <c r="R32" s="7">
        <f>SUM(R10:R31)</f>
        <v>137250</v>
      </c>
      <c r="S32" s="33">
        <f>B32+C32+D32+H32+I32+J32+K32+L32+M32+N32+O32+Q32+R32</f>
        <v>12478060.33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/>
      <c r="H38" s="2"/>
      <c r="I38" s="2"/>
    </row>
    <row r="39" spans="6:11" ht="11.25">
      <c r="F39" s="2"/>
      <c r="G39" s="2">
        <f>B32+C32+D32+H32+I32+J32+K32+L32+M32+N32+O32+P32+Q32+R32</f>
        <v>12480243.37</v>
      </c>
      <c r="H39" s="2"/>
      <c r="I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/>
      <c r="H41" s="2"/>
      <c r="I41" s="2"/>
    </row>
    <row r="42" spans="6:8" ht="11.25">
      <c r="F42" s="2"/>
      <c r="G42" s="2"/>
      <c r="H42" s="2"/>
    </row>
    <row r="43" spans="7:11" ht="11.25">
      <c r="G43" s="2"/>
      <c r="H43" s="2"/>
      <c r="K43" s="2"/>
    </row>
    <row r="44" spans="7:8" ht="11.25">
      <c r="G44" s="2"/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S52"/>
  <sheetViews>
    <sheetView workbookViewId="0" topLeftCell="A1">
      <selection activeCell="K36" sqref="K36"/>
    </sheetView>
  </sheetViews>
  <sheetFormatPr defaultColWidth="9.140625" defaultRowHeight="12.75"/>
  <cols>
    <col min="1" max="1" width="10.140625" style="3" customWidth="1"/>
    <col min="2" max="2" width="9.8515625" style="3" customWidth="1"/>
    <col min="3" max="3" width="8.8515625" style="3" customWidth="1"/>
    <col min="4" max="4" width="8.57421875" style="3" customWidth="1"/>
    <col min="5" max="5" width="9.8515625" style="3" customWidth="1"/>
    <col min="6" max="6" width="8.421875" style="3" customWidth="1"/>
    <col min="7" max="7" width="11.140625" style="3" customWidth="1"/>
    <col min="8" max="8" width="9.7109375" style="3" customWidth="1"/>
    <col min="9" max="9" width="8.7109375" style="3" customWidth="1"/>
    <col min="10" max="10" width="8.57421875" style="3" customWidth="1"/>
    <col min="11" max="11" width="7.7109375" style="3" customWidth="1"/>
    <col min="12" max="12" width="7.8515625" style="3" customWidth="1"/>
    <col min="13" max="13" width="7.00390625" style="3" customWidth="1"/>
    <col min="14" max="14" width="8.421875" style="3" customWidth="1"/>
    <col min="15" max="15" width="7.7109375" style="3" customWidth="1"/>
    <col min="16" max="16" width="7.140625" style="3" customWidth="1"/>
    <col min="17" max="17" width="7.00390625" style="3" customWidth="1"/>
    <col min="18" max="18" width="8.42187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43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45.7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18" customHeight="1">
      <c r="A10" s="9" t="s">
        <v>40</v>
      </c>
      <c r="B10" s="10">
        <v>6994576.58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44</v>
      </c>
      <c r="B11" s="16"/>
      <c r="C11" s="11">
        <v>193100.23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42</v>
      </c>
      <c r="B12" s="16"/>
      <c r="C12" s="11"/>
      <c r="D12" s="20">
        <f>15117.55+12271.16+237230</f>
        <v>264618.71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42</v>
      </c>
      <c r="B13" s="16"/>
      <c r="C13" s="11"/>
      <c r="D13" s="20"/>
      <c r="E13" s="17">
        <v>1415140.75</v>
      </c>
      <c r="F13" s="3">
        <v>118657.33</v>
      </c>
      <c r="G13" s="13">
        <v>1046862.03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42</v>
      </c>
      <c r="B14" s="16"/>
      <c r="C14" s="11"/>
      <c r="D14" s="20"/>
      <c r="E14" s="17"/>
      <c r="F14" s="35"/>
      <c r="G14" s="13"/>
      <c r="H14" s="13"/>
      <c r="I14" s="13">
        <v>606033.29</v>
      </c>
      <c r="J14" s="21"/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42</v>
      </c>
      <c r="B15" s="16"/>
      <c r="C15" s="11"/>
      <c r="D15" s="20"/>
      <c r="E15" s="18"/>
      <c r="F15" s="18"/>
      <c r="G15" s="13"/>
      <c r="H15" s="13"/>
      <c r="I15" s="13"/>
      <c r="J15" s="17">
        <v>102026.32</v>
      </c>
      <c r="K15" s="17"/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42</v>
      </c>
      <c r="B16" s="16"/>
      <c r="C16" s="11"/>
      <c r="D16" s="20"/>
      <c r="E16" s="18"/>
      <c r="F16" s="13"/>
      <c r="G16" s="13"/>
      <c r="H16" s="13"/>
      <c r="I16" s="13"/>
      <c r="J16" s="21"/>
      <c r="K16" s="21">
        <v>61380.86</v>
      </c>
      <c r="L16" s="21"/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42</v>
      </c>
      <c r="B17" s="20"/>
      <c r="C17" s="20"/>
      <c r="D17" s="20"/>
      <c r="E17" s="18"/>
      <c r="F17" s="21"/>
      <c r="G17" s="21"/>
      <c r="H17" s="21"/>
      <c r="I17" s="21"/>
      <c r="J17" s="21"/>
      <c r="K17" s="21"/>
      <c r="L17" s="21">
        <f>2842.36+3398.56</f>
        <v>6240.92</v>
      </c>
      <c r="M17" s="21"/>
      <c r="N17" s="21"/>
      <c r="O17" s="21"/>
      <c r="P17" s="21"/>
      <c r="Q17" s="21"/>
      <c r="R17" s="22"/>
      <c r="S17" s="19"/>
    </row>
    <row r="18" spans="1:19" ht="15" customHeight="1">
      <c r="A18" s="9" t="s">
        <v>42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/>
      <c r="M18" s="21">
        <v>2202.55</v>
      </c>
      <c r="N18" s="21"/>
      <c r="O18" s="21"/>
      <c r="P18" s="21"/>
      <c r="Q18" s="21"/>
      <c r="R18" s="22"/>
      <c r="S18" s="19"/>
    </row>
    <row r="19" spans="1:19" ht="15" customHeight="1">
      <c r="A19" s="9" t="s">
        <v>42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/>
      <c r="N19" s="21">
        <v>175788.62</v>
      </c>
      <c r="O19" s="21"/>
      <c r="P19" s="21"/>
      <c r="Q19" s="21"/>
      <c r="R19" s="22"/>
      <c r="S19" s="19"/>
    </row>
    <row r="20" spans="1:19" ht="11.25">
      <c r="A20" s="9" t="s">
        <v>42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/>
      <c r="O20" s="21">
        <v>10376.35</v>
      </c>
      <c r="P20" s="21"/>
      <c r="Q20" s="21"/>
      <c r="R20" s="22"/>
      <c r="S20" s="19"/>
    </row>
    <row r="21" spans="1:19" ht="11.25" hidden="1">
      <c r="A21" s="9" t="s">
        <v>42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42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42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42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/>
      <c r="P24" s="17">
        <v>2183.04</v>
      </c>
      <c r="Q24" s="17"/>
      <c r="R24" s="23"/>
      <c r="S24" s="19"/>
    </row>
    <row r="25" spans="1:19" ht="15" customHeight="1">
      <c r="A25" s="9" t="s">
        <v>42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>
        <v>7080</v>
      </c>
      <c r="R25" s="23"/>
      <c r="S25" s="19"/>
    </row>
    <row r="26" spans="1:19" ht="12" thickBot="1">
      <c r="A26" s="9" t="s">
        <v>42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>
        <v>131470</v>
      </c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 aca="true" t="shared" si="0" ref="B32:G32">SUM(B10:B31)</f>
        <v>6994576.58</v>
      </c>
      <c r="C32" s="32">
        <f t="shared" si="0"/>
        <v>193100.23</v>
      </c>
      <c r="D32" s="32">
        <f t="shared" si="0"/>
        <v>264618.71</v>
      </c>
      <c r="E32" s="32">
        <f t="shared" si="0"/>
        <v>1415140.75</v>
      </c>
      <c r="F32" s="32">
        <f t="shared" si="0"/>
        <v>118657.33</v>
      </c>
      <c r="G32" s="32">
        <f t="shared" si="0"/>
        <v>1046862.03</v>
      </c>
      <c r="H32" s="6">
        <f>E32+F32+G32</f>
        <v>2580660.1100000003</v>
      </c>
      <c r="I32" s="6">
        <f aca="true" t="shared" si="1" ref="I32:O32">SUM(I10:I31)</f>
        <v>606033.29</v>
      </c>
      <c r="J32" s="6">
        <f t="shared" si="1"/>
        <v>102026.32</v>
      </c>
      <c r="K32" s="6">
        <f t="shared" si="1"/>
        <v>61380.86</v>
      </c>
      <c r="L32" s="6">
        <f t="shared" si="1"/>
        <v>6240.92</v>
      </c>
      <c r="M32" s="6">
        <f t="shared" si="1"/>
        <v>2202.55</v>
      </c>
      <c r="N32" s="6">
        <f t="shared" si="1"/>
        <v>175788.62</v>
      </c>
      <c r="O32" s="6">
        <f t="shared" si="1"/>
        <v>10376.35</v>
      </c>
      <c r="P32" s="6">
        <f>SUM(P16:P31)</f>
        <v>2183.04</v>
      </c>
      <c r="Q32" s="6">
        <f>SUM(Q10:Q31)</f>
        <v>7080</v>
      </c>
      <c r="R32" s="7">
        <f>SUM(R10:R31)</f>
        <v>131470</v>
      </c>
      <c r="S32" s="33">
        <f>B32+C32+D32+H32+I32+J32+K32+L32+M32+N32+O32+Q32+R32</f>
        <v>11135554.540000001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/>
      <c r="H38" s="2"/>
      <c r="I38" s="2"/>
    </row>
    <row r="39" spans="6:11" ht="11.25">
      <c r="F39" s="2"/>
      <c r="G39" s="2"/>
      <c r="H39" s="2"/>
      <c r="I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/>
      <c r="H41" s="2"/>
      <c r="I41" s="2"/>
    </row>
    <row r="42" spans="6:8" ht="11.25">
      <c r="F42" s="2"/>
      <c r="G42" s="2"/>
      <c r="H42" s="2"/>
    </row>
    <row r="43" spans="7:11" ht="11.25">
      <c r="G43" s="2"/>
      <c r="H43" s="2"/>
      <c r="K43" s="2"/>
    </row>
    <row r="44" spans="7:8" ht="11.25">
      <c r="G44" s="2"/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  <row r="52" ht="11.25">
      <c r="G52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S52"/>
  <sheetViews>
    <sheetView workbookViewId="0" topLeftCell="A1">
      <selection activeCell="J48" sqref="J48"/>
    </sheetView>
  </sheetViews>
  <sheetFormatPr defaultColWidth="9.140625" defaultRowHeight="12.75"/>
  <cols>
    <col min="1" max="1" width="10.140625" style="3" customWidth="1"/>
    <col min="2" max="2" width="11.57421875" style="3" customWidth="1"/>
    <col min="3" max="3" width="8.8515625" style="3" customWidth="1"/>
    <col min="4" max="4" width="8.57421875" style="3" customWidth="1"/>
    <col min="5" max="5" width="9.8515625" style="3" customWidth="1"/>
    <col min="6" max="6" width="8.421875" style="3" customWidth="1"/>
    <col min="7" max="7" width="11.140625" style="3" customWidth="1"/>
    <col min="8" max="8" width="9.7109375" style="3" customWidth="1"/>
    <col min="9" max="9" width="8.7109375" style="3" customWidth="1"/>
    <col min="10" max="10" width="8.57421875" style="3" customWidth="1"/>
    <col min="11" max="11" width="7.7109375" style="3" customWidth="1"/>
    <col min="12" max="12" width="7.8515625" style="3" customWidth="1"/>
    <col min="13" max="13" width="7.00390625" style="3" customWidth="1"/>
    <col min="14" max="14" width="8.421875" style="3" customWidth="1"/>
    <col min="15" max="15" width="7.7109375" style="3" customWidth="1"/>
    <col min="16" max="16" width="7.140625" style="3" customWidth="1"/>
    <col min="17" max="17" width="7.00390625" style="3" customWidth="1"/>
    <col min="18" max="18" width="8.421875" style="3" customWidth="1"/>
    <col min="19" max="19" width="10.8515625" style="3" hidden="1" customWidth="1"/>
    <col min="20" max="16384" width="9.140625" style="3" customWidth="1"/>
  </cols>
  <sheetData>
    <row r="4" spans="1:18" ht="11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1.25">
      <c r="B5" s="2"/>
      <c r="C5" s="4" t="s">
        <v>45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1.25">
      <c r="B6" s="2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1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45.75" thickBo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7" t="s">
        <v>18</v>
      </c>
      <c r="S9" s="8" t="s">
        <v>19</v>
      </c>
    </row>
    <row r="10" spans="1:19" ht="27" customHeight="1">
      <c r="A10" s="9" t="s">
        <v>47</v>
      </c>
      <c r="B10" s="10">
        <f>6992290.75+3789727.61</f>
        <v>10782018.36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</row>
    <row r="11" spans="1:19" ht="18.75" customHeight="1">
      <c r="A11" s="9" t="s">
        <v>46</v>
      </c>
      <c r="B11" s="16"/>
      <c r="C11" s="11">
        <v>202946.31</v>
      </c>
      <c r="D11" s="17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9"/>
    </row>
    <row r="12" spans="1:19" ht="12" customHeight="1">
      <c r="A12" s="9" t="s">
        <v>44</v>
      </c>
      <c r="B12" s="16"/>
      <c r="C12" s="11"/>
      <c r="D12" s="20">
        <f>248434.67+2300+19930+2270</f>
        <v>272934.67000000004</v>
      </c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9"/>
    </row>
    <row r="13" spans="1:19" ht="12" customHeight="1">
      <c r="A13" s="9" t="s">
        <v>44</v>
      </c>
      <c r="B13" s="16"/>
      <c r="C13" s="11"/>
      <c r="D13" s="20"/>
      <c r="E13" s="17">
        <v>1493502.59</v>
      </c>
      <c r="F13" s="3">
        <v>121704.48</v>
      </c>
      <c r="G13" s="13">
        <v>1247670.47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9"/>
    </row>
    <row r="14" spans="1:19" ht="12" customHeight="1">
      <c r="A14" s="9" t="s">
        <v>44</v>
      </c>
      <c r="B14" s="16"/>
      <c r="C14" s="11"/>
      <c r="D14" s="20"/>
      <c r="E14" s="17"/>
      <c r="F14" s="35"/>
      <c r="G14" s="13"/>
      <c r="H14" s="13"/>
      <c r="I14" s="13">
        <v>508562.39</v>
      </c>
      <c r="J14" s="21"/>
      <c r="K14" s="21"/>
      <c r="L14" s="21"/>
      <c r="M14" s="21"/>
      <c r="N14" s="21"/>
      <c r="O14" s="21"/>
      <c r="P14" s="21"/>
      <c r="Q14" s="21"/>
      <c r="R14" s="22"/>
      <c r="S14" s="19"/>
    </row>
    <row r="15" spans="1:19" ht="12" customHeight="1">
      <c r="A15" s="9" t="s">
        <v>44</v>
      </c>
      <c r="B15" s="16"/>
      <c r="C15" s="11"/>
      <c r="D15" s="20"/>
      <c r="E15" s="18"/>
      <c r="F15" s="18"/>
      <c r="G15" s="13"/>
      <c r="H15" s="13"/>
      <c r="I15" s="13"/>
      <c r="J15" s="17">
        <v>195706.72</v>
      </c>
      <c r="K15" s="17"/>
      <c r="L15" s="17"/>
      <c r="M15" s="17"/>
      <c r="N15" s="17"/>
      <c r="O15" s="17"/>
      <c r="P15" s="17"/>
      <c r="Q15" s="17"/>
      <c r="R15" s="23"/>
      <c r="S15" s="19"/>
    </row>
    <row r="16" spans="1:19" ht="12" customHeight="1">
      <c r="A16" s="9" t="s">
        <v>44</v>
      </c>
      <c r="B16" s="16"/>
      <c r="C16" s="11"/>
      <c r="D16" s="20"/>
      <c r="E16" s="18"/>
      <c r="F16" s="13"/>
      <c r="G16" s="13"/>
      <c r="H16" s="13"/>
      <c r="I16" s="13"/>
      <c r="J16" s="21"/>
      <c r="K16" s="21">
        <v>47907.29</v>
      </c>
      <c r="L16" s="21"/>
      <c r="M16" s="21"/>
      <c r="N16" s="21"/>
      <c r="O16" s="21"/>
      <c r="P16" s="21"/>
      <c r="Q16" s="21"/>
      <c r="R16" s="22"/>
      <c r="S16" s="19"/>
    </row>
    <row r="17" spans="1:19" ht="15" customHeight="1">
      <c r="A17" s="9" t="s">
        <v>44</v>
      </c>
      <c r="B17" s="20"/>
      <c r="C17" s="20"/>
      <c r="D17" s="20"/>
      <c r="E17" s="18"/>
      <c r="F17" s="21"/>
      <c r="G17" s="21"/>
      <c r="H17" s="21"/>
      <c r="I17" s="21"/>
      <c r="J17" s="21"/>
      <c r="K17" s="21"/>
      <c r="L17" s="21">
        <f>8727.21+7232.36</f>
        <v>15959.57</v>
      </c>
      <c r="M17" s="21"/>
      <c r="N17" s="21"/>
      <c r="O17" s="21"/>
      <c r="P17" s="21"/>
      <c r="Q17" s="21"/>
      <c r="R17" s="22"/>
      <c r="S17" s="19"/>
    </row>
    <row r="18" spans="1:19" ht="15" customHeight="1">
      <c r="A18" s="9" t="s">
        <v>44</v>
      </c>
      <c r="B18" s="20"/>
      <c r="C18" s="20"/>
      <c r="D18" s="20"/>
      <c r="E18" s="18"/>
      <c r="F18" s="21"/>
      <c r="G18" s="21"/>
      <c r="H18" s="21"/>
      <c r="I18" s="21"/>
      <c r="J18" s="21"/>
      <c r="K18" s="21"/>
      <c r="L18" s="21"/>
      <c r="M18" s="21">
        <v>881.02</v>
      </c>
      <c r="N18" s="21"/>
      <c r="O18" s="21"/>
      <c r="P18" s="21"/>
      <c r="Q18" s="21"/>
      <c r="R18" s="22"/>
      <c r="S18" s="19"/>
    </row>
    <row r="19" spans="1:19" ht="15" customHeight="1">
      <c r="A19" s="9" t="s">
        <v>44</v>
      </c>
      <c r="B19" s="20"/>
      <c r="C19" s="20"/>
      <c r="D19" s="20"/>
      <c r="E19" s="18"/>
      <c r="F19" s="21"/>
      <c r="G19" s="21"/>
      <c r="H19" s="21"/>
      <c r="I19" s="21"/>
      <c r="J19" s="21"/>
      <c r="K19" s="21"/>
      <c r="L19" s="21"/>
      <c r="M19" s="21"/>
      <c r="N19" s="21">
        <v>96256.26</v>
      </c>
      <c r="O19" s="21"/>
      <c r="P19" s="21"/>
      <c r="Q19" s="21"/>
      <c r="R19" s="22"/>
      <c r="S19" s="19"/>
    </row>
    <row r="20" spans="1:19" ht="11.25">
      <c r="A20" s="9" t="s">
        <v>44</v>
      </c>
      <c r="B20" s="20"/>
      <c r="C20" s="20"/>
      <c r="D20" s="20"/>
      <c r="E20" s="16"/>
      <c r="F20" s="17"/>
      <c r="G20" s="17"/>
      <c r="H20" s="21"/>
      <c r="I20" s="21"/>
      <c r="J20" s="21"/>
      <c r="K20" s="21"/>
      <c r="L20" s="21"/>
      <c r="N20" s="21"/>
      <c r="O20" s="21">
        <v>10376.35</v>
      </c>
      <c r="P20" s="21"/>
      <c r="Q20" s="21"/>
      <c r="R20" s="22"/>
      <c r="S20" s="19"/>
    </row>
    <row r="21" spans="1:19" ht="11.25" hidden="1">
      <c r="A21" s="9" t="s">
        <v>42</v>
      </c>
      <c r="B21" s="20"/>
      <c r="C21" s="20"/>
      <c r="D21" s="20"/>
      <c r="E21" s="18"/>
      <c r="F21" s="21"/>
      <c r="G21" s="21"/>
      <c r="H21" s="21"/>
      <c r="I21" s="18"/>
      <c r="J21" s="21"/>
      <c r="K21" s="21"/>
      <c r="L21" s="21"/>
      <c r="M21" s="21"/>
      <c r="N21" s="21"/>
      <c r="O21" s="21"/>
      <c r="P21" s="21"/>
      <c r="Q21" s="21"/>
      <c r="R21" s="22"/>
      <c r="S21" s="19"/>
    </row>
    <row r="22" spans="1:19" ht="12" customHeight="1" hidden="1">
      <c r="A22" s="9" t="s">
        <v>42</v>
      </c>
      <c r="B22" s="20"/>
      <c r="C22" s="20"/>
      <c r="D22" s="20"/>
      <c r="E22" s="18"/>
      <c r="F22" s="18"/>
      <c r="G22" s="18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24"/>
      <c r="S22" s="19"/>
    </row>
    <row r="23" spans="1:19" ht="15" customHeight="1" hidden="1">
      <c r="A23" s="9" t="s">
        <v>42</v>
      </c>
      <c r="B23" s="20"/>
      <c r="C23" s="20"/>
      <c r="D23" s="20"/>
      <c r="E23" s="18"/>
      <c r="F23" s="18"/>
      <c r="G23" s="18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9"/>
    </row>
    <row r="24" spans="1:19" ht="15" customHeight="1">
      <c r="A24" s="9" t="s">
        <v>44</v>
      </c>
      <c r="B24" s="20"/>
      <c r="C24" s="20"/>
      <c r="D24" s="20"/>
      <c r="E24" s="18"/>
      <c r="F24" s="18"/>
      <c r="G24" s="18"/>
      <c r="H24" s="21"/>
      <c r="I24" s="17"/>
      <c r="J24" s="17"/>
      <c r="K24" s="17"/>
      <c r="L24" s="17"/>
      <c r="M24" s="17"/>
      <c r="N24" s="17"/>
      <c r="O24" s="17"/>
      <c r="P24" s="17">
        <v>2183.04</v>
      </c>
      <c r="Q24" s="17"/>
      <c r="R24" s="23"/>
      <c r="S24" s="19"/>
    </row>
    <row r="25" spans="1:19" ht="15" customHeight="1">
      <c r="A25" s="9" t="s">
        <v>44</v>
      </c>
      <c r="B25" s="20"/>
      <c r="C25" s="20"/>
      <c r="D25" s="20"/>
      <c r="E25" s="18"/>
      <c r="F25" s="18"/>
      <c r="G25" s="18"/>
      <c r="H25" s="21"/>
      <c r="I25" s="18"/>
      <c r="J25" s="17"/>
      <c r="K25" s="17"/>
      <c r="L25" s="17"/>
      <c r="M25" s="17"/>
      <c r="N25" s="25"/>
      <c r="O25" s="21"/>
      <c r="P25" s="25"/>
      <c r="Q25" s="17">
        <v>6960</v>
      </c>
      <c r="R25" s="23"/>
      <c r="S25" s="19"/>
    </row>
    <row r="26" spans="1:19" ht="12" thickBot="1">
      <c r="A26" s="9" t="s">
        <v>44</v>
      </c>
      <c r="B26" s="20"/>
      <c r="C26" s="20"/>
      <c r="D26" s="20"/>
      <c r="E26" s="18"/>
      <c r="F26" s="18"/>
      <c r="G26" s="18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24">
        <v>141280</v>
      </c>
      <c r="S26" s="19"/>
    </row>
    <row r="27" spans="1:19" ht="16.5" customHeight="1" hidden="1">
      <c r="A27" s="9"/>
      <c r="B27" s="20"/>
      <c r="C27" s="20"/>
      <c r="D27" s="20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  <c r="Q27" s="18"/>
      <c r="R27" s="24"/>
      <c r="S27" s="19"/>
    </row>
    <row r="28" spans="1:19" ht="12.75" customHeight="1" hidden="1">
      <c r="A28" s="9"/>
      <c r="B28" s="20"/>
      <c r="C28" s="20"/>
      <c r="D28" s="20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24"/>
      <c r="S28" s="19"/>
    </row>
    <row r="29" spans="1:19" ht="17.25" customHeight="1" hidden="1">
      <c r="A29" s="9"/>
      <c r="B29" s="20"/>
      <c r="C29" s="20"/>
      <c r="D29" s="20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24"/>
      <c r="S29" s="19"/>
    </row>
    <row r="30" spans="1:19" ht="15.75" customHeight="1" hidden="1">
      <c r="A30" s="9"/>
      <c r="B30" s="20"/>
      <c r="C30" s="20"/>
      <c r="D30" s="20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  <c r="Q30" s="18"/>
      <c r="R30" s="24"/>
      <c r="S30" s="19"/>
    </row>
    <row r="31" spans="1:19" ht="15.75" customHeight="1" hidden="1">
      <c r="A31" s="9"/>
      <c r="B31" s="26"/>
      <c r="C31" s="26"/>
      <c r="D31" s="26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19"/>
    </row>
    <row r="32" spans="1:19" ht="12" thickBot="1">
      <c r="A32" s="30" t="s">
        <v>20</v>
      </c>
      <c r="B32" s="31">
        <f aca="true" t="shared" si="0" ref="B32:G32">SUM(B10:B31)</f>
        <v>10782018.36</v>
      </c>
      <c r="C32" s="32">
        <f t="shared" si="0"/>
        <v>202946.31</v>
      </c>
      <c r="D32" s="32">
        <f t="shared" si="0"/>
        <v>272934.67000000004</v>
      </c>
      <c r="E32" s="32">
        <f t="shared" si="0"/>
        <v>1493502.59</v>
      </c>
      <c r="F32" s="32">
        <f t="shared" si="0"/>
        <v>121704.48</v>
      </c>
      <c r="G32" s="32">
        <f t="shared" si="0"/>
        <v>1247670.47</v>
      </c>
      <c r="H32" s="6">
        <f>E32+F32+G32</f>
        <v>2862877.54</v>
      </c>
      <c r="I32" s="6">
        <f aca="true" t="shared" si="1" ref="I32:O32">SUM(I10:I31)</f>
        <v>508562.39</v>
      </c>
      <c r="J32" s="6">
        <f t="shared" si="1"/>
        <v>195706.72</v>
      </c>
      <c r="K32" s="6">
        <f t="shared" si="1"/>
        <v>47907.29</v>
      </c>
      <c r="L32" s="6">
        <f t="shared" si="1"/>
        <v>15959.57</v>
      </c>
      <c r="M32" s="6">
        <f t="shared" si="1"/>
        <v>881.02</v>
      </c>
      <c r="N32" s="6">
        <f t="shared" si="1"/>
        <v>96256.26</v>
      </c>
      <c r="O32" s="6">
        <f t="shared" si="1"/>
        <v>10376.35</v>
      </c>
      <c r="P32" s="6">
        <f>SUM(P16:P31)</f>
        <v>2183.04</v>
      </c>
      <c r="Q32" s="6">
        <f>SUM(Q10:Q31)</f>
        <v>6960</v>
      </c>
      <c r="R32" s="7">
        <f>SUM(R10:R31)</f>
        <v>141280</v>
      </c>
      <c r="S32" s="33">
        <f>B32+C32+D32+H32+I32+J32+K32+L32+M32+N32+O32+Q32+R32</f>
        <v>15144666.479999999</v>
      </c>
    </row>
    <row r="33" spans="2:18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3:18" ht="11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8:9" ht="11.25">
      <c r="H36" s="2"/>
      <c r="I36" s="2"/>
    </row>
    <row r="37" spans="6:19" ht="11.25">
      <c r="F37" s="2"/>
      <c r="G37" s="2"/>
      <c r="H37" s="2"/>
      <c r="K37" s="2"/>
      <c r="S37" s="2"/>
    </row>
    <row r="38" spans="3:9" ht="11.25">
      <c r="C38" s="2"/>
      <c r="D38" s="2"/>
      <c r="E38" s="2"/>
      <c r="F38" s="2"/>
      <c r="G38" s="2"/>
      <c r="H38" s="2"/>
      <c r="I38" s="2"/>
    </row>
    <row r="39" spans="6:11" ht="11.25">
      <c r="F39" s="2"/>
      <c r="G39" s="2">
        <f>3888950.1+B32+C32+D32</f>
        <v>15146849.44</v>
      </c>
      <c r="H39" s="2"/>
      <c r="I39" s="2"/>
      <c r="K39" s="2"/>
    </row>
    <row r="40" spans="6:11" ht="11.25">
      <c r="F40" s="2"/>
      <c r="G40" s="2"/>
      <c r="H40" s="2"/>
      <c r="I40" s="2"/>
      <c r="K40" s="2"/>
    </row>
    <row r="41" spans="6:9" ht="11.25">
      <c r="F41" s="2"/>
      <c r="G41" s="2">
        <v>15146847.910000006</v>
      </c>
      <c r="H41" s="2"/>
      <c r="I41" s="2"/>
    </row>
    <row r="42" spans="6:8" ht="11.25">
      <c r="F42" s="2"/>
      <c r="G42" s="2"/>
      <c r="H42" s="2"/>
    </row>
    <row r="43" spans="7:11" ht="11.25">
      <c r="G43" s="2"/>
      <c r="H43" s="2"/>
      <c r="K43" s="2"/>
    </row>
    <row r="44" spans="7:8" ht="11.25">
      <c r="G44" s="2"/>
      <c r="H44" s="2"/>
    </row>
    <row r="45" ht="11.25">
      <c r="G45" s="2"/>
    </row>
    <row r="46" spans="6:9" ht="12.75">
      <c r="F46" s="2"/>
      <c r="G46" s="2"/>
      <c r="H46" s="34"/>
      <c r="I46" s="2"/>
    </row>
    <row r="47" ht="11.25">
      <c r="G47" s="2"/>
    </row>
    <row r="49" ht="11.25">
      <c r="H49" s="2"/>
    </row>
    <row r="50" ht="11.25">
      <c r="G50" s="2"/>
    </row>
    <row r="52" ht="11.25">
      <c r="G52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2021-10-27T07:10:08Z</cp:lastPrinted>
  <dcterms:created xsi:type="dcterms:W3CDTF">1996-10-14T23:33:28Z</dcterms:created>
  <dcterms:modified xsi:type="dcterms:W3CDTF">2021-12-22T09:52:59Z</dcterms:modified>
  <cp:category/>
  <cp:version/>
  <cp:contentType/>
  <cp:contentStatus/>
</cp:coreProperties>
</file>