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0115" windowHeight="8520" activeTab="0"/>
  </bookViews>
  <sheets>
    <sheet name="Foaie1" sheetId="1" r:id="rId1"/>
    <sheet name="Foaie2" sheetId="2" r:id="rId2"/>
    <sheet name="Foaie3" sheetId="3" r:id="rId3"/>
  </sheets>
  <definedNames>
    <definedName name="_xlnm.Print_Titles" localSheetId="0">'Foaie1'!$A:$C</definedName>
  </definedNames>
  <calcPr fullCalcOnLoad="1"/>
</workbook>
</file>

<file path=xl/sharedStrings.xml><?xml version="1.0" encoding="utf-8"?>
<sst xmlns="http://schemas.openxmlformats.org/spreadsheetml/2006/main" count="143" uniqueCount="82">
  <si>
    <t>CASA DE ASIGURARI DE SANATATE OLT</t>
  </si>
  <si>
    <t xml:space="preserve">1. Materiale sanitare specifice utilizate în programele naţionale cu scop curativ </t>
  </si>
  <si>
    <t>Nr. Crt.</t>
  </si>
  <si>
    <t>Denumire Program/ Subprogram national de sanatate</t>
  </si>
  <si>
    <t>DENUMIRE UNITATE SANITARA</t>
  </si>
  <si>
    <t>Program Ortopedie - endoprotezaţi adulţi, din care:</t>
  </si>
  <si>
    <t>Spital Judetean de Urgenta Slatina</t>
  </si>
  <si>
    <t>Spital Municipal Caracal</t>
  </si>
  <si>
    <t>TOTAL  ORTOPEDIE</t>
  </si>
  <si>
    <t>2. Medicamente pentru boli cronice cu risc crescut utilizate în programele naţionale cu scop curativ</t>
  </si>
  <si>
    <t>Programul naţional de oncologie - activitate curentă, din care:</t>
  </si>
  <si>
    <t>TOTAL ONCOLOGIE - ACTIVITATE CURENTA</t>
  </si>
  <si>
    <t>TOTAL ONCOLOGIE - COST VOLUM</t>
  </si>
  <si>
    <t>Programul naţional de diagnostic şi tratament pentru HEMOFILIE ŞI TALASEMIE (SPITAL SLATINA), din care:</t>
  </si>
  <si>
    <t>Spital Judetean de Urgenta Slatina: Hemofilie cu substitutie "on demand"</t>
  </si>
  <si>
    <t>Spital Judetean de Urgenta Slatina: Hemofilie profilaxie continuă</t>
  </si>
  <si>
    <t>Spital Judetean de Urgenta Slatina: Talasemie</t>
  </si>
  <si>
    <t>TOTAL HEMOFILIE/TALASEMIE</t>
  </si>
  <si>
    <t>Programul naţional de diagnostic şi tratament pentru boli rare, din care:</t>
  </si>
  <si>
    <t xml:space="preserve">Spital Municipal Caracal: Tirozinemie </t>
  </si>
  <si>
    <t xml:space="preserve">Spital Judetean de Urgenta Slatina: Boala Hunter </t>
  </si>
  <si>
    <t>Spital Judetean de Urgenta Slatina: Boala Fabry</t>
  </si>
  <si>
    <t>TOTAL BOLI RARE</t>
  </si>
  <si>
    <t>Programul național de boli endocrine - Osteoporoză</t>
  </si>
  <si>
    <t>TOTAL OSTEOPOROZA</t>
  </si>
  <si>
    <t>TOTAL VALOARE CONTRACT PNS MEDICAMENTE, din care:</t>
  </si>
  <si>
    <t>Spital Jud. Urgenta Slatina</t>
  </si>
  <si>
    <t>TOTAL GENERAL VALOARE DE CONTRACT PNS (MEDICAMENTE + MATERIALE SANITARE), din care:</t>
  </si>
  <si>
    <t>Programul naţional de oncologie - DCI medicamente contracte cost volum</t>
  </si>
  <si>
    <t>Program Diabet zaharat - seturi consumabile pentru pompe de insulină</t>
  </si>
  <si>
    <t>TOTAL VALOARE CONTRACT IANUARIE 2021</t>
  </si>
  <si>
    <t>TOTAL PNS MATERIALE SANITARE 2021</t>
  </si>
  <si>
    <t>TOTAL GENERAL 2021</t>
  </si>
  <si>
    <t>CONTRACT REALIZAT IANUARIE 2021</t>
  </si>
  <si>
    <t xml:space="preserve">TOTAL VALOARE CONTRACT FEBRUARIE 2021 </t>
  </si>
  <si>
    <t>CONTRACT REALIZAT FEBRUARIE 2021</t>
  </si>
  <si>
    <t xml:space="preserve">TOTAL VALOARE CONTRACT MARTIE 2021 </t>
  </si>
  <si>
    <t xml:space="preserve">TOTAL VALOARE CONTRACT APRILIE 2021 </t>
  </si>
  <si>
    <t>TOTAL PNS MEDICAMENTE 2021</t>
  </si>
  <si>
    <t>TOTAL VALOARE CONTRACT TRIM. I INITIALA</t>
  </si>
  <si>
    <t>CONTRACT REALIZAT MARTIE 2021</t>
  </si>
  <si>
    <t>TOTAL VALOARE CONTRACT TRIM. I REALIZAT</t>
  </si>
  <si>
    <t>ECONOMII LA 31.03.2021</t>
  </si>
  <si>
    <t xml:space="preserve">TOTAL VALOARE CONTRACT TRIM. II INITIALA </t>
  </si>
  <si>
    <t>CONTRACT REALIZAT APRILIE 2021</t>
  </si>
  <si>
    <t xml:space="preserve">TOTAL VALOARE CONTRACT MAI 2021  </t>
  </si>
  <si>
    <t>CONTRACT REALIZAT MAI 2021</t>
  </si>
  <si>
    <t xml:space="preserve">TOTAL VALOARE CONTRACT IUNIE 2021  </t>
  </si>
  <si>
    <t>CONTRACT REALIZAT IUNIE 2021</t>
  </si>
  <si>
    <t>TOTAL VALOARE CONTRACT TRIM. II REALIZATA</t>
  </si>
  <si>
    <t>ECONOMII LA 30.06.2021 (CUMULAT)</t>
  </si>
  <si>
    <t xml:space="preserve">TOTAL VALOARE CONTRACT AN 2021 FINALA </t>
  </si>
  <si>
    <t>4=5+7+9</t>
  </si>
  <si>
    <t>11=6+8+10</t>
  </si>
  <si>
    <t>12=4-11</t>
  </si>
  <si>
    <t>13=14+16+18</t>
  </si>
  <si>
    <t>20=15+17+19</t>
  </si>
  <si>
    <t>21=12+13-20</t>
  </si>
  <si>
    <t>Program Diabet zaharat - consumabile sisteme monitorizare continuă a glicemiei</t>
  </si>
  <si>
    <t>TOTAL DIABET ZAHARAT- CONSUMABILE POMPE+SISTEME MONITORIZARE</t>
  </si>
  <si>
    <t>TOTAL VALOARE CONTRACT TRIM. III REALIZATA</t>
  </si>
  <si>
    <t>Spital Judetean de Urgenta Slatina: Hemofilie intermitenta</t>
  </si>
  <si>
    <t>SITUAŢIA MODIFICĂRII SUMELOR CONTRACTATE CU UNITĂŢILE SANITARE CU PATURI PENTRU DERULAREA PNS PENTRU ANUL 2021, CA URMARE A VALIDARII CERERILOR JUSTIFICATIVE RAPORTATE PENTRU LUNA OCTOMBRIE 2021, VIRARII SUMEI DE 170 MII LEI PENTRU PROGRAMUL ONCOLOGIE ACTIVITATE CURENTA SI A SUMEI DE 50 MII LEI PENTRU PROGRAMUL ONCOLOGIE COST VOLUM DE LA SPITALUL CARACAL LA SPITALUL SLATINA, VIRARII SUMEI DE 58480 LEI DE LA FARMACII LA SP. SLATINA PENTRU ONCOLOGIE COST VOLUM ȘI SUPLIMENTARII CREDITELOR CONFORM ADRESELOR CNAS NR. P9806/02.11.2021, DG3306/17.11.2021 ȘI P10535/22.11.2021</t>
  </si>
  <si>
    <t>TOTAL VALOARE CONTRACT AN 2021 INITIALA</t>
  </si>
  <si>
    <t xml:space="preserve">VALOARE CONTRACT TRIM. III 2021 INITIALA </t>
  </si>
  <si>
    <t>CONTRACT REALIZAT IULIE 2021</t>
  </si>
  <si>
    <t>CONTRACT REALIZAT AUGUST 2021</t>
  </si>
  <si>
    <t>CONTRACT REALIZAT SEPTEMB. 2021</t>
  </si>
  <si>
    <t>ECONOMII LA 30.09.2021 (CUMULAT)</t>
  </si>
  <si>
    <t>VALOARE CONTRACT TRIM. IV 2021 INITIALA</t>
  </si>
  <si>
    <t>INFLUENTE TRIM. IV 2021 (P9806, DG3306 , P10535 + virare intre spitale P3+ P3CV)</t>
  </si>
  <si>
    <t>VALOARE CONTRACT TRIM. IV 2021 FINALA</t>
  </si>
  <si>
    <t>CONTRACT REALIZAT OCTOMBRIE 2021</t>
  </si>
  <si>
    <t>CONTRACT DISPONIBIL NOV-DEC 2021</t>
  </si>
  <si>
    <t>TOTAL INFLUENTE P9806, DG3306, P10535 + virari</t>
  </si>
  <si>
    <t>3=4+13+22+28</t>
  </si>
  <si>
    <t>26=23+24+25</t>
  </si>
  <si>
    <t>27=21+22-26</t>
  </si>
  <si>
    <t>30=27+28+ 29</t>
  </si>
  <si>
    <t>32=30-31</t>
  </si>
  <si>
    <t>33=11+20+ 26+30</t>
  </si>
  <si>
    <t>34=33-3</t>
  </si>
</sst>
</file>

<file path=xl/styles.xml><?xml version="1.0" encoding="utf-8"?>
<styleSheet xmlns="http://schemas.openxmlformats.org/spreadsheetml/2006/main">
  <numFmts count="1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8">
    <font>
      <sz val="10"/>
      <name val="Arial"/>
      <family val="0"/>
    </font>
    <font>
      <b/>
      <sz val="12"/>
      <name val="Times New Roman"/>
      <family val="1"/>
    </font>
    <font>
      <sz val="12"/>
      <name val="Times New Roman"/>
      <family val="1"/>
    </font>
    <font>
      <b/>
      <sz val="10"/>
      <name val="Times New Roman"/>
      <family val="1"/>
    </font>
    <font>
      <sz val="10"/>
      <name val="Times New Roman"/>
      <family val="1"/>
    </font>
    <font>
      <b/>
      <i/>
      <sz val="10"/>
      <name val="Times New Roman"/>
      <family val="1"/>
    </font>
    <font>
      <i/>
      <sz val="10"/>
      <name val="Times New Roman"/>
      <family val="1"/>
    </font>
    <font>
      <b/>
      <sz val="10"/>
      <color indexed="10"/>
      <name val="Times New Roman"/>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3">
    <border>
      <left/>
      <right/>
      <top/>
      <bottom/>
      <diagonal/>
    </border>
    <border>
      <left style="medium"/>
      <right style="thin"/>
      <top style="medium"/>
      <bottom style="thin"/>
    </border>
    <border>
      <left style="thin"/>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1" fillId="0" borderId="0" xfId="0" applyFont="1" applyAlignment="1">
      <alignment horizontal="left" vertical="top"/>
    </xf>
    <xf numFmtId="0" fontId="2" fillId="0" borderId="0" xfId="0" applyFont="1" applyAlignment="1">
      <alignment vertical="top"/>
    </xf>
    <xf numFmtId="0" fontId="1" fillId="0" borderId="0" xfId="0" applyFont="1" applyAlignment="1">
      <alignment vertical="top"/>
    </xf>
    <xf numFmtId="0" fontId="3" fillId="2" borderId="1" xfId="0" applyFont="1" applyFill="1" applyBorder="1" applyAlignment="1">
      <alignment horizontal="center" vertical="top" wrapText="1"/>
    </xf>
    <xf numFmtId="0" fontId="3" fillId="2" borderId="2" xfId="0" applyFont="1" applyFill="1" applyBorder="1" applyAlignment="1">
      <alignment vertical="top" wrapText="1"/>
    </xf>
    <xf numFmtId="0" fontId="4" fillId="0" borderId="0" xfId="0" applyFont="1" applyAlignment="1">
      <alignment vertical="top"/>
    </xf>
    <xf numFmtId="0" fontId="5" fillId="0" borderId="0" xfId="0" applyFont="1" applyAlignment="1">
      <alignment horizontal="center" vertical="top"/>
    </xf>
    <xf numFmtId="0" fontId="4" fillId="2" borderId="3" xfId="0" applyFont="1" applyFill="1" applyBorder="1" applyAlignment="1">
      <alignment vertical="top"/>
    </xf>
    <xf numFmtId="0" fontId="4" fillId="0" borderId="0" xfId="0" applyFont="1" applyAlignment="1">
      <alignment horizontal="center" vertical="top"/>
    </xf>
    <xf numFmtId="0" fontId="5" fillId="2" borderId="4" xfId="0" applyFont="1" applyFill="1" applyBorder="1" applyAlignment="1">
      <alignment horizontal="center" vertical="top" wrapText="1"/>
    </xf>
    <xf numFmtId="0" fontId="5" fillId="2" borderId="3" xfId="0" applyFont="1" applyFill="1" applyBorder="1" applyAlignment="1">
      <alignment horizontal="center" vertical="top" wrapText="1"/>
    </xf>
    <xf numFmtId="0" fontId="6" fillId="0" borderId="0" xfId="0" applyFont="1" applyAlignment="1">
      <alignment horizontal="center" vertical="top"/>
    </xf>
    <xf numFmtId="40" fontId="3" fillId="0" borderId="3" xfId="0" applyNumberFormat="1" applyFont="1" applyFill="1" applyBorder="1" applyAlignment="1">
      <alignment vertical="top" wrapText="1"/>
    </xf>
    <xf numFmtId="0" fontId="4" fillId="2" borderId="3" xfId="0" applyFont="1" applyFill="1" applyBorder="1" applyAlignment="1">
      <alignment vertical="top" wrapText="1"/>
    </xf>
    <xf numFmtId="0" fontId="4" fillId="0" borderId="0" xfId="0" applyFont="1" applyFill="1" applyAlignment="1">
      <alignment vertical="top"/>
    </xf>
    <xf numFmtId="40" fontId="4" fillId="0" borderId="3" xfId="0" applyNumberFormat="1" applyFont="1" applyFill="1" applyBorder="1" applyAlignment="1">
      <alignment vertical="top" wrapText="1"/>
    </xf>
    <xf numFmtId="0" fontId="3" fillId="0" borderId="3" xfId="0" applyFont="1" applyBorder="1" applyAlignment="1">
      <alignment vertical="top"/>
    </xf>
    <xf numFmtId="4" fontId="3" fillId="3" borderId="5" xfId="0" applyNumberFormat="1" applyFont="1" applyFill="1" applyBorder="1" applyAlignment="1">
      <alignment horizontal="right" vertical="top"/>
    </xf>
    <xf numFmtId="1" fontId="4" fillId="3" borderId="4" xfId="0" applyNumberFormat="1" applyFont="1" applyFill="1" applyBorder="1" applyAlignment="1">
      <alignment horizontal="center" vertical="top"/>
    </xf>
    <xf numFmtId="0" fontId="3" fillId="3" borderId="3" xfId="0" applyFont="1" applyFill="1" applyBorder="1" applyAlignment="1">
      <alignment vertical="top"/>
    </xf>
    <xf numFmtId="0" fontId="4" fillId="3" borderId="3" xfId="0" applyFont="1" applyFill="1" applyBorder="1" applyAlignment="1">
      <alignment vertical="top"/>
    </xf>
    <xf numFmtId="0" fontId="3" fillId="0" borderId="2" xfId="0" applyFont="1" applyFill="1" applyBorder="1" applyAlignment="1">
      <alignment vertical="top" wrapText="1"/>
    </xf>
    <xf numFmtId="1" fontId="4" fillId="0" borderId="0" xfId="0" applyNumberFormat="1" applyFont="1" applyFill="1" applyBorder="1" applyAlignment="1">
      <alignment horizontal="center" vertical="top"/>
    </xf>
    <xf numFmtId="0" fontId="3" fillId="0" borderId="0" xfId="0" applyFont="1" applyFill="1" applyBorder="1" applyAlignment="1">
      <alignment horizontal="left" vertical="top"/>
    </xf>
    <xf numFmtId="0" fontId="4" fillId="0" borderId="0" xfId="0" applyFont="1" applyFill="1" applyBorder="1" applyAlignment="1">
      <alignment vertical="top"/>
    </xf>
    <xf numFmtId="0" fontId="2" fillId="0" borderId="0" xfId="0" applyFont="1" applyAlignment="1">
      <alignment horizontal="center" vertical="top"/>
    </xf>
    <xf numFmtId="0" fontId="3" fillId="0" borderId="1"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3" xfId="0" applyFont="1" applyFill="1" applyBorder="1" applyAlignment="1">
      <alignment horizontal="center" vertical="top" wrapText="1"/>
    </xf>
    <xf numFmtId="0" fontId="4" fillId="0" borderId="3" xfId="0" applyFont="1" applyFill="1" applyBorder="1" applyAlignment="1">
      <alignment vertical="top"/>
    </xf>
    <xf numFmtId="0" fontId="4" fillId="3" borderId="4" xfId="0" applyFont="1" applyFill="1" applyBorder="1" applyAlignment="1">
      <alignment horizontal="center" vertical="top"/>
    </xf>
    <xf numFmtId="0" fontId="4" fillId="0" borderId="4" xfId="0" applyFont="1" applyFill="1" applyBorder="1" applyAlignment="1">
      <alignment horizontal="center" vertical="top"/>
    </xf>
    <xf numFmtId="0" fontId="3" fillId="0" borderId="3" xfId="0" applyFont="1" applyFill="1" applyBorder="1" applyAlignment="1">
      <alignment vertical="top" wrapText="1"/>
    </xf>
    <xf numFmtId="0" fontId="3" fillId="0" borderId="0" xfId="0" applyFont="1" applyBorder="1" applyAlignment="1">
      <alignment vertical="top"/>
    </xf>
    <xf numFmtId="0" fontId="3" fillId="0" borderId="2" xfId="0" applyFont="1" applyFill="1" applyBorder="1" applyAlignment="1">
      <alignment horizontal="center" vertical="top" wrapText="1"/>
    </xf>
    <xf numFmtId="4" fontId="3" fillId="3" borderId="5" xfId="0" applyNumberFormat="1" applyFont="1" applyFill="1" applyBorder="1" applyAlignment="1">
      <alignment vertical="top"/>
    </xf>
    <xf numFmtId="4" fontId="3" fillId="3" borderId="3" xfId="0" applyNumberFormat="1" applyFont="1" applyFill="1" applyBorder="1" applyAlignment="1">
      <alignment horizontal="right" vertical="top"/>
    </xf>
    <xf numFmtId="4" fontId="3" fillId="3" borderId="3" xfId="0" applyNumberFormat="1" applyFont="1" applyFill="1" applyBorder="1" applyAlignment="1">
      <alignment vertical="top"/>
    </xf>
    <xf numFmtId="4" fontId="4" fillId="0" borderId="0" xfId="0" applyNumberFormat="1" applyFont="1" applyAlignment="1">
      <alignment vertical="top"/>
    </xf>
    <xf numFmtId="0" fontId="3" fillId="0" borderId="0" xfId="0" applyFont="1" applyAlignment="1">
      <alignment horizontal="right" vertical="top"/>
    </xf>
    <xf numFmtId="4" fontId="3" fillId="0" borderId="3" xfId="0" applyNumberFormat="1" applyFont="1" applyFill="1" applyBorder="1" applyAlignment="1">
      <alignment vertical="top"/>
    </xf>
    <xf numFmtId="0" fontId="3" fillId="0" borderId="0" xfId="0" applyFont="1" applyAlignment="1">
      <alignment vertical="top" wrapText="1"/>
    </xf>
    <xf numFmtId="0" fontId="3" fillId="0" borderId="0" xfId="0" applyFont="1" applyFill="1" applyAlignment="1">
      <alignment vertical="top"/>
    </xf>
    <xf numFmtId="0" fontId="3" fillId="0" borderId="0" xfId="0" applyFont="1" applyFill="1" applyAlignment="1">
      <alignment horizontal="right" vertical="top"/>
    </xf>
    <xf numFmtId="0" fontId="1" fillId="0" borderId="0" xfId="0" applyFont="1" applyFill="1" applyAlignment="1">
      <alignment vertical="top"/>
    </xf>
    <xf numFmtId="0" fontId="2" fillId="0" borderId="0" xfId="0" applyFont="1" applyFill="1" applyAlignment="1">
      <alignment vertical="top"/>
    </xf>
    <xf numFmtId="0" fontId="5" fillId="0" borderId="5" xfId="0" applyFont="1" applyBorder="1" applyAlignment="1">
      <alignment horizontal="center" vertical="top"/>
    </xf>
    <xf numFmtId="4" fontId="3" fillId="0" borderId="5" xfId="0" applyNumberFormat="1" applyFont="1" applyBorder="1" applyAlignment="1">
      <alignment vertical="top"/>
    </xf>
    <xf numFmtId="0" fontId="3" fillId="0" borderId="0" xfId="0" applyFont="1" applyAlignment="1">
      <alignment vertical="top"/>
    </xf>
    <xf numFmtId="0" fontId="3" fillId="0" borderId="0" xfId="0" applyFont="1" applyFill="1" applyBorder="1" applyAlignment="1">
      <alignment vertical="top"/>
    </xf>
    <xf numFmtId="0" fontId="3" fillId="0" borderId="0" xfId="0" applyFont="1" applyFill="1" applyAlignment="1">
      <alignment vertical="top" wrapText="1"/>
    </xf>
    <xf numFmtId="0" fontId="3" fillId="3" borderId="2" xfId="0" applyFont="1" applyFill="1" applyBorder="1" applyAlignment="1">
      <alignment horizontal="center" vertical="top" wrapText="1"/>
    </xf>
    <xf numFmtId="0" fontId="7" fillId="0" borderId="2" xfId="0" applyFont="1" applyFill="1" applyBorder="1" applyAlignment="1">
      <alignment horizontal="center" vertical="top" wrapText="1"/>
    </xf>
    <xf numFmtId="0" fontId="5" fillId="3" borderId="3" xfId="0" applyFont="1" applyFill="1" applyBorder="1" applyAlignment="1">
      <alignment horizontal="center" vertical="top" wrapText="1"/>
    </xf>
    <xf numFmtId="4" fontId="4" fillId="0" borderId="0" xfId="0" applyNumberFormat="1" applyFont="1" applyFill="1" applyBorder="1" applyAlignment="1">
      <alignment vertical="top"/>
    </xf>
    <xf numFmtId="0" fontId="3" fillId="0" borderId="0" xfId="0" applyFont="1" applyAlignment="1">
      <alignment/>
    </xf>
    <xf numFmtId="4" fontId="3" fillId="0" borderId="0" xfId="0" applyNumberFormat="1" applyFont="1" applyBorder="1" applyAlignment="1">
      <alignment vertical="top"/>
    </xf>
    <xf numFmtId="0" fontId="3" fillId="0" borderId="3" xfId="0" applyFont="1" applyFill="1" applyBorder="1" applyAlignment="1">
      <alignment horizontal="left" vertical="top" wrapText="1"/>
    </xf>
    <xf numFmtId="1" fontId="4" fillId="0" borderId="4" xfId="0" applyNumberFormat="1" applyFont="1" applyFill="1" applyBorder="1" applyAlignment="1">
      <alignment horizontal="center" vertical="top" wrapText="1"/>
    </xf>
    <xf numFmtId="40" fontId="3" fillId="0" borderId="3" xfId="0" applyNumberFormat="1" applyFont="1" applyFill="1" applyBorder="1" applyAlignment="1">
      <alignment vertical="top" wrapText="1"/>
    </xf>
    <xf numFmtId="0" fontId="3" fillId="0" borderId="0" xfId="0" applyNumberFormat="1" applyFont="1" applyAlignment="1">
      <alignment horizontal="center" vertical="top" wrapText="1"/>
    </xf>
    <xf numFmtId="0" fontId="4" fillId="0" borderId="4" xfId="0" applyFont="1" applyFill="1" applyBorder="1" applyAlignment="1">
      <alignment horizontal="center" vertical="top" wrapText="1"/>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40" fontId="3" fillId="0" borderId="3" xfId="0" applyNumberFormat="1" applyFont="1" applyFill="1" applyBorder="1" applyAlignment="1">
      <alignment horizontal="left" vertical="top" wrapText="1"/>
    </xf>
    <xf numFmtId="0" fontId="4" fillId="0" borderId="4" xfId="0" applyFont="1" applyFill="1" applyBorder="1" applyAlignment="1">
      <alignment horizontal="center" vertical="top"/>
    </xf>
    <xf numFmtId="1" fontId="4" fillId="0" borderId="4" xfId="0" applyNumberFormat="1" applyFont="1" applyFill="1" applyBorder="1" applyAlignment="1">
      <alignment horizontal="center" vertical="top"/>
    </xf>
    <xf numFmtId="0" fontId="3" fillId="0" borderId="0" xfId="0" applyNumberFormat="1" applyFont="1" applyAlignment="1">
      <alignment vertical="top" wrapText="1"/>
    </xf>
    <xf numFmtId="0" fontId="7" fillId="0" borderId="6" xfId="0" applyFont="1" applyFill="1" applyBorder="1" applyAlignment="1">
      <alignment horizontal="center" vertical="top" wrapText="1"/>
    </xf>
    <xf numFmtId="0" fontId="4" fillId="0" borderId="7" xfId="0" applyFont="1" applyFill="1" applyBorder="1" applyAlignment="1">
      <alignment horizontal="center" vertical="top"/>
    </xf>
    <xf numFmtId="40" fontId="3" fillId="0" borderId="8" xfId="0" applyNumberFormat="1" applyFont="1" applyFill="1" applyBorder="1" applyAlignment="1">
      <alignment vertical="top" wrapText="1"/>
    </xf>
    <xf numFmtId="0" fontId="4" fillId="0" borderId="8" xfId="0" applyFont="1" applyFill="1" applyBorder="1" applyAlignment="1">
      <alignment vertical="top"/>
    </xf>
    <xf numFmtId="4" fontId="3" fillId="3" borderId="8" xfId="0" applyNumberFormat="1" applyFont="1" applyFill="1" applyBorder="1" applyAlignment="1">
      <alignment horizontal="right" vertical="top"/>
    </xf>
    <xf numFmtId="4" fontId="3" fillId="3" borderId="9" xfId="0" applyNumberFormat="1" applyFont="1" applyFill="1" applyBorder="1" applyAlignment="1">
      <alignment horizontal="right" vertical="top"/>
    </xf>
    <xf numFmtId="0" fontId="4" fillId="3" borderId="10" xfId="0" applyFont="1" applyFill="1" applyBorder="1" applyAlignment="1">
      <alignment horizontal="center" vertical="top"/>
    </xf>
    <xf numFmtId="0" fontId="3" fillId="3" borderId="11" xfId="0" applyFont="1" applyFill="1" applyBorder="1" applyAlignment="1">
      <alignment vertical="top"/>
    </xf>
    <xf numFmtId="0" fontId="4" fillId="3" borderId="11" xfId="0" applyFont="1" applyFill="1" applyBorder="1" applyAlignment="1">
      <alignment vertical="top"/>
    </xf>
    <xf numFmtId="4" fontId="3" fillId="3" borderId="11" xfId="0" applyNumberFormat="1" applyFont="1" applyFill="1" applyBorder="1" applyAlignment="1">
      <alignment vertical="top"/>
    </xf>
    <xf numFmtId="4" fontId="3" fillId="3" borderId="12" xfId="0" applyNumberFormat="1" applyFont="1" applyFill="1" applyBorder="1" applyAlignment="1">
      <alignment vertical="top"/>
    </xf>
    <xf numFmtId="4" fontId="4" fillId="0" borderId="0" xfId="0" applyNumberFormat="1" applyFont="1" applyFill="1" applyAlignment="1">
      <alignment vertical="top"/>
    </xf>
    <xf numFmtId="0" fontId="4" fillId="0" borderId="7" xfId="0" applyFont="1" applyBorder="1" applyAlignment="1">
      <alignment horizontal="center" vertical="top"/>
    </xf>
    <xf numFmtId="0" fontId="3" fillId="0" borderId="8" xfId="0" applyFont="1" applyBorder="1" applyAlignment="1">
      <alignment vertical="top"/>
    </xf>
    <xf numFmtId="1" fontId="4" fillId="3" borderId="10" xfId="0" applyNumberFormat="1" applyFont="1" applyFill="1" applyBorder="1" applyAlignment="1">
      <alignment horizontal="center" vertical="top"/>
    </xf>
    <xf numFmtId="0" fontId="3" fillId="3" borderId="11" xfId="0" applyFont="1" applyFill="1" applyBorder="1" applyAlignment="1">
      <alignment horizontal="lef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47"/>
  <sheetViews>
    <sheetView tabSelected="1" workbookViewId="0" topLeftCell="AB26">
      <selection activeCell="AM39" sqref="AM39"/>
    </sheetView>
  </sheetViews>
  <sheetFormatPr defaultColWidth="9.140625" defaultRowHeight="12.75"/>
  <cols>
    <col min="1" max="1" width="4.8515625" style="26" customWidth="1"/>
    <col min="2" max="2" width="38.421875" style="2" customWidth="1"/>
    <col min="3" max="3" width="29.00390625" style="2" customWidth="1"/>
    <col min="4" max="4" width="14.421875" style="2" customWidth="1"/>
    <col min="5" max="5" width="11.7109375" style="2" customWidth="1"/>
    <col min="6" max="6" width="11.140625" style="2" customWidth="1"/>
    <col min="7" max="7" width="11.7109375" style="2" customWidth="1"/>
    <col min="8" max="8" width="11.140625" style="2" customWidth="1"/>
    <col min="9" max="9" width="12.421875" style="2" customWidth="1"/>
    <col min="10" max="13" width="11.140625" style="2" customWidth="1"/>
    <col min="14" max="14" width="12.7109375" style="2" customWidth="1"/>
    <col min="15" max="16" width="11.8515625" style="2" customWidth="1"/>
    <col min="17" max="20" width="11.7109375" style="46" customWidth="1"/>
    <col min="21" max="21" width="13.421875" style="46" customWidth="1"/>
    <col min="22" max="22" width="11.421875" style="46" customWidth="1"/>
    <col min="23" max="23" width="13.421875" style="46" customWidth="1"/>
    <col min="24" max="25" width="11.28125" style="46" customWidth="1"/>
    <col min="26" max="28" width="12.00390625" style="46" customWidth="1"/>
    <col min="29" max="29" width="11.140625" style="46" customWidth="1"/>
    <col min="30" max="30" width="14.7109375" style="46" customWidth="1"/>
    <col min="31" max="31" width="11.140625" style="46" customWidth="1"/>
    <col min="32" max="32" width="12.00390625" style="46" customWidth="1"/>
    <col min="33" max="33" width="11.140625" style="46" customWidth="1"/>
    <col min="34" max="34" width="12.00390625" style="2" customWidth="1"/>
    <col min="35" max="35" width="11.28125" style="2" customWidth="1"/>
    <col min="36" max="16384" width="9.140625" style="2" customWidth="1"/>
  </cols>
  <sheetData>
    <row r="1" spans="1:33" ht="13.5" customHeight="1">
      <c r="A1" s="1" t="s">
        <v>0</v>
      </c>
      <c r="C1" s="3"/>
      <c r="D1" s="3"/>
      <c r="E1" s="3"/>
      <c r="F1" s="3"/>
      <c r="G1" s="3"/>
      <c r="H1" s="3"/>
      <c r="I1" s="3"/>
      <c r="J1" s="3"/>
      <c r="K1" s="3"/>
      <c r="L1" s="3"/>
      <c r="M1" s="3"/>
      <c r="P1" s="40"/>
      <c r="S1" s="44"/>
      <c r="T1" s="44"/>
      <c r="U1" s="44"/>
      <c r="V1" s="44"/>
      <c r="W1" s="44"/>
      <c r="X1" s="44"/>
      <c r="Y1" s="44"/>
      <c r="Z1" s="44"/>
      <c r="AA1" s="44"/>
      <c r="AB1" s="44"/>
      <c r="AC1" s="44"/>
      <c r="AD1" s="44"/>
      <c r="AE1" s="44"/>
      <c r="AF1" s="44"/>
      <c r="AG1" s="44"/>
    </row>
    <row r="2" spans="1:36" ht="73.5" customHeight="1">
      <c r="A2" s="42"/>
      <c r="B2" s="42"/>
      <c r="C2" s="42"/>
      <c r="D2" s="61" t="s">
        <v>62</v>
      </c>
      <c r="E2" s="61"/>
      <c r="F2" s="61"/>
      <c r="G2" s="61"/>
      <c r="H2" s="61"/>
      <c r="I2" s="61"/>
      <c r="J2" s="61"/>
      <c r="K2" s="61"/>
      <c r="L2" s="61"/>
      <c r="M2" s="61"/>
      <c r="N2" s="61"/>
      <c r="O2" s="61"/>
      <c r="P2" s="61"/>
      <c r="Q2" s="68"/>
      <c r="R2" s="68"/>
      <c r="S2" s="42"/>
      <c r="T2" s="42"/>
      <c r="U2" s="42"/>
      <c r="V2" s="42"/>
      <c r="W2" s="51"/>
      <c r="X2" s="51"/>
      <c r="Y2" s="51"/>
      <c r="Z2" s="51"/>
      <c r="AA2" s="51"/>
      <c r="AB2" s="51"/>
      <c r="AC2" s="51"/>
      <c r="AD2" s="51"/>
      <c r="AE2" s="51"/>
      <c r="AF2" s="51"/>
      <c r="AG2" s="51"/>
      <c r="AH2" s="42"/>
      <c r="AI2" s="42"/>
      <c r="AJ2" s="42"/>
    </row>
    <row r="3" ht="15" customHeight="1" thickBot="1">
      <c r="A3" s="1" t="s">
        <v>1</v>
      </c>
    </row>
    <row r="4" spans="1:35" s="6" customFormat="1" ht="83.25" customHeight="1">
      <c r="A4" s="27" t="s">
        <v>2</v>
      </c>
      <c r="B4" s="22" t="s">
        <v>3</v>
      </c>
      <c r="C4" s="22" t="s">
        <v>4</v>
      </c>
      <c r="D4" s="35" t="s">
        <v>63</v>
      </c>
      <c r="E4" s="35" t="s">
        <v>39</v>
      </c>
      <c r="F4" s="35" t="s">
        <v>30</v>
      </c>
      <c r="G4" s="35" t="s">
        <v>33</v>
      </c>
      <c r="H4" s="35" t="s">
        <v>34</v>
      </c>
      <c r="I4" s="35" t="s">
        <v>35</v>
      </c>
      <c r="J4" s="35" t="s">
        <v>36</v>
      </c>
      <c r="K4" s="35" t="s">
        <v>40</v>
      </c>
      <c r="L4" s="52" t="s">
        <v>41</v>
      </c>
      <c r="M4" s="52" t="s">
        <v>42</v>
      </c>
      <c r="N4" s="35" t="s">
        <v>43</v>
      </c>
      <c r="O4" s="35" t="s">
        <v>37</v>
      </c>
      <c r="P4" s="35" t="s">
        <v>44</v>
      </c>
      <c r="Q4" s="35" t="s">
        <v>45</v>
      </c>
      <c r="R4" s="35" t="s">
        <v>46</v>
      </c>
      <c r="S4" s="35" t="s">
        <v>47</v>
      </c>
      <c r="T4" s="35" t="s">
        <v>48</v>
      </c>
      <c r="U4" s="52" t="s">
        <v>49</v>
      </c>
      <c r="V4" s="52" t="s">
        <v>50</v>
      </c>
      <c r="W4" s="35" t="s">
        <v>64</v>
      </c>
      <c r="X4" s="35" t="s">
        <v>65</v>
      </c>
      <c r="Y4" s="35" t="s">
        <v>66</v>
      </c>
      <c r="Z4" s="35" t="s">
        <v>67</v>
      </c>
      <c r="AA4" s="52" t="s">
        <v>60</v>
      </c>
      <c r="AB4" s="52" t="s">
        <v>68</v>
      </c>
      <c r="AC4" s="35" t="s">
        <v>69</v>
      </c>
      <c r="AD4" s="53" t="s">
        <v>70</v>
      </c>
      <c r="AE4" s="35" t="s">
        <v>71</v>
      </c>
      <c r="AF4" s="35" t="s">
        <v>72</v>
      </c>
      <c r="AG4" s="35" t="s">
        <v>73</v>
      </c>
      <c r="AH4" s="52" t="s">
        <v>51</v>
      </c>
      <c r="AI4" s="69" t="s">
        <v>74</v>
      </c>
    </row>
    <row r="5" spans="1:35" s="7" customFormat="1" ht="27">
      <c r="A5" s="28">
        <v>0</v>
      </c>
      <c r="B5" s="29">
        <v>1</v>
      </c>
      <c r="C5" s="29">
        <v>2</v>
      </c>
      <c r="D5" s="29" t="s">
        <v>75</v>
      </c>
      <c r="E5" s="29" t="s">
        <v>52</v>
      </c>
      <c r="F5" s="29">
        <v>5</v>
      </c>
      <c r="G5" s="29">
        <v>6</v>
      </c>
      <c r="H5" s="29">
        <v>7</v>
      </c>
      <c r="I5" s="29">
        <v>8</v>
      </c>
      <c r="J5" s="29">
        <v>9</v>
      </c>
      <c r="K5" s="29">
        <v>10</v>
      </c>
      <c r="L5" s="54" t="s">
        <v>53</v>
      </c>
      <c r="M5" s="54" t="s">
        <v>54</v>
      </c>
      <c r="N5" s="29" t="s">
        <v>55</v>
      </c>
      <c r="O5" s="29">
        <v>14</v>
      </c>
      <c r="P5" s="29">
        <v>15</v>
      </c>
      <c r="Q5" s="29">
        <v>16</v>
      </c>
      <c r="R5" s="29">
        <v>17</v>
      </c>
      <c r="S5" s="29">
        <v>18</v>
      </c>
      <c r="T5" s="29">
        <v>19</v>
      </c>
      <c r="U5" s="54" t="s">
        <v>56</v>
      </c>
      <c r="V5" s="54" t="s">
        <v>57</v>
      </c>
      <c r="W5" s="29">
        <v>22</v>
      </c>
      <c r="X5" s="29">
        <v>23</v>
      </c>
      <c r="Y5" s="29">
        <v>24</v>
      </c>
      <c r="Z5" s="29">
        <v>25</v>
      </c>
      <c r="AA5" s="54" t="s">
        <v>76</v>
      </c>
      <c r="AB5" s="54" t="s">
        <v>77</v>
      </c>
      <c r="AC5" s="29">
        <v>28</v>
      </c>
      <c r="AD5" s="29">
        <v>29</v>
      </c>
      <c r="AE5" s="29" t="s">
        <v>78</v>
      </c>
      <c r="AF5" s="29">
        <v>31</v>
      </c>
      <c r="AG5" s="29" t="s">
        <v>79</v>
      </c>
      <c r="AH5" s="54" t="s">
        <v>80</v>
      </c>
      <c r="AI5" s="47" t="s">
        <v>81</v>
      </c>
    </row>
    <row r="6" spans="1:35" s="6" customFormat="1" ht="15" customHeight="1">
      <c r="A6" s="62">
        <v>1</v>
      </c>
      <c r="B6" s="58" t="s">
        <v>5</v>
      </c>
      <c r="C6" s="30" t="s">
        <v>6</v>
      </c>
      <c r="D6" s="41">
        <f>ROUND(E6+N6+W6+AC6,2)</f>
        <v>369000</v>
      </c>
      <c r="E6" s="41">
        <f>ROUND(F6+H6+J6,2)</f>
        <v>41000</v>
      </c>
      <c r="F6" s="41">
        <v>41000</v>
      </c>
      <c r="G6" s="41">
        <v>0</v>
      </c>
      <c r="H6" s="41">
        <v>0</v>
      </c>
      <c r="I6" s="41">
        <v>39471.65</v>
      </c>
      <c r="J6" s="41">
        <v>0</v>
      </c>
      <c r="K6" s="41">
        <v>0</v>
      </c>
      <c r="L6" s="41">
        <f>ROUND(G6+I6+K6,2)</f>
        <v>39471.65</v>
      </c>
      <c r="M6" s="41">
        <f>ROUND(E6-L6,2)</f>
        <v>1528.35</v>
      </c>
      <c r="N6" s="41">
        <f>ROUND(O6+Q6+S6,2)</f>
        <v>118000</v>
      </c>
      <c r="O6" s="41">
        <v>59000</v>
      </c>
      <c r="P6" s="41">
        <v>66012.58</v>
      </c>
      <c r="Q6" s="41">
        <v>59000</v>
      </c>
      <c r="R6" s="41">
        <v>25328.72</v>
      </c>
      <c r="S6" s="41">
        <v>0</v>
      </c>
      <c r="T6" s="41">
        <v>0</v>
      </c>
      <c r="U6" s="41">
        <f>ROUND(P6+R6+T6,2)</f>
        <v>91341.3</v>
      </c>
      <c r="V6" s="41">
        <f>ROUND(M6+N6-U6,2)</f>
        <v>28187.05</v>
      </c>
      <c r="W6" s="41">
        <v>210000</v>
      </c>
      <c r="X6" s="41">
        <v>0</v>
      </c>
      <c r="Y6" s="41">
        <v>113414.51</v>
      </c>
      <c r="Z6" s="41">
        <v>124641.5</v>
      </c>
      <c r="AA6" s="38">
        <f>ROUND(X6+Y6+Z6,2)</f>
        <v>238056.01</v>
      </c>
      <c r="AB6" s="38">
        <f>ROUND(V6+W6-AA6,2)</f>
        <v>131.04</v>
      </c>
      <c r="AC6" s="41">
        <v>0</v>
      </c>
      <c r="AD6" s="41">
        <v>0</v>
      </c>
      <c r="AE6" s="41">
        <f>ROUND(AB6+AC6+AD6,2)</f>
        <v>131.04</v>
      </c>
      <c r="AF6" s="41">
        <v>0</v>
      </c>
      <c r="AG6" s="41">
        <f>ROUND(AE6-AF6,2)</f>
        <v>131.04</v>
      </c>
      <c r="AH6" s="38">
        <f>ROUND(L6+U6+AA6+AE6,2)</f>
        <v>369000</v>
      </c>
      <c r="AI6" s="48">
        <f>ROUND(AH6-D6,2)</f>
        <v>0</v>
      </c>
    </row>
    <row r="7" spans="1:35" s="6" customFormat="1" ht="12.75">
      <c r="A7" s="62"/>
      <c r="B7" s="58"/>
      <c r="C7" s="30" t="s">
        <v>7</v>
      </c>
      <c r="D7" s="41">
        <f>ROUND(E7+N7+W7+AC7,2)</f>
        <v>57560</v>
      </c>
      <c r="E7" s="41">
        <f>ROUND(F7+H7+J7,2)</f>
        <v>10000</v>
      </c>
      <c r="F7" s="41">
        <v>10000</v>
      </c>
      <c r="G7" s="41">
        <v>0</v>
      </c>
      <c r="H7" s="41">
        <v>0</v>
      </c>
      <c r="I7" s="41">
        <v>5777</v>
      </c>
      <c r="J7" s="41">
        <v>0</v>
      </c>
      <c r="K7" s="41">
        <v>0</v>
      </c>
      <c r="L7" s="41">
        <f>ROUND(G7+I7+K7,2)</f>
        <v>5777</v>
      </c>
      <c r="M7" s="41">
        <f>ROUND(E7-L7,2)</f>
        <v>4223</v>
      </c>
      <c r="N7" s="41">
        <f>ROUND(O7+Q7+S7,2)</f>
        <v>0</v>
      </c>
      <c r="O7" s="41">
        <v>0</v>
      </c>
      <c r="P7" s="41">
        <v>0</v>
      </c>
      <c r="Q7" s="41">
        <v>0</v>
      </c>
      <c r="R7" s="41">
        <v>3706</v>
      </c>
      <c r="S7" s="41">
        <v>0</v>
      </c>
      <c r="T7" s="41">
        <v>283.4</v>
      </c>
      <c r="U7" s="41">
        <f>ROUND(P7+R7+T7,2)</f>
        <v>3989.4</v>
      </c>
      <c r="V7" s="41">
        <f>ROUND(M7+N7-U7,2)</f>
        <v>233.6</v>
      </c>
      <c r="W7" s="41">
        <v>47560</v>
      </c>
      <c r="X7" s="41">
        <v>2834</v>
      </c>
      <c r="Y7" s="41">
        <v>39894</v>
      </c>
      <c r="Z7" s="41">
        <v>0</v>
      </c>
      <c r="AA7" s="38">
        <f>ROUND(X7+Y7+Z7,2)</f>
        <v>42728</v>
      </c>
      <c r="AB7" s="38">
        <f>ROUND(V7+W7-AA7,2)</f>
        <v>5065.6</v>
      </c>
      <c r="AC7" s="41">
        <v>0</v>
      </c>
      <c r="AD7" s="41">
        <v>0</v>
      </c>
      <c r="AE7" s="41">
        <f>ROUND(AB7+AC7+AD7,2)</f>
        <v>5065.6</v>
      </c>
      <c r="AF7" s="41">
        <v>0</v>
      </c>
      <c r="AG7" s="41">
        <f>ROUND(AE7-AF7,2)</f>
        <v>5065.6</v>
      </c>
      <c r="AH7" s="38">
        <f>ROUND(L7+U7+AA7+AE7,2)</f>
        <v>57560</v>
      </c>
      <c r="AI7" s="48">
        <f>ROUND(AH7-D7,2)</f>
        <v>0</v>
      </c>
    </row>
    <row r="8" spans="1:35" s="6" customFormat="1" ht="12.75">
      <c r="A8" s="31"/>
      <c r="B8" s="20" t="s">
        <v>8</v>
      </c>
      <c r="C8" s="21"/>
      <c r="D8" s="38">
        <f>SUM(D6:D7)</f>
        <v>426560</v>
      </c>
      <c r="E8" s="38">
        <f aca="true" t="shared" si="0" ref="E8:AI8">SUM(E6:E7)</f>
        <v>51000</v>
      </c>
      <c r="F8" s="38">
        <f t="shared" si="0"/>
        <v>51000</v>
      </c>
      <c r="G8" s="38">
        <f t="shared" si="0"/>
        <v>0</v>
      </c>
      <c r="H8" s="38">
        <f t="shared" si="0"/>
        <v>0</v>
      </c>
      <c r="I8" s="38">
        <f t="shared" si="0"/>
        <v>45248.65</v>
      </c>
      <c r="J8" s="38">
        <f t="shared" si="0"/>
        <v>0</v>
      </c>
      <c r="K8" s="38">
        <f t="shared" si="0"/>
        <v>0</v>
      </c>
      <c r="L8" s="38">
        <f t="shared" si="0"/>
        <v>45248.65</v>
      </c>
      <c r="M8" s="38">
        <f t="shared" si="0"/>
        <v>5751.35</v>
      </c>
      <c r="N8" s="38">
        <f t="shared" si="0"/>
        <v>118000</v>
      </c>
      <c r="O8" s="38">
        <f t="shared" si="0"/>
        <v>59000</v>
      </c>
      <c r="P8" s="38">
        <f t="shared" si="0"/>
        <v>66012.58</v>
      </c>
      <c r="Q8" s="38">
        <f t="shared" si="0"/>
        <v>59000</v>
      </c>
      <c r="R8" s="38">
        <f t="shared" si="0"/>
        <v>29034.72</v>
      </c>
      <c r="S8" s="38">
        <f t="shared" si="0"/>
        <v>0</v>
      </c>
      <c r="T8" s="38">
        <f t="shared" si="0"/>
        <v>283.4</v>
      </c>
      <c r="U8" s="38">
        <f t="shared" si="0"/>
        <v>95330.7</v>
      </c>
      <c r="V8" s="38">
        <f t="shared" si="0"/>
        <v>28420.649999999998</v>
      </c>
      <c r="W8" s="38">
        <f t="shared" si="0"/>
        <v>257560</v>
      </c>
      <c r="X8" s="38">
        <f t="shared" si="0"/>
        <v>2834</v>
      </c>
      <c r="Y8" s="38">
        <f t="shared" si="0"/>
        <v>153308.51</v>
      </c>
      <c r="Z8" s="38">
        <f t="shared" si="0"/>
        <v>124641.5</v>
      </c>
      <c r="AA8" s="38">
        <f t="shared" si="0"/>
        <v>280784.01</v>
      </c>
      <c r="AB8" s="38">
        <f t="shared" si="0"/>
        <v>5196.64</v>
      </c>
      <c r="AC8" s="38">
        <f t="shared" si="0"/>
        <v>0</v>
      </c>
      <c r="AD8" s="38">
        <f t="shared" si="0"/>
        <v>0</v>
      </c>
      <c r="AE8" s="38">
        <f t="shared" si="0"/>
        <v>5196.64</v>
      </c>
      <c r="AF8" s="38">
        <f t="shared" si="0"/>
        <v>0</v>
      </c>
      <c r="AG8" s="38">
        <f t="shared" si="0"/>
        <v>5196.64</v>
      </c>
      <c r="AH8" s="38">
        <f t="shared" si="0"/>
        <v>426560</v>
      </c>
      <c r="AI8" s="36">
        <f t="shared" si="0"/>
        <v>0</v>
      </c>
    </row>
    <row r="9" spans="1:35" s="15" customFormat="1" ht="25.5">
      <c r="A9" s="63">
        <v>2</v>
      </c>
      <c r="B9" s="33" t="s">
        <v>29</v>
      </c>
      <c r="C9" s="30" t="s">
        <v>6</v>
      </c>
      <c r="D9" s="41">
        <f>ROUND(E9+N9+W9+AC9,2)</f>
        <v>23880</v>
      </c>
      <c r="E9" s="41">
        <f>ROUND(F9+H9+J9,2)</f>
        <v>10000</v>
      </c>
      <c r="F9" s="41">
        <v>5000</v>
      </c>
      <c r="G9" s="41">
        <v>0</v>
      </c>
      <c r="H9" s="41">
        <v>0</v>
      </c>
      <c r="I9" s="41">
        <v>0</v>
      </c>
      <c r="J9" s="41">
        <v>5000</v>
      </c>
      <c r="K9" s="41">
        <v>9509.05</v>
      </c>
      <c r="L9" s="41">
        <f>ROUND(G9+I9+K9,2)</f>
        <v>9509.05</v>
      </c>
      <c r="M9" s="41">
        <f>ROUND(E9-L9,2)</f>
        <v>490.95</v>
      </c>
      <c r="N9" s="41">
        <f>ROUND(O9+Q9+S9,2)</f>
        <v>4500</v>
      </c>
      <c r="O9" s="41">
        <v>1500</v>
      </c>
      <c r="P9" s="41">
        <v>0</v>
      </c>
      <c r="Q9" s="41">
        <v>1500</v>
      </c>
      <c r="R9" s="41">
        <v>0</v>
      </c>
      <c r="S9" s="41">
        <f>2000-500</f>
        <v>1500</v>
      </c>
      <c r="T9" s="41">
        <v>0</v>
      </c>
      <c r="U9" s="41">
        <f>ROUND(P9+R9+T9,2)</f>
        <v>0</v>
      </c>
      <c r="V9" s="41">
        <f>ROUND(M9+N9-U9,2)</f>
        <v>4990.95</v>
      </c>
      <c r="W9" s="41">
        <f>8000-8000</f>
        <v>0</v>
      </c>
      <c r="X9" s="41">
        <v>0</v>
      </c>
      <c r="Y9" s="41">
        <v>2103.92</v>
      </c>
      <c r="Z9" s="41">
        <v>2874.56</v>
      </c>
      <c r="AA9" s="38">
        <f>ROUND(X9+Y9+Z9,2)</f>
        <v>4978.48</v>
      </c>
      <c r="AB9" s="38">
        <f>ROUND(V9+W9-AA9,2)</f>
        <v>12.47</v>
      </c>
      <c r="AC9" s="41">
        <v>9380</v>
      </c>
      <c r="AD9" s="41">
        <v>4610</v>
      </c>
      <c r="AE9" s="41">
        <f>ROUND(AB9+AC9+AD9,2)</f>
        <v>14002.47</v>
      </c>
      <c r="AF9" s="41">
        <v>5327.51</v>
      </c>
      <c r="AG9" s="41">
        <f>ROUND(AE9-AF9,2)</f>
        <v>8674.96</v>
      </c>
      <c r="AH9" s="38">
        <f>ROUND(L9+U9+AA9+AE9,2)</f>
        <v>28490</v>
      </c>
      <c r="AI9" s="48">
        <f>ROUND(AH9-D9,2)</f>
        <v>4610</v>
      </c>
    </row>
    <row r="10" spans="1:35" s="15" customFormat="1" ht="25.5">
      <c r="A10" s="63"/>
      <c r="B10" s="33" t="s">
        <v>58</v>
      </c>
      <c r="C10" s="30" t="s">
        <v>6</v>
      </c>
      <c r="D10" s="41">
        <f>ROUND(E10+N10+W10+AC10,2)</f>
        <v>98500</v>
      </c>
      <c r="E10" s="41">
        <f>ROUND(F10+H10+J10,2)</f>
        <v>0</v>
      </c>
      <c r="F10" s="41">
        <v>0</v>
      </c>
      <c r="G10" s="41">
        <v>0</v>
      </c>
      <c r="H10" s="41">
        <v>0</v>
      </c>
      <c r="I10" s="41">
        <v>0</v>
      </c>
      <c r="J10" s="41">
        <v>0</v>
      </c>
      <c r="K10" s="41">
        <v>0</v>
      </c>
      <c r="L10" s="41">
        <f>ROUND(G10+I10+K10,2)</f>
        <v>0</v>
      </c>
      <c r="M10" s="41">
        <f>ROUND(E10-L10,2)</f>
        <v>0</v>
      </c>
      <c r="N10" s="41">
        <f>ROUND(O10+Q10+S10,2)</f>
        <v>48850</v>
      </c>
      <c r="O10" s="41">
        <v>5000</v>
      </c>
      <c r="P10" s="41">
        <v>0</v>
      </c>
      <c r="Q10" s="41">
        <f>45000-1150</f>
        <v>43850</v>
      </c>
      <c r="R10" s="41">
        <v>0</v>
      </c>
      <c r="S10" s="41">
        <v>0</v>
      </c>
      <c r="T10" s="41">
        <v>48849.5</v>
      </c>
      <c r="U10" s="41">
        <f>ROUND(P10+R10+T10,2)</f>
        <v>48849.5</v>
      </c>
      <c r="V10" s="41">
        <f>ROUND(M10+N10-U10,2)</f>
        <v>0.5</v>
      </c>
      <c r="W10" s="41">
        <f>48500-48500</f>
        <v>0</v>
      </c>
      <c r="X10" s="41">
        <v>0</v>
      </c>
      <c r="Y10" s="41">
        <v>0</v>
      </c>
      <c r="Z10" s="41">
        <v>0</v>
      </c>
      <c r="AA10" s="38">
        <f>ROUND(X10+Y10+Z10,2)</f>
        <v>0</v>
      </c>
      <c r="AB10" s="38">
        <f>ROUND(V10+W10-AA10,2)</f>
        <v>0.5</v>
      </c>
      <c r="AC10" s="41">
        <v>49650</v>
      </c>
      <c r="AD10" s="41">
        <v>-49650</v>
      </c>
      <c r="AE10" s="41">
        <f>ROUND(AB10+AC10+AD10,2)</f>
        <v>0.5</v>
      </c>
      <c r="AF10" s="41">
        <v>0</v>
      </c>
      <c r="AG10" s="41">
        <f>ROUND(AE10-AF10,2)</f>
        <v>0.5</v>
      </c>
      <c r="AH10" s="38">
        <f>ROUND(L10+U10+AA10+AE10,2)</f>
        <v>48850</v>
      </c>
      <c r="AI10" s="48">
        <f>ROUND(AH10-D10,2)</f>
        <v>-49650</v>
      </c>
    </row>
    <row r="11" spans="1:35" s="6" customFormat="1" ht="12.75">
      <c r="A11" s="31"/>
      <c r="B11" s="20" t="s">
        <v>59</v>
      </c>
      <c r="C11" s="21"/>
      <c r="D11" s="38">
        <f>SUM(D9:D10)</f>
        <v>122380</v>
      </c>
      <c r="E11" s="38">
        <f aca="true" t="shared" si="1" ref="E11:AI11">SUM(E9:E10)</f>
        <v>10000</v>
      </c>
      <c r="F11" s="38">
        <f t="shared" si="1"/>
        <v>5000</v>
      </c>
      <c r="G11" s="38">
        <f t="shared" si="1"/>
        <v>0</v>
      </c>
      <c r="H11" s="38">
        <f t="shared" si="1"/>
        <v>0</v>
      </c>
      <c r="I11" s="38">
        <f t="shared" si="1"/>
        <v>0</v>
      </c>
      <c r="J11" s="38">
        <f t="shared" si="1"/>
        <v>5000</v>
      </c>
      <c r="K11" s="38">
        <f t="shared" si="1"/>
        <v>9509.05</v>
      </c>
      <c r="L11" s="38">
        <f t="shared" si="1"/>
        <v>9509.05</v>
      </c>
      <c r="M11" s="38">
        <f t="shared" si="1"/>
        <v>490.95</v>
      </c>
      <c r="N11" s="38">
        <f t="shared" si="1"/>
        <v>53350</v>
      </c>
      <c r="O11" s="38">
        <f t="shared" si="1"/>
        <v>6500</v>
      </c>
      <c r="P11" s="38">
        <f t="shared" si="1"/>
        <v>0</v>
      </c>
      <c r="Q11" s="38">
        <f t="shared" si="1"/>
        <v>45350</v>
      </c>
      <c r="R11" s="38">
        <f t="shared" si="1"/>
        <v>0</v>
      </c>
      <c r="S11" s="38">
        <f t="shared" si="1"/>
        <v>1500</v>
      </c>
      <c r="T11" s="38">
        <f t="shared" si="1"/>
        <v>48849.5</v>
      </c>
      <c r="U11" s="38">
        <f t="shared" si="1"/>
        <v>48849.5</v>
      </c>
      <c r="V11" s="38">
        <f t="shared" si="1"/>
        <v>4991.45</v>
      </c>
      <c r="W11" s="38">
        <f t="shared" si="1"/>
        <v>0</v>
      </c>
      <c r="X11" s="38">
        <f t="shared" si="1"/>
        <v>0</v>
      </c>
      <c r="Y11" s="38">
        <f t="shared" si="1"/>
        <v>2103.92</v>
      </c>
      <c r="Z11" s="38">
        <f t="shared" si="1"/>
        <v>2874.56</v>
      </c>
      <c r="AA11" s="38">
        <f t="shared" si="1"/>
        <v>4978.48</v>
      </c>
      <c r="AB11" s="38">
        <f t="shared" si="1"/>
        <v>12.97</v>
      </c>
      <c r="AC11" s="38">
        <f t="shared" si="1"/>
        <v>59030</v>
      </c>
      <c r="AD11" s="38">
        <f t="shared" si="1"/>
        <v>-45040</v>
      </c>
      <c r="AE11" s="38">
        <f t="shared" si="1"/>
        <v>14002.97</v>
      </c>
      <c r="AF11" s="38">
        <f t="shared" si="1"/>
        <v>5327.51</v>
      </c>
      <c r="AG11" s="38">
        <f t="shared" si="1"/>
        <v>8675.46</v>
      </c>
      <c r="AH11" s="38">
        <f t="shared" si="1"/>
        <v>77340</v>
      </c>
      <c r="AI11" s="36">
        <f t="shared" si="1"/>
        <v>-45040</v>
      </c>
    </row>
    <row r="12" spans="1:35" s="6" customFormat="1" ht="12.75" customHeight="1">
      <c r="A12" s="66"/>
      <c r="B12" s="60" t="s">
        <v>25</v>
      </c>
      <c r="C12" s="30" t="s">
        <v>6</v>
      </c>
      <c r="D12" s="37">
        <f aca="true" t="shared" si="2" ref="D12:AI12">ROUND(D6+D11,2)</f>
        <v>491380</v>
      </c>
      <c r="E12" s="37">
        <f t="shared" si="2"/>
        <v>51000</v>
      </c>
      <c r="F12" s="37">
        <f t="shared" si="2"/>
        <v>46000</v>
      </c>
      <c r="G12" s="37">
        <f t="shared" si="2"/>
        <v>0</v>
      </c>
      <c r="H12" s="37">
        <f t="shared" si="2"/>
        <v>0</v>
      </c>
      <c r="I12" s="37">
        <f t="shared" si="2"/>
        <v>39471.65</v>
      </c>
      <c r="J12" s="37">
        <f t="shared" si="2"/>
        <v>5000</v>
      </c>
      <c r="K12" s="37">
        <f t="shared" si="2"/>
        <v>9509.05</v>
      </c>
      <c r="L12" s="37">
        <f t="shared" si="2"/>
        <v>48980.7</v>
      </c>
      <c r="M12" s="37">
        <f t="shared" si="2"/>
        <v>2019.3</v>
      </c>
      <c r="N12" s="37">
        <f t="shared" si="2"/>
        <v>171350</v>
      </c>
      <c r="O12" s="37">
        <f t="shared" si="2"/>
        <v>65500</v>
      </c>
      <c r="P12" s="37">
        <f t="shared" si="2"/>
        <v>66012.58</v>
      </c>
      <c r="Q12" s="37">
        <f t="shared" si="2"/>
        <v>104350</v>
      </c>
      <c r="R12" s="37">
        <f t="shared" si="2"/>
        <v>25328.72</v>
      </c>
      <c r="S12" s="37">
        <f t="shared" si="2"/>
        <v>1500</v>
      </c>
      <c r="T12" s="37">
        <f t="shared" si="2"/>
        <v>48849.5</v>
      </c>
      <c r="U12" s="37">
        <f t="shared" si="2"/>
        <v>140190.8</v>
      </c>
      <c r="V12" s="37">
        <f t="shared" si="2"/>
        <v>33178.5</v>
      </c>
      <c r="W12" s="37">
        <f t="shared" si="2"/>
        <v>210000</v>
      </c>
      <c r="X12" s="37">
        <f t="shared" si="2"/>
        <v>0</v>
      </c>
      <c r="Y12" s="37">
        <f t="shared" si="2"/>
        <v>115518.43</v>
      </c>
      <c r="Z12" s="37">
        <f t="shared" si="2"/>
        <v>127516.06</v>
      </c>
      <c r="AA12" s="37">
        <f t="shared" si="2"/>
        <v>243034.49</v>
      </c>
      <c r="AB12" s="37">
        <f t="shared" si="2"/>
        <v>144.01</v>
      </c>
      <c r="AC12" s="37">
        <f t="shared" si="2"/>
        <v>59030</v>
      </c>
      <c r="AD12" s="37">
        <f t="shared" si="2"/>
        <v>-45040</v>
      </c>
      <c r="AE12" s="37">
        <f t="shared" si="2"/>
        <v>14134.01</v>
      </c>
      <c r="AF12" s="37">
        <f t="shared" si="2"/>
        <v>5327.51</v>
      </c>
      <c r="AG12" s="37">
        <f t="shared" si="2"/>
        <v>8806.5</v>
      </c>
      <c r="AH12" s="37">
        <f t="shared" si="2"/>
        <v>446340</v>
      </c>
      <c r="AI12" s="18">
        <f t="shared" si="2"/>
        <v>-45040</v>
      </c>
    </row>
    <row r="13" spans="1:35" s="6" customFormat="1" ht="13.5" thickBot="1">
      <c r="A13" s="70"/>
      <c r="B13" s="71"/>
      <c r="C13" s="72" t="s">
        <v>7</v>
      </c>
      <c r="D13" s="73">
        <f>ROUND(D7,2)</f>
        <v>57560</v>
      </c>
      <c r="E13" s="73">
        <f aca="true" t="shared" si="3" ref="E13:AI13">ROUND(E7,2)</f>
        <v>10000</v>
      </c>
      <c r="F13" s="73">
        <f t="shared" si="3"/>
        <v>10000</v>
      </c>
      <c r="G13" s="73">
        <f t="shared" si="3"/>
        <v>0</v>
      </c>
      <c r="H13" s="73">
        <f t="shared" si="3"/>
        <v>0</v>
      </c>
      <c r="I13" s="73">
        <f t="shared" si="3"/>
        <v>5777</v>
      </c>
      <c r="J13" s="73">
        <f t="shared" si="3"/>
        <v>0</v>
      </c>
      <c r="K13" s="73">
        <f t="shared" si="3"/>
        <v>0</v>
      </c>
      <c r="L13" s="73">
        <f t="shared" si="3"/>
        <v>5777</v>
      </c>
      <c r="M13" s="73">
        <f t="shared" si="3"/>
        <v>4223</v>
      </c>
      <c r="N13" s="73">
        <f t="shared" si="3"/>
        <v>0</v>
      </c>
      <c r="O13" s="73">
        <f t="shared" si="3"/>
        <v>0</v>
      </c>
      <c r="P13" s="73">
        <f t="shared" si="3"/>
        <v>0</v>
      </c>
      <c r="Q13" s="73">
        <f t="shared" si="3"/>
        <v>0</v>
      </c>
      <c r="R13" s="73">
        <f t="shared" si="3"/>
        <v>3706</v>
      </c>
      <c r="S13" s="73">
        <f t="shared" si="3"/>
        <v>0</v>
      </c>
      <c r="T13" s="73">
        <f t="shared" si="3"/>
        <v>283.4</v>
      </c>
      <c r="U13" s="73">
        <f t="shared" si="3"/>
        <v>3989.4</v>
      </c>
      <c r="V13" s="73">
        <f t="shared" si="3"/>
        <v>233.6</v>
      </c>
      <c r="W13" s="73">
        <f t="shared" si="3"/>
        <v>47560</v>
      </c>
      <c r="X13" s="73">
        <f t="shared" si="3"/>
        <v>2834</v>
      </c>
      <c r="Y13" s="73">
        <f t="shared" si="3"/>
        <v>39894</v>
      </c>
      <c r="Z13" s="73">
        <f t="shared" si="3"/>
        <v>0</v>
      </c>
      <c r="AA13" s="73">
        <f t="shared" si="3"/>
        <v>42728</v>
      </c>
      <c r="AB13" s="73">
        <f t="shared" si="3"/>
        <v>5065.6</v>
      </c>
      <c r="AC13" s="73">
        <f t="shared" si="3"/>
        <v>0</v>
      </c>
      <c r="AD13" s="73">
        <f t="shared" si="3"/>
        <v>0</v>
      </c>
      <c r="AE13" s="73">
        <f t="shared" si="3"/>
        <v>5065.6</v>
      </c>
      <c r="AF13" s="73">
        <f t="shared" si="3"/>
        <v>0</v>
      </c>
      <c r="AG13" s="73">
        <f t="shared" si="3"/>
        <v>5065.6</v>
      </c>
      <c r="AH13" s="73">
        <f t="shared" si="3"/>
        <v>57560</v>
      </c>
      <c r="AI13" s="74">
        <f t="shared" si="3"/>
        <v>0</v>
      </c>
    </row>
    <row r="14" spans="1:35" s="6" customFormat="1" ht="13.5" thickBot="1">
      <c r="A14" s="75"/>
      <c r="B14" s="76" t="s">
        <v>31</v>
      </c>
      <c r="C14" s="77"/>
      <c r="D14" s="78">
        <f aca="true" t="shared" si="4" ref="D14:AI14">ROUND(D12+D13,2)</f>
        <v>548940</v>
      </c>
      <c r="E14" s="78">
        <f t="shared" si="4"/>
        <v>61000</v>
      </c>
      <c r="F14" s="78">
        <f t="shared" si="4"/>
        <v>56000</v>
      </c>
      <c r="G14" s="78">
        <f t="shared" si="4"/>
        <v>0</v>
      </c>
      <c r="H14" s="78">
        <f t="shared" si="4"/>
        <v>0</v>
      </c>
      <c r="I14" s="78">
        <f t="shared" si="4"/>
        <v>45248.65</v>
      </c>
      <c r="J14" s="78">
        <f t="shared" si="4"/>
        <v>5000</v>
      </c>
      <c r="K14" s="78">
        <f t="shared" si="4"/>
        <v>9509.05</v>
      </c>
      <c r="L14" s="78">
        <f t="shared" si="4"/>
        <v>54757.7</v>
      </c>
      <c r="M14" s="78">
        <f t="shared" si="4"/>
        <v>6242.3</v>
      </c>
      <c r="N14" s="78">
        <f t="shared" si="4"/>
        <v>171350</v>
      </c>
      <c r="O14" s="78">
        <f t="shared" si="4"/>
        <v>65500</v>
      </c>
      <c r="P14" s="78">
        <f t="shared" si="4"/>
        <v>66012.58</v>
      </c>
      <c r="Q14" s="78">
        <f t="shared" si="4"/>
        <v>104350</v>
      </c>
      <c r="R14" s="78">
        <f t="shared" si="4"/>
        <v>29034.72</v>
      </c>
      <c r="S14" s="78">
        <f t="shared" si="4"/>
        <v>1500</v>
      </c>
      <c r="T14" s="78">
        <f t="shared" si="4"/>
        <v>49132.9</v>
      </c>
      <c r="U14" s="78">
        <f t="shared" si="4"/>
        <v>144180.2</v>
      </c>
      <c r="V14" s="78">
        <f t="shared" si="4"/>
        <v>33412.1</v>
      </c>
      <c r="W14" s="78">
        <f t="shared" si="4"/>
        <v>257560</v>
      </c>
      <c r="X14" s="78">
        <f t="shared" si="4"/>
        <v>2834</v>
      </c>
      <c r="Y14" s="78">
        <f t="shared" si="4"/>
        <v>155412.43</v>
      </c>
      <c r="Z14" s="78">
        <f t="shared" si="4"/>
        <v>127516.06</v>
      </c>
      <c r="AA14" s="78">
        <f t="shared" si="4"/>
        <v>285762.49</v>
      </c>
      <c r="AB14" s="78">
        <f t="shared" si="4"/>
        <v>5209.61</v>
      </c>
      <c r="AC14" s="78">
        <f t="shared" si="4"/>
        <v>59030</v>
      </c>
      <c r="AD14" s="78">
        <f t="shared" si="4"/>
        <v>-45040</v>
      </c>
      <c r="AE14" s="78">
        <f t="shared" si="4"/>
        <v>19199.61</v>
      </c>
      <c r="AF14" s="78">
        <f t="shared" si="4"/>
        <v>5327.51</v>
      </c>
      <c r="AG14" s="78">
        <f t="shared" si="4"/>
        <v>13872.1</v>
      </c>
      <c r="AH14" s="78">
        <f t="shared" si="4"/>
        <v>503900</v>
      </c>
      <c r="AI14" s="79">
        <f t="shared" si="4"/>
        <v>-45040</v>
      </c>
    </row>
    <row r="15" spans="1:33" s="6" customFormat="1" ht="12.75">
      <c r="A15" s="9"/>
      <c r="Q15" s="15"/>
      <c r="R15" s="15"/>
      <c r="S15" s="15"/>
      <c r="T15" s="15"/>
      <c r="U15" s="15"/>
      <c r="V15" s="15"/>
      <c r="W15" s="15"/>
      <c r="X15" s="15"/>
      <c r="Y15" s="15"/>
      <c r="Z15" s="15"/>
      <c r="AA15" s="15"/>
      <c r="AB15" s="15"/>
      <c r="AC15" s="15"/>
      <c r="AD15" s="15"/>
      <c r="AE15" s="15"/>
      <c r="AF15" s="15"/>
      <c r="AG15" s="15"/>
    </row>
    <row r="16" ht="16.5" thickBot="1">
      <c r="A16" s="1" t="s">
        <v>9</v>
      </c>
    </row>
    <row r="17" spans="1:35" s="6" customFormat="1" ht="84" customHeight="1">
      <c r="A17" s="4" t="s">
        <v>2</v>
      </c>
      <c r="B17" s="5" t="s">
        <v>3</v>
      </c>
      <c r="C17" s="5" t="s">
        <v>4</v>
      </c>
      <c r="D17" s="35" t="s">
        <v>63</v>
      </c>
      <c r="E17" s="35" t="s">
        <v>39</v>
      </c>
      <c r="F17" s="35" t="s">
        <v>30</v>
      </c>
      <c r="G17" s="35" t="s">
        <v>33</v>
      </c>
      <c r="H17" s="35" t="s">
        <v>34</v>
      </c>
      <c r="I17" s="35" t="s">
        <v>35</v>
      </c>
      <c r="J17" s="35" t="s">
        <v>36</v>
      </c>
      <c r="K17" s="35" t="s">
        <v>40</v>
      </c>
      <c r="L17" s="52" t="s">
        <v>41</v>
      </c>
      <c r="M17" s="52" t="s">
        <v>42</v>
      </c>
      <c r="N17" s="35" t="s">
        <v>43</v>
      </c>
      <c r="O17" s="35" t="s">
        <v>37</v>
      </c>
      <c r="P17" s="35" t="s">
        <v>44</v>
      </c>
      <c r="Q17" s="35" t="s">
        <v>45</v>
      </c>
      <c r="R17" s="35" t="s">
        <v>46</v>
      </c>
      <c r="S17" s="35" t="s">
        <v>47</v>
      </c>
      <c r="T17" s="35" t="s">
        <v>48</v>
      </c>
      <c r="U17" s="52" t="s">
        <v>49</v>
      </c>
      <c r="V17" s="52" t="s">
        <v>50</v>
      </c>
      <c r="W17" s="35" t="s">
        <v>64</v>
      </c>
      <c r="X17" s="35" t="s">
        <v>65</v>
      </c>
      <c r="Y17" s="35" t="s">
        <v>66</v>
      </c>
      <c r="Z17" s="35" t="s">
        <v>67</v>
      </c>
      <c r="AA17" s="52" t="s">
        <v>60</v>
      </c>
      <c r="AB17" s="52" t="s">
        <v>68</v>
      </c>
      <c r="AC17" s="35" t="s">
        <v>69</v>
      </c>
      <c r="AD17" s="53" t="s">
        <v>70</v>
      </c>
      <c r="AE17" s="35" t="s">
        <v>71</v>
      </c>
      <c r="AF17" s="35" t="s">
        <v>72</v>
      </c>
      <c r="AG17" s="35" t="s">
        <v>73</v>
      </c>
      <c r="AH17" s="52" t="s">
        <v>51</v>
      </c>
      <c r="AI17" s="69" t="s">
        <v>74</v>
      </c>
    </row>
    <row r="18" spans="1:35" s="12" customFormat="1" ht="27">
      <c r="A18" s="10">
        <v>0</v>
      </c>
      <c r="B18" s="11">
        <v>1</v>
      </c>
      <c r="C18" s="11">
        <v>2</v>
      </c>
      <c r="D18" s="29" t="s">
        <v>75</v>
      </c>
      <c r="E18" s="29" t="s">
        <v>52</v>
      </c>
      <c r="F18" s="29">
        <v>5</v>
      </c>
      <c r="G18" s="29">
        <v>6</v>
      </c>
      <c r="H18" s="29">
        <v>7</v>
      </c>
      <c r="I18" s="29">
        <v>8</v>
      </c>
      <c r="J18" s="29">
        <v>9</v>
      </c>
      <c r="K18" s="29">
        <v>10</v>
      </c>
      <c r="L18" s="54" t="s">
        <v>53</v>
      </c>
      <c r="M18" s="54" t="s">
        <v>54</v>
      </c>
      <c r="N18" s="29" t="s">
        <v>55</v>
      </c>
      <c r="O18" s="29">
        <v>14</v>
      </c>
      <c r="P18" s="29">
        <v>15</v>
      </c>
      <c r="Q18" s="29">
        <v>16</v>
      </c>
      <c r="R18" s="29">
        <v>17</v>
      </c>
      <c r="S18" s="29">
        <v>18</v>
      </c>
      <c r="T18" s="29">
        <v>19</v>
      </c>
      <c r="U18" s="54" t="s">
        <v>56</v>
      </c>
      <c r="V18" s="54" t="s">
        <v>57</v>
      </c>
      <c r="W18" s="29">
        <v>22</v>
      </c>
      <c r="X18" s="29">
        <v>23</v>
      </c>
      <c r="Y18" s="29">
        <v>24</v>
      </c>
      <c r="Z18" s="29">
        <v>25</v>
      </c>
      <c r="AA18" s="54" t="s">
        <v>76</v>
      </c>
      <c r="AB18" s="54" t="s">
        <v>77</v>
      </c>
      <c r="AC18" s="29">
        <v>28</v>
      </c>
      <c r="AD18" s="29">
        <v>29</v>
      </c>
      <c r="AE18" s="29" t="s">
        <v>78</v>
      </c>
      <c r="AF18" s="29">
        <v>31</v>
      </c>
      <c r="AG18" s="29" t="s">
        <v>79</v>
      </c>
      <c r="AH18" s="54" t="s">
        <v>80</v>
      </c>
      <c r="AI18" s="47" t="s">
        <v>81</v>
      </c>
    </row>
    <row r="19" spans="1:35" s="6" customFormat="1" ht="17.25" customHeight="1">
      <c r="A19" s="59">
        <v>1</v>
      </c>
      <c r="B19" s="60" t="s">
        <v>10</v>
      </c>
      <c r="C19" s="14" t="s">
        <v>6</v>
      </c>
      <c r="D19" s="41">
        <f>ROUND(E19+N19+W19+AC19,2)</f>
        <v>1930000</v>
      </c>
      <c r="E19" s="41">
        <f>ROUND(F19+H19+J19,2)</f>
        <v>330000</v>
      </c>
      <c r="F19" s="41">
        <v>165000</v>
      </c>
      <c r="G19" s="41">
        <v>11766.12</v>
      </c>
      <c r="H19" s="41">
        <v>0</v>
      </c>
      <c r="I19" s="41">
        <v>114370.39</v>
      </c>
      <c r="J19" s="41">
        <v>165000</v>
      </c>
      <c r="K19" s="41">
        <v>194577.81</v>
      </c>
      <c r="L19" s="41">
        <f>ROUND(G19+I19+K19,2)</f>
        <v>320714.32</v>
      </c>
      <c r="M19" s="41">
        <f>ROUND(E19-L19,2)</f>
        <v>9285.68</v>
      </c>
      <c r="N19" s="41">
        <f>ROUND(O19+Q19+S19,2)</f>
        <v>900000</v>
      </c>
      <c r="O19" s="41">
        <v>200000</v>
      </c>
      <c r="P19" s="41">
        <v>249910.7</v>
      </c>
      <c r="Q19" s="41">
        <v>200000</v>
      </c>
      <c r="R19" s="41">
        <v>144474.15</v>
      </c>
      <c r="S19" s="41">
        <v>500000</v>
      </c>
      <c r="T19" s="41">
        <v>163869.61</v>
      </c>
      <c r="U19" s="41">
        <f>ROUND(P19+R19+T19,2)</f>
        <v>558254.46</v>
      </c>
      <c r="V19" s="41">
        <f>ROUND(M19+N19-U19,2)</f>
        <v>351031.22</v>
      </c>
      <c r="W19" s="41">
        <f>550000-127070.84+53219.13</f>
        <v>476148.29000000004</v>
      </c>
      <c r="X19" s="41">
        <v>429567.87</v>
      </c>
      <c r="Y19" s="41">
        <v>24392.71</v>
      </c>
      <c r="Z19" s="41">
        <v>373218.93</v>
      </c>
      <c r="AA19" s="38">
        <f>ROUND(X19+Y19+Z19,2)</f>
        <v>827179.51</v>
      </c>
      <c r="AB19" s="38">
        <f>ROUND(V19+W19-AA19,2)</f>
        <v>0</v>
      </c>
      <c r="AC19" s="41">
        <f>127070.84+96780.87</f>
        <v>223851.71</v>
      </c>
      <c r="AD19" s="41">
        <f>170000+254870</f>
        <v>424870</v>
      </c>
      <c r="AE19" s="41">
        <f>ROUND(AB19+AC19+AD19,2)</f>
        <v>648721.71</v>
      </c>
      <c r="AF19" s="41">
        <v>141932.35</v>
      </c>
      <c r="AG19" s="41">
        <f>ROUND(AE19-AF19,2)</f>
        <v>506789.36</v>
      </c>
      <c r="AH19" s="38">
        <f>ROUND(L19+U19+AA19+AE19,2)</f>
        <v>2354870</v>
      </c>
      <c r="AI19" s="48">
        <f>ROUND(AH19-D19,2)</f>
        <v>424870</v>
      </c>
    </row>
    <row r="20" spans="1:35" s="6" customFormat="1" ht="12.75">
      <c r="A20" s="59"/>
      <c r="B20" s="60"/>
      <c r="C20" s="8" t="s">
        <v>7</v>
      </c>
      <c r="D20" s="41">
        <f>ROUND(E20+N20+W20+AC20,2)</f>
        <v>350000</v>
      </c>
      <c r="E20" s="41">
        <f>ROUND(F20+H20+J20,2)</f>
        <v>0</v>
      </c>
      <c r="F20" s="41">
        <v>0</v>
      </c>
      <c r="G20" s="41">
        <v>0</v>
      </c>
      <c r="H20" s="41">
        <v>0</v>
      </c>
      <c r="I20" s="41">
        <v>0</v>
      </c>
      <c r="J20" s="41">
        <v>0</v>
      </c>
      <c r="K20" s="41">
        <v>0</v>
      </c>
      <c r="L20" s="41">
        <f>ROUND(G20+I20+K20,2)</f>
        <v>0</v>
      </c>
      <c r="M20" s="41">
        <f>ROUND(E20-L20,2)</f>
        <v>0</v>
      </c>
      <c r="N20" s="41">
        <f>ROUND(O20+Q20+S20,2)</f>
        <v>79961.84</v>
      </c>
      <c r="O20" s="41">
        <v>0</v>
      </c>
      <c r="P20" s="41">
        <v>0</v>
      </c>
      <c r="Q20" s="41">
        <v>0</v>
      </c>
      <c r="R20" s="41">
        <v>0</v>
      </c>
      <c r="S20" s="41">
        <f>250000-170038.16</f>
        <v>79961.84</v>
      </c>
      <c r="T20" s="41">
        <v>0</v>
      </c>
      <c r="U20" s="41">
        <f>ROUND(P20+R20+T20,2)</f>
        <v>0</v>
      </c>
      <c r="V20" s="41">
        <f>ROUND(M20+N20-U20,2)</f>
        <v>79961.84</v>
      </c>
      <c r="W20" s="41">
        <f>250000-250000</f>
        <v>0</v>
      </c>
      <c r="X20" s="41">
        <v>72367.35</v>
      </c>
      <c r="Y20" s="41">
        <v>2694.49</v>
      </c>
      <c r="Z20" s="41">
        <v>4786.76</v>
      </c>
      <c r="AA20" s="38">
        <f>ROUND(X20+Y20+Z20,2)</f>
        <v>79848.6</v>
      </c>
      <c r="AB20" s="38">
        <f>ROUND(V20+W20-AA20,2)</f>
        <v>113.24</v>
      </c>
      <c r="AC20" s="41">
        <f>420038.16-150000</f>
        <v>270038.16</v>
      </c>
      <c r="AD20" s="41">
        <v>-170000</v>
      </c>
      <c r="AE20" s="41">
        <f>ROUND(AB20+AC20+AD20,2)</f>
        <v>100151.4</v>
      </c>
      <c r="AF20" s="41">
        <v>17635.78</v>
      </c>
      <c r="AG20" s="41">
        <f>ROUND(AE20-AF20,2)</f>
        <v>82515.62</v>
      </c>
      <c r="AH20" s="38">
        <f>ROUND(L20+U20+AA20+AE20,2)</f>
        <v>180000</v>
      </c>
      <c r="AI20" s="48">
        <f>ROUND(AH20-D20,2)</f>
        <v>-170000</v>
      </c>
    </row>
    <row r="21" spans="1:35" s="6" customFormat="1" ht="12.75">
      <c r="A21" s="19"/>
      <c r="B21" s="20" t="s">
        <v>11</v>
      </c>
      <c r="C21" s="21"/>
      <c r="D21" s="38">
        <f aca="true" t="shared" si="5" ref="D21:AE21">SUM(D19:D20)</f>
        <v>2280000</v>
      </c>
      <c r="E21" s="38">
        <f t="shared" si="5"/>
        <v>330000</v>
      </c>
      <c r="F21" s="38">
        <f t="shared" si="5"/>
        <v>165000</v>
      </c>
      <c r="G21" s="38">
        <f t="shared" si="5"/>
        <v>11766.12</v>
      </c>
      <c r="H21" s="38">
        <f t="shared" si="5"/>
        <v>0</v>
      </c>
      <c r="I21" s="38">
        <f t="shared" si="5"/>
        <v>114370.39</v>
      </c>
      <c r="J21" s="38">
        <f t="shared" si="5"/>
        <v>165000</v>
      </c>
      <c r="K21" s="38">
        <f t="shared" si="5"/>
        <v>194577.81</v>
      </c>
      <c r="L21" s="38">
        <f t="shared" si="5"/>
        <v>320714.32</v>
      </c>
      <c r="M21" s="38">
        <f t="shared" si="5"/>
        <v>9285.68</v>
      </c>
      <c r="N21" s="38">
        <f t="shared" si="5"/>
        <v>979961.84</v>
      </c>
      <c r="O21" s="38">
        <f t="shared" si="5"/>
        <v>200000</v>
      </c>
      <c r="P21" s="38">
        <f t="shared" si="5"/>
        <v>249910.7</v>
      </c>
      <c r="Q21" s="38">
        <f t="shared" si="5"/>
        <v>200000</v>
      </c>
      <c r="R21" s="38">
        <f t="shared" si="5"/>
        <v>144474.15</v>
      </c>
      <c r="S21" s="41">
        <f t="shared" si="5"/>
        <v>579961.84</v>
      </c>
      <c r="T21" s="38">
        <f t="shared" si="5"/>
        <v>163869.61</v>
      </c>
      <c r="U21" s="38">
        <f t="shared" si="5"/>
        <v>558254.46</v>
      </c>
      <c r="V21" s="38">
        <f t="shared" si="5"/>
        <v>430993.05999999994</v>
      </c>
      <c r="W21" s="38">
        <f t="shared" si="5"/>
        <v>476148.29000000004</v>
      </c>
      <c r="X21" s="38">
        <f t="shared" si="5"/>
        <v>501935.22</v>
      </c>
      <c r="Y21" s="38">
        <f t="shared" si="5"/>
        <v>27087.199999999997</v>
      </c>
      <c r="Z21" s="38">
        <f t="shared" si="5"/>
        <v>378005.69</v>
      </c>
      <c r="AA21" s="38">
        <f>SUM(AA19:AA20)</f>
        <v>907028.11</v>
      </c>
      <c r="AB21" s="38">
        <f>SUM(AB19:AB20)</f>
        <v>113.24</v>
      </c>
      <c r="AC21" s="38">
        <f t="shared" si="5"/>
        <v>493889.87</v>
      </c>
      <c r="AD21" s="38">
        <f t="shared" si="5"/>
        <v>254870</v>
      </c>
      <c r="AE21" s="38">
        <f t="shared" si="5"/>
        <v>748873.11</v>
      </c>
      <c r="AF21" s="38">
        <f>SUM(AF19:AF20)</f>
        <v>159568.13</v>
      </c>
      <c r="AG21" s="38">
        <f>SUM(AG19:AG20)</f>
        <v>589304.98</v>
      </c>
      <c r="AH21" s="38">
        <f>SUM(AH19:AH20)</f>
        <v>2534870</v>
      </c>
      <c r="AI21" s="36">
        <f>SUM(AI19:AI20)</f>
        <v>254870</v>
      </c>
    </row>
    <row r="22" spans="1:36" s="15" customFormat="1" ht="12.75">
      <c r="A22" s="67">
        <v>2</v>
      </c>
      <c r="B22" s="58" t="s">
        <v>28</v>
      </c>
      <c r="C22" s="8" t="s">
        <v>7</v>
      </c>
      <c r="D22" s="41">
        <f>ROUND(E22+N22+W22+AC22,2)</f>
        <v>360480</v>
      </c>
      <c r="E22" s="41">
        <f>ROUND(F22+H22+J22,2)</f>
        <v>0</v>
      </c>
      <c r="F22" s="41">
        <v>0</v>
      </c>
      <c r="G22" s="41">
        <v>0</v>
      </c>
      <c r="H22" s="41">
        <v>0</v>
      </c>
      <c r="I22" s="41">
        <v>0</v>
      </c>
      <c r="J22" s="41">
        <v>0</v>
      </c>
      <c r="K22" s="41">
        <v>0</v>
      </c>
      <c r="L22" s="41">
        <f>ROUND(G22+I22+K22,2)</f>
        <v>0</v>
      </c>
      <c r="M22" s="41">
        <f>ROUND(E22-L22,2)</f>
        <v>0</v>
      </c>
      <c r="N22" s="41">
        <f>ROUND(O22+Q22+S22,2)</f>
        <v>52676.56</v>
      </c>
      <c r="O22" s="41">
        <v>0</v>
      </c>
      <c r="P22" s="41">
        <v>0</v>
      </c>
      <c r="Q22" s="41">
        <v>0</v>
      </c>
      <c r="R22" s="41">
        <v>0</v>
      </c>
      <c r="S22" s="41">
        <f>55240-2563.44</f>
        <v>52676.56</v>
      </c>
      <c r="T22" s="41">
        <v>0</v>
      </c>
      <c r="U22" s="41">
        <f>ROUND(P22+R22+T22,2)</f>
        <v>0</v>
      </c>
      <c r="V22" s="41">
        <f>ROUND(M22+N22-U22,2)</f>
        <v>52676.56</v>
      </c>
      <c r="W22" s="41">
        <f>305240-305240</f>
        <v>0</v>
      </c>
      <c r="X22" s="41">
        <v>52676.56</v>
      </c>
      <c r="Y22" s="41">
        <v>0</v>
      </c>
      <c r="Z22" s="41">
        <v>0</v>
      </c>
      <c r="AA22" s="38">
        <f>ROUND(X22+Y22+Z22,2)</f>
        <v>52676.56</v>
      </c>
      <c r="AB22" s="38">
        <f>ROUND(V22+W22-AA22,2)</f>
        <v>0</v>
      </c>
      <c r="AC22" s="41">
        <v>307803.44</v>
      </c>
      <c r="AD22" s="41">
        <v>-50000</v>
      </c>
      <c r="AE22" s="41">
        <f>ROUND(AB22+AC22+AD22,2)</f>
        <v>257803.44</v>
      </c>
      <c r="AF22" s="41">
        <v>76100.49</v>
      </c>
      <c r="AG22" s="41">
        <f>ROUND(AE22-AF22,2)</f>
        <v>181702.95</v>
      </c>
      <c r="AH22" s="38">
        <f>ROUND(L22+U22+AA22+AE22,2)</f>
        <v>310480</v>
      </c>
      <c r="AI22" s="48">
        <f>ROUND(AH22-D22,2)</f>
        <v>-50000</v>
      </c>
      <c r="AJ22" s="80"/>
    </row>
    <row r="23" spans="1:36" s="6" customFormat="1" ht="12.75">
      <c r="A23" s="67"/>
      <c r="B23" s="58"/>
      <c r="C23" s="14" t="s">
        <v>6</v>
      </c>
      <c r="D23" s="41">
        <f>ROUND(E23+N23+W23+AC23,2)</f>
        <v>3067620</v>
      </c>
      <c r="E23" s="41">
        <f>ROUND(F23+H23+J23,2)</f>
        <v>495150</v>
      </c>
      <c r="F23" s="41">
        <v>165000</v>
      </c>
      <c r="G23" s="41">
        <v>0</v>
      </c>
      <c r="H23" s="41">
        <v>165000</v>
      </c>
      <c r="I23" s="41">
        <v>67473.31</v>
      </c>
      <c r="J23" s="41">
        <v>165150</v>
      </c>
      <c r="K23" s="41">
        <v>162599.6</v>
      </c>
      <c r="L23" s="41">
        <f>ROUND(G23+I23+K23,2)</f>
        <v>230072.91</v>
      </c>
      <c r="M23" s="41">
        <f>ROUND(E23-L23,2)</f>
        <v>265077.09</v>
      </c>
      <c r="N23" s="41">
        <f>ROUND(O23+Q23+S23,2)</f>
        <v>525580</v>
      </c>
      <c r="O23" s="41">
        <v>183720</v>
      </c>
      <c r="P23" s="41">
        <v>135646.31</v>
      </c>
      <c r="Q23" s="41">
        <v>100000</v>
      </c>
      <c r="R23" s="41">
        <v>334223.24</v>
      </c>
      <c r="S23" s="41">
        <v>241860</v>
      </c>
      <c r="T23" s="41">
        <v>243034.94</v>
      </c>
      <c r="U23" s="41">
        <f>ROUND(P23+R23+T23,2)</f>
        <v>712904.49</v>
      </c>
      <c r="V23" s="41">
        <f>ROUND(M23+N23-U23,2)</f>
        <v>77752.6</v>
      </c>
      <c r="W23" s="41">
        <f>1400000-379813.56</f>
        <v>1020186.44</v>
      </c>
      <c r="X23" s="41">
        <v>315988.02</v>
      </c>
      <c r="Y23" s="41">
        <v>366948.01</v>
      </c>
      <c r="Z23" s="41">
        <v>381474.35</v>
      </c>
      <c r="AA23" s="38">
        <f>ROUND(X23+Y23+Z23,2)</f>
        <v>1064410.38</v>
      </c>
      <c r="AB23" s="38">
        <f>ROUND(V23+W23-AA23,2)</f>
        <v>33528.66</v>
      </c>
      <c r="AC23" s="41">
        <v>1026703.56</v>
      </c>
      <c r="AD23" s="41">
        <f>50000+58480+91520</f>
        <v>200000</v>
      </c>
      <c r="AE23" s="41">
        <f>ROUND(AB23+AC23+AD23,2)</f>
        <v>1260232.22</v>
      </c>
      <c r="AF23" s="41">
        <v>596123.06</v>
      </c>
      <c r="AG23" s="41">
        <f>ROUND(AE23-AF23,2)</f>
        <v>664109.16</v>
      </c>
      <c r="AH23" s="38">
        <f>ROUND(L23+U23+AA23+AE23,2)</f>
        <v>3267620</v>
      </c>
      <c r="AI23" s="48">
        <f>ROUND(AH23-D23,2)</f>
        <v>200000</v>
      </c>
      <c r="AJ23" s="39"/>
    </row>
    <row r="24" spans="1:36" s="6" customFormat="1" ht="12.75">
      <c r="A24" s="19"/>
      <c r="B24" s="20" t="s">
        <v>12</v>
      </c>
      <c r="C24" s="21"/>
      <c r="D24" s="38">
        <f aca="true" t="shared" si="6" ref="D24:AI24">SUM(D22:D23)</f>
        <v>3428100</v>
      </c>
      <c r="E24" s="38">
        <f t="shared" si="6"/>
        <v>495150</v>
      </c>
      <c r="F24" s="38">
        <f t="shared" si="6"/>
        <v>165000</v>
      </c>
      <c r="G24" s="38">
        <f t="shared" si="6"/>
        <v>0</v>
      </c>
      <c r="H24" s="38">
        <f t="shared" si="6"/>
        <v>165000</v>
      </c>
      <c r="I24" s="38">
        <f t="shared" si="6"/>
        <v>67473.31</v>
      </c>
      <c r="J24" s="38">
        <f t="shared" si="6"/>
        <v>165150</v>
      </c>
      <c r="K24" s="38">
        <f t="shared" si="6"/>
        <v>162599.6</v>
      </c>
      <c r="L24" s="38">
        <f t="shared" si="6"/>
        <v>230072.91</v>
      </c>
      <c r="M24" s="38">
        <f t="shared" si="6"/>
        <v>265077.09</v>
      </c>
      <c r="N24" s="38">
        <f t="shared" si="6"/>
        <v>578256.56</v>
      </c>
      <c r="O24" s="38">
        <f t="shared" si="6"/>
        <v>183720</v>
      </c>
      <c r="P24" s="38">
        <f t="shared" si="6"/>
        <v>135646.31</v>
      </c>
      <c r="Q24" s="38">
        <f t="shared" si="6"/>
        <v>100000</v>
      </c>
      <c r="R24" s="38">
        <f t="shared" si="6"/>
        <v>334223.24</v>
      </c>
      <c r="S24" s="38">
        <f t="shared" si="6"/>
        <v>294536.56</v>
      </c>
      <c r="T24" s="38">
        <f t="shared" si="6"/>
        <v>243034.94</v>
      </c>
      <c r="U24" s="38">
        <f t="shared" si="6"/>
        <v>712904.49</v>
      </c>
      <c r="V24" s="38">
        <f t="shared" si="6"/>
        <v>130429.16</v>
      </c>
      <c r="W24" s="38">
        <f t="shared" si="6"/>
        <v>1020186.44</v>
      </c>
      <c r="X24" s="38">
        <f t="shared" si="6"/>
        <v>368664.58</v>
      </c>
      <c r="Y24" s="38">
        <f t="shared" si="6"/>
        <v>366948.01</v>
      </c>
      <c r="Z24" s="38">
        <f t="shared" si="6"/>
        <v>381474.35</v>
      </c>
      <c r="AA24" s="38">
        <f t="shared" si="6"/>
        <v>1117086.94</v>
      </c>
      <c r="AB24" s="38">
        <f t="shared" si="6"/>
        <v>33528.66</v>
      </c>
      <c r="AC24" s="38">
        <f t="shared" si="6"/>
        <v>1334507</v>
      </c>
      <c r="AD24" s="38">
        <f t="shared" si="6"/>
        <v>150000</v>
      </c>
      <c r="AE24" s="38">
        <f t="shared" si="6"/>
        <v>1518035.66</v>
      </c>
      <c r="AF24" s="38">
        <f t="shared" si="6"/>
        <v>672223.55</v>
      </c>
      <c r="AG24" s="38">
        <f t="shared" si="6"/>
        <v>845812.1100000001</v>
      </c>
      <c r="AH24" s="38">
        <f t="shared" si="6"/>
        <v>3578100</v>
      </c>
      <c r="AI24" s="36">
        <f t="shared" si="6"/>
        <v>150000</v>
      </c>
      <c r="AJ24" s="39"/>
    </row>
    <row r="25" spans="1:35" s="6" customFormat="1" ht="38.25">
      <c r="A25" s="59">
        <v>3</v>
      </c>
      <c r="B25" s="60" t="s">
        <v>13</v>
      </c>
      <c r="C25" s="16" t="s">
        <v>14</v>
      </c>
      <c r="D25" s="41">
        <f>ROUND(E25+N25+W25+AC25,2)</f>
        <v>113330</v>
      </c>
      <c r="E25" s="41">
        <f>ROUND(F25+H25+J25,2)</f>
        <v>21060</v>
      </c>
      <c r="F25" s="41">
        <v>0</v>
      </c>
      <c r="G25" s="41">
        <v>0</v>
      </c>
      <c r="H25" s="41">
        <v>0</v>
      </c>
      <c r="I25" s="41">
        <v>0</v>
      </c>
      <c r="J25" s="41">
        <v>21060</v>
      </c>
      <c r="K25" s="41">
        <v>17003.89</v>
      </c>
      <c r="L25" s="41">
        <f>ROUND(G25+I25+K25,2)</f>
        <v>17003.89</v>
      </c>
      <c r="M25" s="41">
        <f>ROUND(E25-L25,2)</f>
        <v>4056.11</v>
      </c>
      <c r="N25" s="41">
        <f>ROUND(O25+Q25+S25,2)</f>
        <v>9000</v>
      </c>
      <c r="O25" s="41">
        <v>0</v>
      </c>
      <c r="P25" s="41">
        <v>0</v>
      </c>
      <c r="Q25" s="41">
        <v>0</v>
      </c>
      <c r="R25" s="41">
        <v>4053.49</v>
      </c>
      <c r="S25" s="41">
        <v>9000</v>
      </c>
      <c r="T25" s="41">
        <v>8106.98</v>
      </c>
      <c r="U25" s="41">
        <f>ROUND(P25+R25+T25,2)</f>
        <v>12160.47</v>
      </c>
      <c r="V25" s="41">
        <f>ROUND(M25+N25-U25,2)</f>
        <v>895.64</v>
      </c>
      <c r="W25" s="41">
        <v>80507.95</v>
      </c>
      <c r="X25" s="41">
        <v>25537</v>
      </c>
      <c r="Y25" s="41">
        <v>55866.59</v>
      </c>
      <c r="Z25" s="41">
        <v>0</v>
      </c>
      <c r="AA25" s="38">
        <f>ROUND(X25+Y25+Z25,2)</f>
        <v>81403.59</v>
      </c>
      <c r="AB25" s="38">
        <f>ROUND(V25+W25-AA25,2)</f>
        <v>0</v>
      </c>
      <c r="AC25" s="41">
        <v>2762.05</v>
      </c>
      <c r="AD25" s="41">
        <v>0</v>
      </c>
      <c r="AE25" s="41">
        <f>ROUND(AB25+AC25+AD25,2)</f>
        <v>2762.05</v>
      </c>
      <c r="AF25" s="41">
        <v>0</v>
      </c>
      <c r="AG25" s="41">
        <f>ROUND(AE25-AF25,2)</f>
        <v>2762.05</v>
      </c>
      <c r="AH25" s="38">
        <f>ROUND(L25+U25+AA25+AE25,2)</f>
        <v>113330</v>
      </c>
      <c r="AI25" s="48">
        <f>ROUND(AH25-D25,2)</f>
        <v>0</v>
      </c>
    </row>
    <row r="26" spans="1:35" s="6" customFormat="1" ht="25.5">
      <c r="A26" s="59"/>
      <c r="B26" s="60"/>
      <c r="C26" s="16" t="s">
        <v>15</v>
      </c>
      <c r="D26" s="41">
        <f>ROUND(E26+N26+W26+AC26,2)</f>
        <v>874460</v>
      </c>
      <c r="E26" s="41">
        <f>ROUND(F26+H26+J26,2)</f>
        <v>207000</v>
      </c>
      <c r="F26" s="41">
        <v>69000</v>
      </c>
      <c r="G26" s="41">
        <v>0</v>
      </c>
      <c r="H26" s="41">
        <v>69000</v>
      </c>
      <c r="I26" s="41">
        <v>65758.94</v>
      </c>
      <c r="J26" s="41">
        <v>69000</v>
      </c>
      <c r="K26" s="41">
        <v>140402.89</v>
      </c>
      <c r="L26" s="41">
        <f>ROUND(G26+I26+K26,2)</f>
        <v>206161.83</v>
      </c>
      <c r="M26" s="41">
        <f>ROUND(E26-L26,2)</f>
        <v>838.17</v>
      </c>
      <c r="N26" s="41">
        <f>ROUND(O26+Q26+S26,2)</f>
        <v>252000</v>
      </c>
      <c r="O26" s="41">
        <v>84000</v>
      </c>
      <c r="P26" s="41">
        <v>71224.73</v>
      </c>
      <c r="Q26" s="41">
        <v>84000</v>
      </c>
      <c r="R26" s="41">
        <v>77439.36</v>
      </c>
      <c r="S26" s="41">
        <v>84000</v>
      </c>
      <c r="T26" s="41">
        <v>14204.88</v>
      </c>
      <c r="U26" s="41">
        <f>ROUND(P26+R26+T26,2)</f>
        <v>162868.97</v>
      </c>
      <c r="V26" s="41">
        <f>ROUND(M26+N26-U26,2)</f>
        <v>89969.2</v>
      </c>
      <c r="W26" s="41">
        <f>246492.05-96000</f>
        <v>150492.05</v>
      </c>
      <c r="X26" s="41">
        <v>63234.48</v>
      </c>
      <c r="Y26" s="41">
        <v>81263.67</v>
      </c>
      <c r="Z26" s="41">
        <v>95742.43</v>
      </c>
      <c r="AA26" s="38">
        <f>ROUND(X26+Y26+Z26,2)</f>
        <v>240240.58</v>
      </c>
      <c r="AB26" s="38">
        <f>ROUND(V26+W26-AA26,2)</f>
        <v>220.67</v>
      </c>
      <c r="AC26" s="41">
        <v>264967.95</v>
      </c>
      <c r="AD26" s="41">
        <v>0</v>
      </c>
      <c r="AE26" s="41">
        <f>ROUND(AB26+AC26+AD26,2)</f>
        <v>265188.62</v>
      </c>
      <c r="AF26" s="41">
        <v>36079.35</v>
      </c>
      <c r="AG26" s="41">
        <f>ROUND(AE26-AF26,2)</f>
        <v>229109.27</v>
      </c>
      <c r="AH26" s="38">
        <f>ROUND(L26+U26+AA26+AE26,2)</f>
        <v>874460</v>
      </c>
      <c r="AI26" s="48">
        <f>ROUND(AH26-D26,2)</f>
        <v>0</v>
      </c>
    </row>
    <row r="27" spans="1:35" s="6" customFormat="1" ht="25.5">
      <c r="A27" s="59"/>
      <c r="B27" s="60"/>
      <c r="C27" s="16" t="s">
        <v>61</v>
      </c>
      <c r="D27" s="41">
        <f>ROUND(E27+N27+W27+AC27,2)</f>
        <v>222400</v>
      </c>
      <c r="E27" s="41">
        <f>ROUND(F27+H27+J27,2)</f>
        <v>0</v>
      </c>
      <c r="F27" s="41">
        <v>0</v>
      </c>
      <c r="G27" s="41">
        <v>0</v>
      </c>
      <c r="H27" s="41">
        <v>0</v>
      </c>
      <c r="I27" s="41">
        <v>0</v>
      </c>
      <c r="J27" s="41">
        <v>0</v>
      </c>
      <c r="K27" s="41">
        <v>0</v>
      </c>
      <c r="L27" s="41">
        <f>ROUND(G27+I27+K27,2)</f>
        <v>0</v>
      </c>
      <c r="M27" s="41">
        <f>ROUND(E27-L27,2)</f>
        <v>0</v>
      </c>
      <c r="N27" s="41">
        <f>ROUND(O27+Q27+S27,2)</f>
        <v>92600</v>
      </c>
      <c r="O27" s="41">
        <v>0</v>
      </c>
      <c r="P27" s="41">
        <v>0</v>
      </c>
      <c r="Q27" s="41">
        <v>0</v>
      </c>
      <c r="R27" s="41">
        <v>0</v>
      </c>
      <c r="S27" s="41">
        <f>100000-7400</f>
        <v>92600</v>
      </c>
      <c r="T27" s="41">
        <v>19456.76</v>
      </c>
      <c r="U27" s="41">
        <f>ROUND(P27+R27+T27,2)</f>
        <v>19456.76</v>
      </c>
      <c r="V27" s="41">
        <f>ROUND(M27+N27-U27,2)</f>
        <v>73143.24</v>
      </c>
      <c r="W27" s="41">
        <v>5889.4</v>
      </c>
      <c r="X27" s="41">
        <v>24320.95</v>
      </c>
      <c r="Y27" s="41">
        <v>24377.52</v>
      </c>
      <c r="Z27" s="41">
        <v>30334.17</v>
      </c>
      <c r="AA27" s="38">
        <f>ROUND(X27+Y27+Z27,2)</f>
        <v>79032.64</v>
      </c>
      <c r="AB27" s="38">
        <f>ROUND(V27+W27-AA27,2)</f>
        <v>0</v>
      </c>
      <c r="AC27" s="41">
        <f>129800-5889.4</f>
        <v>123910.6</v>
      </c>
      <c r="AD27" s="41">
        <v>0</v>
      </c>
      <c r="AE27" s="41">
        <f>ROUND(AB27+AC27+AD27,2)</f>
        <v>123910.6</v>
      </c>
      <c r="AF27" s="41">
        <v>0</v>
      </c>
      <c r="AG27" s="41">
        <f>ROUND(AE27-AF27,2)</f>
        <v>123910.6</v>
      </c>
      <c r="AH27" s="38">
        <f>ROUND(L27+U27+AA27+AE27,2)</f>
        <v>222400</v>
      </c>
      <c r="AI27" s="48">
        <f>ROUND(AH27-D27,2)</f>
        <v>0</v>
      </c>
    </row>
    <row r="28" spans="1:35" s="6" customFormat="1" ht="25.5">
      <c r="A28" s="59"/>
      <c r="B28" s="60"/>
      <c r="C28" s="16" t="s">
        <v>16</v>
      </c>
      <c r="D28" s="41">
        <f>ROUND(E28+N28+W28+AC28,2)</f>
        <v>774100</v>
      </c>
      <c r="E28" s="41">
        <f>ROUND(F28+H28+J28,2)</f>
        <v>147000</v>
      </c>
      <c r="F28" s="41">
        <v>49000</v>
      </c>
      <c r="G28" s="41">
        <v>47940.49</v>
      </c>
      <c r="H28" s="41">
        <v>49000</v>
      </c>
      <c r="I28" s="41">
        <v>34829.42</v>
      </c>
      <c r="J28" s="41">
        <v>49000</v>
      </c>
      <c r="K28" s="41">
        <v>63887.3</v>
      </c>
      <c r="L28" s="41">
        <f>ROUND(G28+I28+K28,2)</f>
        <v>146657.21</v>
      </c>
      <c r="M28" s="41">
        <f>ROUND(E28-L28,2)</f>
        <v>342.79</v>
      </c>
      <c r="N28" s="41">
        <f>ROUND(O28+Q28+S28,2)</f>
        <v>299000</v>
      </c>
      <c r="O28" s="41">
        <v>56000</v>
      </c>
      <c r="P28" s="41">
        <v>76998.36</v>
      </c>
      <c r="Q28" s="41">
        <v>50000</v>
      </c>
      <c r="R28" s="41">
        <v>81302.01</v>
      </c>
      <c r="S28" s="41">
        <v>193000</v>
      </c>
      <c r="T28" s="41">
        <v>139417.76</v>
      </c>
      <c r="U28" s="41">
        <f>ROUND(P28+R28+T28,2)</f>
        <v>297718.13</v>
      </c>
      <c r="V28" s="41">
        <f>ROUND(M28+N28-U28,2)</f>
        <v>1624.66</v>
      </c>
      <c r="W28" s="41">
        <f>237000-61000-5889.4</f>
        <v>170110.6</v>
      </c>
      <c r="X28" s="41">
        <v>0</v>
      </c>
      <c r="Y28" s="41">
        <v>75530.46</v>
      </c>
      <c r="Z28" s="41">
        <v>5867.69</v>
      </c>
      <c r="AA28" s="38">
        <f>ROUND(X28+Y28+Z28,2)</f>
        <v>81398.15</v>
      </c>
      <c r="AB28" s="38">
        <f>ROUND(V28+W28-AA28,2)</f>
        <v>90337.11</v>
      </c>
      <c r="AC28" s="41">
        <f>152100+5889.4</f>
        <v>157989.4</v>
      </c>
      <c r="AD28" s="41">
        <v>0</v>
      </c>
      <c r="AE28" s="41">
        <f>ROUND(AB28+AC28+AD28,2)</f>
        <v>248326.51</v>
      </c>
      <c r="AF28" s="41">
        <v>95801.84</v>
      </c>
      <c r="AG28" s="41">
        <f>ROUND(AE28-AF28,2)</f>
        <v>152524.67</v>
      </c>
      <c r="AH28" s="38">
        <f>ROUND(L28+U28+AA28+AE28,2)</f>
        <v>774100</v>
      </c>
      <c r="AI28" s="48">
        <f>ROUND(AH28-D28,2)</f>
        <v>0</v>
      </c>
    </row>
    <row r="29" spans="1:35" s="6" customFormat="1" ht="12.75">
      <c r="A29" s="31"/>
      <c r="B29" s="20" t="s">
        <v>17</v>
      </c>
      <c r="C29" s="21"/>
      <c r="D29" s="38">
        <f aca="true" t="shared" si="7" ref="D29:AI29">SUM(D25:D28)</f>
        <v>1984290</v>
      </c>
      <c r="E29" s="38">
        <f t="shared" si="7"/>
        <v>375060</v>
      </c>
      <c r="F29" s="38">
        <f t="shared" si="7"/>
        <v>118000</v>
      </c>
      <c r="G29" s="38">
        <f t="shared" si="7"/>
        <v>47940.49</v>
      </c>
      <c r="H29" s="38">
        <f t="shared" si="7"/>
        <v>118000</v>
      </c>
      <c r="I29" s="38">
        <f t="shared" si="7"/>
        <v>100588.36</v>
      </c>
      <c r="J29" s="38">
        <f t="shared" si="7"/>
        <v>139060</v>
      </c>
      <c r="K29" s="38">
        <f t="shared" si="7"/>
        <v>221294.08000000002</v>
      </c>
      <c r="L29" s="38">
        <f t="shared" si="7"/>
        <v>369822.92999999993</v>
      </c>
      <c r="M29" s="38">
        <f t="shared" si="7"/>
        <v>5237.07</v>
      </c>
      <c r="N29" s="38">
        <f t="shared" si="7"/>
        <v>652600</v>
      </c>
      <c r="O29" s="38">
        <f t="shared" si="7"/>
        <v>140000</v>
      </c>
      <c r="P29" s="38">
        <f t="shared" si="7"/>
        <v>148223.09</v>
      </c>
      <c r="Q29" s="38">
        <f t="shared" si="7"/>
        <v>134000</v>
      </c>
      <c r="R29" s="38">
        <f t="shared" si="7"/>
        <v>162794.86</v>
      </c>
      <c r="S29" s="38">
        <f t="shared" si="7"/>
        <v>378600</v>
      </c>
      <c r="T29" s="38">
        <f t="shared" si="7"/>
        <v>181186.38</v>
      </c>
      <c r="U29" s="38">
        <f t="shared" si="7"/>
        <v>492204.33</v>
      </c>
      <c r="V29" s="38">
        <f t="shared" si="7"/>
        <v>165632.74000000002</v>
      </c>
      <c r="W29" s="38">
        <f t="shared" si="7"/>
        <v>407000</v>
      </c>
      <c r="X29" s="38">
        <f t="shared" si="7"/>
        <v>113092.43000000001</v>
      </c>
      <c r="Y29" s="38">
        <f t="shared" si="7"/>
        <v>237038.24</v>
      </c>
      <c r="Z29" s="38">
        <f t="shared" si="7"/>
        <v>131944.28999999998</v>
      </c>
      <c r="AA29" s="38">
        <f t="shared" si="7"/>
        <v>482074.95999999996</v>
      </c>
      <c r="AB29" s="38">
        <f t="shared" si="7"/>
        <v>90557.78</v>
      </c>
      <c r="AC29" s="38">
        <f t="shared" si="7"/>
        <v>549630</v>
      </c>
      <c r="AD29" s="38">
        <f t="shared" si="7"/>
        <v>0</v>
      </c>
      <c r="AE29" s="38">
        <f t="shared" si="7"/>
        <v>640187.78</v>
      </c>
      <c r="AF29" s="38">
        <f t="shared" si="7"/>
        <v>131881.19</v>
      </c>
      <c r="AG29" s="38">
        <f t="shared" si="7"/>
        <v>508306.58999999997</v>
      </c>
      <c r="AH29" s="38">
        <f t="shared" si="7"/>
        <v>1984290</v>
      </c>
      <c r="AI29" s="36">
        <f t="shared" si="7"/>
        <v>0</v>
      </c>
    </row>
    <row r="30" spans="1:35" s="6" customFormat="1" ht="15" customHeight="1">
      <c r="A30" s="64">
        <v>4</v>
      </c>
      <c r="B30" s="65" t="s">
        <v>18</v>
      </c>
      <c r="C30" s="16" t="s">
        <v>19</v>
      </c>
      <c r="D30" s="41">
        <f>ROUND(E30+N30+W30+AC30,2)</f>
        <v>148030</v>
      </c>
      <c r="E30" s="41">
        <f>ROUND(F30+H30+J30,2)</f>
        <v>36000</v>
      </c>
      <c r="F30" s="41">
        <v>12000</v>
      </c>
      <c r="G30" s="41">
        <v>0</v>
      </c>
      <c r="H30" s="41">
        <v>12000</v>
      </c>
      <c r="I30" s="41">
        <v>23922.32</v>
      </c>
      <c r="J30" s="41">
        <v>12000</v>
      </c>
      <c r="K30" s="41">
        <v>11961.16</v>
      </c>
      <c r="L30" s="41">
        <f>ROUND(G30+I30+K30,2)</f>
        <v>35883.48</v>
      </c>
      <c r="M30" s="41">
        <f>ROUND(E30-L30,2)</f>
        <v>116.52</v>
      </c>
      <c r="N30" s="41">
        <f>ROUND(O30+Q30+S30,2)</f>
        <v>48000</v>
      </c>
      <c r="O30" s="41">
        <v>12000</v>
      </c>
      <c r="P30" s="41">
        <v>12251.38</v>
      </c>
      <c r="Q30" s="41">
        <v>26000</v>
      </c>
      <c r="R30" s="41">
        <v>12251.38</v>
      </c>
      <c r="S30" s="41">
        <v>10000</v>
      </c>
      <c r="T30" s="41">
        <v>8706.7</v>
      </c>
      <c r="U30" s="41">
        <f>ROUND(P30+R30+T30,2)</f>
        <v>33209.46</v>
      </c>
      <c r="V30" s="41">
        <f>ROUND(M30+N30-U30,2)</f>
        <v>14907.06</v>
      </c>
      <c r="W30" s="41">
        <f>30260-10000</f>
        <v>20260</v>
      </c>
      <c r="X30" s="41">
        <v>17413.4</v>
      </c>
      <c r="Y30" s="41">
        <v>8706.7</v>
      </c>
      <c r="Z30" s="41">
        <v>8706.7</v>
      </c>
      <c r="AA30" s="38">
        <f>ROUND(X30+Y30+Z30,2)</f>
        <v>34826.8</v>
      </c>
      <c r="AB30" s="38">
        <f>ROUND(V30+W30-AA30,2)</f>
        <v>340.26</v>
      </c>
      <c r="AC30" s="41">
        <v>43770</v>
      </c>
      <c r="AD30" s="41">
        <v>13060</v>
      </c>
      <c r="AE30" s="41">
        <f>ROUND(AB30+AC30+AD30,2)</f>
        <v>57170.26</v>
      </c>
      <c r="AF30" s="41">
        <v>26120.1</v>
      </c>
      <c r="AG30" s="41">
        <f>ROUND(AE30-AF30,2)</f>
        <v>31050.16</v>
      </c>
      <c r="AH30" s="38">
        <f>ROUND(L30+U30+AA30+AE30,2)</f>
        <v>161090</v>
      </c>
      <c r="AI30" s="48">
        <f>ROUND(AH30-D30,2)</f>
        <v>13060</v>
      </c>
    </row>
    <row r="31" spans="1:35" s="6" customFormat="1" ht="25.5">
      <c r="A31" s="64"/>
      <c r="B31" s="65"/>
      <c r="C31" s="16" t="s">
        <v>20</v>
      </c>
      <c r="D31" s="41">
        <f>ROUND(E31+N31+W31+AC31,2)</f>
        <v>146300</v>
      </c>
      <c r="E31" s="41">
        <f>ROUND(F31+H31+J31,2)</f>
        <v>356000</v>
      </c>
      <c r="F31" s="41">
        <v>178000</v>
      </c>
      <c r="G31" s="41">
        <v>146294.31</v>
      </c>
      <c r="H31" s="41">
        <v>178000</v>
      </c>
      <c r="I31" s="41">
        <v>0</v>
      </c>
      <c r="J31" s="41">
        <v>0</v>
      </c>
      <c r="K31" s="41">
        <v>0</v>
      </c>
      <c r="L31" s="41">
        <f>ROUND(G31+I31+K31,2)</f>
        <v>146294.31</v>
      </c>
      <c r="M31" s="41">
        <f>ROUND(E31-L31,2)</f>
        <v>209705.69</v>
      </c>
      <c r="N31" s="41">
        <f>ROUND(O31+Q31+S31,2)</f>
        <v>0</v>
      </c>
      <c r="O31" s="41">
        <v>0</v>
      </c>
      <c r="P31" s="41">
        <v>0</v>
      </c>
      <c r="Q31" s="41">
        <v>0</v>
      </c>
      <c r="R31" s="41">
        <v>0</v>
      </c>
      <c r="S31" s="41">
        <v>0</v>
      </c>
      <c r="T31" s="41">
        <v>0</v>
      </c>
      <c r="U31" s="41">
        <f>ROUND(P31+R31+T31,2)</f>
        <v>0</v>
      </c>
      <c r="V31" s="41">
        <f>ROUND(M31+N31-U31,2)</f>
        <v>209705.69</v>
      </c>
      <c r="W31" s="41">
        <v>-209700</v>
      </c>
      <c r="X31" s="41">
        <v>0</v>
      </c>
      <c r="Y31" s="41">
        <v>0</v>
      </c>
      <c r="Z31" s="41">
        <v>0</v>
      </c>
      <c r="AA31" s="38">
        <f>ROUND(X31+Y31+Z31,2)</f>
        <v>0</v>
      </c>
      <c r="AB31" s="38">
        <f>ROUND(V31+W31-AA31,2)</f>
        <v>5.69</v>
      </c>
      <c r="AC31" s="41">
        <v>0</v>
      </c>
      <c r="AD31" s="41">
        <v>0</v>
      </c>
      <c r="AE31" s="41">
        <f>ROUND(AB31+AC31+AD31,2)</f>
        <v>5.69</v>
      </c>
      <c r="AF31" s="41">
        <v>0</v>
      </c>
      <c r="AG31" s="41">
        <f>ROUND(AE31-AF31,2)</f>
        <v>5.69</v>
      </c>
      <c r="AH31" s="38">
        <f>ROUND(L31+U31+AA31+AE31,2)</f>
        <v>146300</v>
      </c>
      <c r="AI31" s="48">
        <f>ROUND(AH31-D31,2)</f>
        <v>0</v>
      </c>
    </row>
    <row r="32" spans="1:35" s="6" customFormat="1" ht="25.5">
      <c r="A32" s="64"/>
      <c r="B32" s="65"/>
      <c r="C32" s="16" t="s">
        <v>21</v>
      </c>
      <c r="D32" s="41">
        <f>ROUND(E32+N32+W32+AC32,2)</f>
        <v>0</v>
      </c>
      <c r="E32" s="41">
        <f>ROUND(F32+H32+J32,2)</f>
        <v>0</v>
      </c>
      <c r="F32" s="41">
        <v>0</v>
      </c>
      <c r="G32" s="41">
        <v>0</v>
      </c>
      <c r="H32" s="41">
        <v>0</v>
      </c>
      <c r="I32" s="41">
        <v>0</v>
      </c>
      <c r="J32" s="41">
        <v>0</v>
      </c>
      <c r="K32" s="41">
        <v>0</v>
      </c>
      <c r="L32" s="41">
        <f>ROUND(G32+I32+K32,2)</f>
        <v>0</v>
      </c>
      <c r="M32" s="41">
        <f>ROUND(E32-L32,2)</f>
        <v>0</v>
      </c>
      <c r="N32" s="41">
        <f>ROUND(O32+Q32+S32,2)</f>
        <v>0</v>
      </c>
      <c r="O32" s="41">
        <v>0</v>
      </c>
      <c r="P32" s="41">
        <v>0</v>
      </c>
      <c r="Q32" s="41">
        <v>0</v>
      </c>
      <c r="R32" s="41">
        <v>0</v>
      </c>
      <c r="S32" s="41">
        <v>0</v>
      </c>
      <c r="T32" s="41">
        <v>0</v>
      </c>
      <c r="U32" s="41">
        <f>ROUND(P32+R32+T32,2)</f>
        <v>0</v>
      </c>
      <c r="V32" s="41">
        <f>ROUND(M32+N32-U32,2)</f>
        <v>0</v>
      </c>
      <c r="W32" s="41">
        <v>0</v>
      </c>
      <c r="X32" s="41">
        <v>0</v>
      </c>
      <c r="Y32" s="41">
        <v>0</v>
      </c>
      <c r="Z32" s="41">
        <v>0</v>
      </c>
      <c r="AA32" s="38">
        <f>ROUND(X32+Y32+Z32,2)</f>
        <v>0</v>
      </c>
      <c r="AB32" s="38">
        <f>ROUND(V32+W32-AA32,2)</f>
        <v>0</v>
      </c>
      <c r="AC32" s="41">
        <v>0</v>
      </c>
      <c r="AD32" s="41">
        <v>0</v>
      </c>
      <c r="AE32" s="41">
        <f>ROUND(AB32+AC32+AD32,2)</f>
        <v>0</v>
      </c>
      <c r="AF32" s="41">
        <v>0</v>
      </c>
      <c r="AG32" s="41">
        <f>ROUND(AE32-AF32,2)</f>
        <v>0</v>
      </c>
      <c r="AH32" s="38">
        <f>ROUND(L32+U32+AA32+AE32,2)</f>
        <v>0</v>
      </c>
      <c r="AI32" s="48">
        <f>ROUND(AH32-D32,2)</f>
        <v>0</v>
      </c>
    </row>
    <row r="33" spans="1:35" s="15" customFormat="1" ht="12.75">
      <c r="A33" s="31"/>
      <c r="B33" s="20" t="s">
        <v>22</v>
      </c>
      <c r="C33" s="21"/>
      <c r="D33" s="38">
        <f aca="true" t="shared" si="8" ref="D33:AI33">SUM(D30:D32)</f>
        <v>294330</v>
      </c>
      <c r="E33" s="38">
        <f t="shared" si="8"/>
        <v>392000</v>
      </c>
      <c r="F33" s="38">
        <f t="shared" si="8"/>
        <v>190000</v>
      </c>
      <c r="G33" s="38">
        <f t="shared" si="8"/>
        <v>146294.31</v>
      </c>
      <c r="H33" s="38">
        <f t="shared" si="8"/>
        <v>190000</v>
      </c>
      <c r="I33" s="38">
        <f t="shared" si="8"/>
        <v>23922.32</v>
      </c>
      <c r="J33" s="38">
        <f t="shared" si="8"/>
        <v>12000</v>
      </c>
      <c r="K33" s="38">
        <f t="shared" si="8"/>
        <v>11961.16</v>
      </c>
      <c r="L33" s="38">
        <f t="shared" si="8"/>
        <v>182177.79</v>
      </c>
      <c r="M33" s="38">
        <f t="shared" si="8"/>
        <v>209822.21</v>
      </c>
      <c r="N33" s="38">
        <f t="shared" si="8"/>
        <v>48000</v>
      </c>
      <c r="O33" s="38">
        <f t="shared" si="8"/>
        <v>12000</v>
      </c>
      <c r="P33" s="38">
        <f t="shared" si="8"/>
        <v>12251.38</v>
      </c>
      <c r="Q33" s="38">
        <f t="shared" si="8"/>
        <v>26000</v>
      </c>
      <c r="R33" s="38">
        <f t="shared" si="8"/>
        <v>12251.38</v>
      </c>
      <c r="S33" s="38">
        <f t="shared" si="8"/>
        <v>10000</v>
      </c>
      <c r="T33" s="38">
        <f t="shared" si="8"/>
        <v>8706.7</v>
      </c>
      <c r="U33" s="38">
        <f t="shared" si="8"/>
        <v>33209.46</v>
      </c>
      <c r="V33" s="38">
        <f t="shared" si="8"/>
        <v>224612.75</v>
      </c>
      <c r="W33" s="38">
        <f t="shared" si="8"/>
        <v>-189440</v>
      </c>
      <c r="X33" s="38">
        <f t="shared" si="8"/>
        <v>17413.4</v>
      </c>
      <c r="Y33" s="38">
        <f t="shared" si="8"/>
        <v>8706.7</v>
      </c>
      <c r="Z33" s="38">
        <f t="shared" si="8"/>
        <v>8706.7</v>
      </c>
      <c r="AA33" s="38">
        <f t="shared" si="8"/>
        <v>34826.8</v>
      </c>
      <c r="AB33" s="38">
        <f t="shared" si="8"/>
        <v>345.95</v>
      </c>
      <c r="AC33" s="38">
        <f t="shared" si="8"/>
        <v>43770</v>
      </c>
      <c r="AD33" s="38">
        <f t="shared" si="8"/>
        <v>13060</v>
      </c>
      <c r="AE33" s="38">
        <f t="shared" si="8"/>
        <v>57175.950000000004</v>
      </c>
      <c r="AF33" s="38">
        <f t="shared" si="8"/>
        <v>26120.1</v>
      </c>
      <c r="AG33" s="38">
        <f t="shared" si="8"/>
        <v>31055.85</v>
      </c>
      <c r="AH33" s="38">
        <f t="shared" si="8"/>
        <v>307390</v>
      </c>
      <c r="AI33" s="36">
        <f t="shared" si="8"/>
        <v>13060</v>
      </c>
    </row>
    <row r="34" spans="1:35" s="6" customFormat="1" ht="25.5">
      <c r="A34" s="32">
        <v>5</v>
      </c>
      <c r="B34" s="33" t="s">
        <v>23</v>
      </c>
      <c r="C34" s="14" t="s">
        <v>6</v>
      </c>
      <c r="D34" s="41">
        <f>ROUND(E34+N34+W34+AC34,2)</f>
        <v>12030</v>
      </c>
      <c r="E34" s="41">
        <f>ROUND(F34+H34+J34,2)</f>
        <v>4000</v>
      </c>
      <c r="F34" s="41">
        <v>0</v>
      </c>
      <c r="G34" s="41">
        <v>0</v>
      </c>
      <c r="H34" s="41">
        <v>2000</v>
      </c>
      <c r="I34" s="41">
        <v>0</v>
      </c>
      <c r="J34" s="41">
        <v>2000</v>
      </c>
      <c r="K34" s="41">
        <v>1625.17</v>
      </c>
      <c r="L34" s="41">
        <f>ROUND(G34+I34+K34,2)</f>
        <v>1625.17</v>
      </c>
      <c r="M34" s="41">
        <f>ROUND(E34-L34,2)</f>
        <v>2374.83</v>
      </c>
      <c r="N34" s="41">
        <f>ROUND(O34+Q34+S34,2)</f>
        <v>3000</v>
      </c>
      <c r="O34" s="41">
        <v>1000</v>
      </c>
      <c r="P34" s="41">
        <v>2577.74</v>
      </c>
      <c r="Q34" s="41">
        <v>0</v>
      </c>
      <c r="R34" s="41">
        <v>0</v>
      </c>
      <c r="S34" s="41">
        <v>2000</v>
      </c>
      <c r="T34" s="41">
        <v>697.73</v>
      </c>
      <c r="U34" s="41">
        <f>ROUND(P34+R34+T34,2)</f>
        <v>3275.47</v>
      </c>
      <c r="V34" s="41">
        <f>ROUND(M34+N34-U34,2)</f>
        <v>2099.36</v>
      </c>
      <c r="W34" s="41">
        <f>5030-700</f>
        <v>4330</v>
      </c>
      <c r="X34" s="41">
        <v>3765.78</v>
      </c>
      <c r="Y34" s="41">
        <v>56.55</v>
      </c>
      <c r="Z34" s="41">
        <v>1357.18</v>
      </c>
      <c r="AA34" s="38">
        <f>ROUND(X34+Y34+Z34,2)</f>
        <v>5179.51</v>
      </c>
      <c r="AB34" s="38">
        <f>ROUND(V34+W34-AA34,2)</f>
        <v>1249.85</v>
      </c>
      <c r="AC34" s="41">
        <v>700</v>
      </c>
      <c r="AD34" s="41">
        <v>4000</v>
      </c>
      <c r="AE34" s="41">
        <f>ROUND(AB34+AC34+AD34,2)</f>
        <v>5949.85</v>
      </c>
      <c r="AF34" s="41">
        <v>1542.26</v>
      </c>
      <c r="AG34" s="41">
        <f>ROUND(AE34-AF34,2)</f>
        <v>4407.59</v>
      </c>
      <c r="AH34" s="38">
        <f>ROUND(L34+U34+AA34+AE34,2)</f>
        <v>16030</v>
      </c>
      <c r="AI34" s="48">
        <f>ROUND(AH34-D34,2)</f>
        <v>4000</v>
      </c>
    </row>
    <row r="35" spans="1:35" s="6" customFormat="1" ht="12.75">
      <c r="A35" s="31"/>
      <c r="B35" s="20" t="s">
        <v>24</v>
      </c>
      <c r="C35" s="21"/>
      <c r="D35" s="38">
        <f aca="true" t="shared" si="9" ref="D35:AI35">SUM(D34)</f>
        <v>12030</v>
      </c>
      <c r="E35" s="38">
        <f t="shared" si="9"/>
        <v>4000</v>
      </c>
      <c r="F35" s="38">
        <f t="shared" si="9"/>
        <v>0</v>
      </c>
      <c r="G35" s="38">
        <f t="shared" si="9"/>
        <v>0</v>
      </c>
      <c r="H35" s="38">
        <f t="shared" si="9"/>
        <v>2000</v>
      </c>
      <c r="I35" s="38">
        <f t="shared" si="9"/>
        <v>0</v>
      </c>
      <c r="J35" s="38">
        <f t="shared" si="9"/>
        <v>2000</v>
      </c>
      <c r="K35" s="38">
        <f t="shared" si="9"/>
        <v>1625.17</v>
      </c>
      <c r="L35" s="38">
        <f t="shared" si="9"/>
        <v>1625.17</v>
      </c>
      <c r="M35" s="38">
        <f t="shared" si="9"/>
        <v>2374.83</v>
      </c>
      <c r="N35" s="38">
        <f t="shared" si="9"/>
        <v>3000</v>
      </c>
      <c r="O35" s="38">
        <f t="shared" si="9"/>
        <v>1000</v>
      </c>
      <c r="P35" s="38">
        <f>SUM(P34)</f>
        <v>2577.74</v>
      </c>
      <c r="Q35" s="38">
        <f t="shared" si="9"/>
        <v>0</v>
      </c>
      <c r="R35" s="38">
        <f t="shared" si="9"/>
        <v>0</v>
      </c>
      <c r="S35" s="38">
        <f t="shared" si="9"/>
        <v>2000</v>
      </c>
      <c r="T35" s="38">
        <f t="shared" si="9"/>
        <v>697.73</v>
      </c>
      <c r="U35" s="38">
        <f t="shared" si="9"/>
        <v>3275.47</v>
      </c>
      <c r="V35" s="38">
        <f t="shared" si="9"/>
        <v>2099.36</v>
      </c>
      <c r="W35" s="38">
        <f t="shared" si="9"/>
        <v>4330</v>
      </c>
      <c r="X35" s="38">
        <f t="shared" si="9"/>
        <v>3765.78</v>
      </c>
      <c r="Y35" s="38">
        <f t="shared" si="9"/>
        <v>56.55</v>
      </c>
      <c r="Z35" s="38">
        <f t="shared" si="9"/>
        <v>1357.18</v>
      </c>
      <c r="AA35" s="38">
        <f t="shared" si="9"/>
        <v>5179.51</v>
      </c>
      <c r="AB35" s="38">
        <f t="shared" si="9"/>
        <v>1249.85</v>
      </c>
      <c r="AC35" s="38">
        <f t="shared" si="9"/>
        <v>700</v>
      </c>
      <c r="AD35" s="38">
        <f t="shared" si="9"/>
        <v>4000</v>
      </c>
      <c r="AE35" s="38">
        <f t="shared" si="9"/>
        <v>5949.85</v>
      </c>
      <c r="AF35" s="38">
        <f t="shared" si="9"/>
        <v>1542.26</v>
      </c>
      <c r="AG35" s="38">
        <f t="shared" si="9"/>
        <v>4407.59</v>
      </c>
      <c r="AH35" s="38">
        <f t="shared" si="9"/>
        <v>16030</v>
      </c>
      <c r="AI35" s="36">
        <f t="shared" si="9"/>
        <v>4000</v>
      </c>
    </row>
    <row r="36" spans="1:35" s="6" customFormat="1" ht="15.75" customHeight="1">
      <c r="A36" s="64">
        <v>6</v>
      </c>
      <c r="B36" s="60" t="s">
        <v>25</v>
      </c>
      <c r="C36" s="13" t="s">
        <v>26</v>
      </c>
      <c r="D36" s="37">
        <f>ROUND(D19+D23+D29+D31+D32+D34,2)</f>
        <v>7140240</v>
      </c>
      <c r="E36" s="37">
        <f aca="true" t="shared" si="10" ref="E36:AI36">ROUND(E19+E23+E29+E31+E32+E34,2)</f>
        <v>1560210</v>
      </c>
      <c r="F36" s="37">
        <f t="shared" si="10"/>
        <v>626000</v>
      </c>
      <c r="G36" s="37">
        <f t="shared" si="10"/>
        <v>206000.92</v>
      </c>
      <c r="H36" s="37">
        <f t="shared" si="10"/>
        <v>463000</v>
      </c>
      <c r="I36" s="37">
        <f t="shared" si="10"/>
        <v>282432.06</v>
      </c>
      <c r="J36" s="37">
        <f t="shared" si="10"/>
        <v>471210</v>
      </c>
      <c r="K36" s="37">
        <f t="shared" si="10"/>
        <v>580096.66</v>
      </c>
      <c r="L36" s="37">
        <f t="shared" si="10"/>
        <v>1068529.64</v>
      </c>
      <c r="M36" s="37">
        <f t="shared" si="10"/>
        <v>491680.36</v>
      </c>
      <c r="N36" s="37">
        <f t="shared" si="10"/>
        <v>2081180</v>
      </c>
      <c r="O36" s="37">
        <f t="shared" si="10"/>
        <v>524720</v>
      </c>
      <c r="P36" s="37">
        <f>ROUND(P19+P23+P29+P31+P32+P34,2)</f>
        <v>536357.84</v>
      </c>
      <c r="Q36" s="37">
        <f t="shared" si="10"/>
        <v>434000</v>
      </c>
      <c r="R36" s="37">
        <f t="shared" si="10"/>
        <v>641492.25</v>
      </c>
      <c r="S36" s="37">
        <f t="shared" si="10"/>
        <v>1122460</v>
      </c>
      <c r="T36" s="37">
        <f t="shared" si="10"/>
        <v>588788.66</v>
      </c>
      <c r="U36" s="37">
        <f t="shared" si="10"/>
        <v>1766638.75</v>
      </c>
      <c r="V36" s="37">
        <f t="shared" si="10"/>
        <v>806221.61</v>
      </c>
      <c r="W36" s="37">
        <f t="shared" si="10"/>
        <v>1697964.73</v>
      </c>
      <c r="X36" s="37">
        <f t="shared" si="10"/>
        <v>862414.1</v>
      </c>
      <c r="Y36" s="37">
        <f t="shared" si="10"/>
        <v>628435.51</v>
      </c>
      <c r="Z36" s="37">
        <f t="shared" si="10"/>
        <v>887994.75</v>
      </c>
      <c r="AA36" s="37">
        <f t="shared" si="10"/>
        <v>2378844.36</v>
      </c>
      <c r="AB36" s="37">
        <f t="shared" si="10"/>
        <v>125341.98</v>
      </c>
      <c r="AC36" s="37">
        <f t="shared" si="10"/>
        <v>1800885.27</v>
      </c>
      <c r="AD36" s="37">
        <f t="shared" si="10"/>
        <v>628870</v>
      </c>
      <c r="AE36" s="37">
        <f t="shared" si="10"/>
        <v>2555097.25</v>
      </c>
      <c r="AF36" s="37">
        <f t="shared" si="10"/>
        <v>871478.86</v>
      </c>
      <c r="AG36" s="37">
        <f t="shared" si="10"/>
        <v>1683618.39</v>
      </c>
      <c r="AH36" s="37">
        <f t="shared" si="10"/>
        <v>7769110</v>
      </c>
      <c r="AI36" s="18">
        <f t="shared" si="10"/>
        <v>628870</v>
      </c>
    </row>
    <row r="37" spans="1:35" s="6" customFormat="1" ht="12.75">
      <c r="A37" s="64"/>
      <c r="B37" s="60"/>
      <c r="C37" s="17" t="s">
        <v>7</v>
      </c>
      <c r="D37" s="37">
        <f>ROUND(D20+D22+D30,2)</f>
        <v>858510</v>
      </c>
      <c r="E37" s="37">
        <f aca="true" t="shared" si="11" ref="E37:AI37">ROUND(E20+E22+E30,2)</f>
        <v>36000</v>
      </c>
      <c r="F37" s="37">
        <f t="shared" si="11"/>
        <v>12000</v>
      </c>
      <c r="G37" s="37">
        <f t="shared" si="11"/>
        <v>0</v>
      </c>
      <c r="H37" s="37">
        <f t="shared" si="11"/>
        <v>12000</v>
      </c>
      <c r="I37" s="37">
        <f t="shared" si="11"/>
        <v>23922.32</v>
      </c>
      <c r="J37" s="37">
        <f t="shared" si="11"/>
        <v>12000</v>
      </c>
      <c r="K37" s="37">
        <f t="shared" si="11"/>
        <v>11961.16</v>
      </c>
      <c r="L37" s="37">
        <f t="shared" si="11"/>
        <v>35883.48</v>
      </c>
      <c r="M37" s="37">
        <f t="shared" si="11"/>
        <v>116.52</v>
      </c>
      <c r="N37" s="37">
        <f t="shared" si="11"/>
        <v>180638.4</v>
      </c>
      <c r="O37" s="37">
        <f t="shared" si="11"/>
        <v>12000</v>
      </c>
      <c r="P37" s="37">
        <f>ROUND(P20+P22+P30,2)</f>
        <v>12251.38</v>
      </c>
      <c r="Q37" s="37">
        <f t="shared" si="11"/>
        <v>26000</v>
      </c>
      <c r="R37" s="37">
        <f t="shared" si="11"/>
        <v>12251.38</v>
      </c>
      <c r="S37" s="37">
        <f t="shared" si="11"/>
        <v>142638.4</v>
      </c>
      <c r="T37" s="37">
        <f t="shared" si="11"/>
        <v>8706.7</v>
      </c>
      <c r="U37" s="37">
        <f t="shared" si="11"/>
        <v>33209.46</v>
      </c>
      <c r="V37" s="37">
        <f t="shared" si="11"/>
        <v>147545.46</v>
      </c>
      <c r="W37" s="37">
        <f t="shared" si="11"/>
        <v>20260</v>
      </c>
      <c r="X37" s="37">
        <f t="shared" si="11"/>
        <v>142457.31</v>
      </c>
      <c r="Y37" s="37">
        <f t="shared" si="11"/>
        <v>11401.19</v>
      </c>
      <c r="Z37" s="37">
        <f t="shared" si="11"/>
        <v>13493.46</v>
      </c>
      <c r="AA37" s="37">
        <f t="shared" si="11"/>
        <v>167351.96</v>
      </c>
      <c r="AB37" s="37">
        <f t="shared" si="11"/>
        <v>453.5</v>
      </c>
      <c r="AC37" s="37">
        <f t="shared" si="11"/>
        <v>621611.6</v>
      </c>
      <c r="AD37" s="37">
        <f t="shared" si="11"/>
        <v>-206940</v>
      </c>
      <c r="AE37" s="37">
        <f t="shared" si="11"/>
        <v>415125.1</v>
      </c>
      <c r="AF37" s="37">
        <f t="shared" si="11"/>
        <v>119856.37</v>
      </c>
      <c r="AG37" s="37">
        <f t="shared" si="11"/>
        <v>295268.73</v>
      </c>
      <c r="AH37" s="37">
        <f t="shared" si="11"/>
        <v>651570</v>
      </c>
      <c r="AI37" s="18">
        <f t="shared" si="11"/>
        <v>-206940</v>
      </c>
    </row>
    <row r="38" spans="1:35" s="6" customFormat="1" ht="12.75">
      <c r="A38" s="19"/>
      <c r="B38" s="20" t="s">
        <v>38</v>
      </c>
      <c r="C38" s="21"/>
      <c r="D38" s="37">
        <f aca="true" t="shared" si="12" ref="D38:AI38">SUM(D36:D37)</f>
        <v>7998750</v>
      </c>
      <c r="E38" s="37">
        <f t="shared" si="12"/>
        <v>1596210</v>
      </c>
      <c r="F38" s="37">
        <f t="shared" si="12"/>
        <v>638000</v>
      </c>
      <c r="G38" s="37">
        <f t="shared" si="12"/>
        <v>206000.92</v>
      </c>
      <c r="H38" s="37">
        <f t="shared" si="12"/>
        <v>475000</v>
      </c>
      <c r="I38" s="37">
        <f t="shared" si="12"/>
        <v>306354.38</v>
      </c>
      <c r="J38" s="37">
        <f t="shared" si="12"/>
        <v>483210</v>
      </c>
      <c r="K38" s="37">
        <f t="shared" si="12"/>
        <v>592057.8200000001</v>
      </c>
      <c r="L38" s="37">
        <f t="shared" si="12"/>
        <v>1104413.1199999999</v>
      </c>
      <c r="M38" s="37">
        <f t="shared" si="12"/>
        <v>491796.88</v>
      </c>
      <c r="N38" s="37">
        <f t="shared" si="12"/>
        <v>2261818.4</v>
      </c>
      <c r="O38" s="37">
        <f t="shared" si="12"/>
        <v>536720</v>
      </c>
      <c r="P38" s="37">
        <f>SUM(P36:P37)</f>
        <v>548609.22</v>
      </c>
      <c r="Q38" s="37">
        <f t="shared" si="12"/>
        <v>460000</v>
      </c>
      <c r="R38" s="37">
        <f t="shared" si="12"/>
        <v>653743.63</v>
      </c>
      <c r="S38" s="37">
        <f t="shared" si="12"/>
        <v>1265098.4</v>
      </c>
      <c r="T38" s="37">
        <f t="shared" si="12"/>
        <v>597495.36</v>
      </c>
      <c r="U38" s="37">
        <f t="shared" si="12"/>
        <v>1799848.21</v>
      </c>
      <c r="V38" s="37">
        <f t="shared" si="12"/>
        <v>953767.07</v>
      </c>
      <c r="W38" s="37">
        <f t="shared" si="12"/>
        <v>1718224.73</v>
      </c>
      <c r="X38" s="37">
        <f t="shared" si="12"/>
        <v>1004871.4099999999</v>
      </c>
      <c r="Y38" s="37">
        <f t="shared" si="12"/>
        <v>639836.7</v>
      </c>
      <c r="Z38" s="37">
        <f t="shared" si="12"/>
        <v>901488.21</v>
      </c>
      <c r="AA38" s="37">
        <f t="shared" si="12"/>
        <v>2546196.32</v>
      </c>
      <c r="AB38" s="37">
        <f t="shared" si="12"/>
        <v>125795.48</v>
      </c>
      <c r="AC38" s="37">
        <f t="shared" si="12"/>
        <v>2422496.87</v>
      </c>
      <c r="AD38" s="37">
        <f t="shared" si="12"/>
        <v>421930</v>
      </c>
      <c r="AE38" s="37">
        <f t="shared" si="12"/>
        <v>2970222.35</v>
      </c>
      <c r="AF38" s="37">
        <f t="shared" si="12"/>
        <v>991335.23</v>
      </c>
      <c r="AG38" s="37">
        <f t="shared" si="12"/>
        <v>1978887.1199999999</v>
      </c>
      <c r="AH38" s="37">
        <f t="shared" si="12"/>
        <v>8420680</v>
      </c>
      <c r="AI38" s="18">
        <f t="shared" si="12"/>
        <v>421930</v>
      </c>
    </row>
    <row r="39" spans="1:35" s="6" customFormat="1" ht="18" customHeight="1">
      <c r="A39" s="64">
        <v>7</v>
      </c>
      <c r="B39" s="60" t="s">
        <v>27</v>
      </c>
      <c r="C39" s="13" t="s">
        <v>26</v>
      </c>
      <c r="D39" s="37">
        <f>ROUND(D12+D36,2)</f>
        <v>7631620</v>
      </c>
      <c r="E39" s="37">
        <f aca="true" t="shared" si="13" ref="E39:AI40">ROUND(E12+E36,2)</f>
        <v>1611210</v>
      </c>
      <c r="F39" s="37">
        <f t="shared" si="13"/>
        <v>672000</v>
      </c>
      <c r="G39" s="37">
        <f t="shared" si="13"/>
        <v>206000.92</v>
      </c>
      <c r="H39" s="37">
        <f t="shared" si="13"/>
        <v>463000</v>
      </c>
      <c r="I39" s="37">
        <f t="shared" si="13"/>
        <v>321903.71</v>
      </c>
      <c r="J39" s="37">
        <f t="shared" si="13"/>
        <v>476210</v>
      </c>
      <c r="K39" s="37">
        <f t="shared" si="13"/>
        <v>589605.71</v>
      </c>
      <c r="L39" s="37">
        <f t="shared" si="13"/>
        <v>1117510.34</v>
      </c>
      <c r="M39" s="37">
        <f t="shared" si="13"/>
        <v>493699.66</v>
      </c>
      <c r="N39" s="37">
        <f t="shared" si="13"/>
        <v>2252530</v>
      </c>
      <c r="O39" s="37">
        <f t="shared" si="13"/>
        <v>590220</v>
      </c>
      <c r="P39" s="37">
        <f>ROUND(P12+P36,2)</f>
        <v>602370.42</v>
      </c>
      <c r="Q39" s="37">
        <f t="shared" si="13"/>
        <v>538350</v>
      </c>
      <c r="R39" s="37">
        <f t="shared" si="13"/>
        <v>666820.97</v>
      </c>
      <c r="S39" s="37">
        <f t="shared" si="13"/>
        <v>1123960</v>
      </c>
      <c r="T39" s="37">
        <f t="shared" si="13"/>
        <v>637638.16</v>
      </c>
      <c r="U39" s="37">
        <f t="shared" si="13"/>
        <v>1906829.55</v>
      </c>
      <c r="V39" s="37">
        <f t="shared" si="13"/>
        <v>839400.11</v>
      </c>
      <c r="W39" s="37">
        <f t="shared" si="13"/>
        <v>1907964.73</v>
      </c>
      <c r="X39" s="37">
        <f t="shared" si="13"/>
        <v>862414.1</v>
      </c>
      <c r="Y39" s="37">
        <f t="shared" si="13"/>
        <v>743953.94</v>
      </c>
      <c r="Z39" s="37">
        <f t="shared" si="13"/>
        <v>1015510.81</v>
      </c>
      <c r="AA39" s="37">
        <f t="shared" si="13"/>
        <v>2621878.85</v>
      </c>
      <c r="AB39" s="37">
        <f t="shared" si="13"/>
        <v>125485.99</v>
      </c>
      <c r="AC39" s="37">
        <f t="shared" si="13"/>
        <v>1859915.27</v>
      </c>
      <c r="AD39" s="37">
        <f t="shared" si="13"/>
        <v>583830</v>
      </c>
      <c r="AE39" s="37">
        <f t="shared" si="13"/>
        <v>2569231.26</v>
      </c>
      <c r="AF39" s="37">
        <f t="shared" si="13"/>
        <v>876806.37</v>
      </c>
      <c r="AG39" s="37">
        <f t="shared" si="13"/>
        <v>1692424.89</v>
      </c>
      <c r="AH39" s="37">
        <f t="shared" si="13"/>
        <v>8215450</v>
      </c>
      <c r="AI39" s="18">
        <f t="shared" si="13"/>
        <v>583830</v>
      </c>
    </row>
    <row r="40" spans="1:35" s="6" customFormat="1" ht="24.75" customHeight="1" thickBot="1">
      <c r="A40" s="81"/>
      <c r="B40" s="71"/>
      <c r="C40" s="82" t="s">
        <v>7</v>
      </c>
      <c r="D40" s="73">
        <f>ROUND(D13+D37,2)</f>
        <v>916070</v>
      </c>
      <c r="E40" s="73">
        <f t="shared" si="13"/>
        <v>46000</v>
      </c>
      <c r="F40" s="73">
        <f t="shared" si="13"/>
        <v>22000</v>
      </c>
      <c r="G40" s="73">
        <f t="shared" si="13"/>
        <v>0</v>
      </c>
      <c r="H40" s="73">
        <f t="shared" si="13"/>
        <v>12000</v>
      </c>
      <c r="I40" s="73">
        <f t="shared" si="13"/>
        <v>29699.32</v>
      </c>
      <c r="J40" s="73">
        <f t="shared" si="13"/>
        <v>12000</v>
      </c>
      <c r="K40" s="73">
        <f t="shared" si="13"/>
        <v>11961.16</v>
      </c>
      <c r="L40" s="73">
        <f t="shared" si="13"/>
        <v>41660.48</v>
      </c>
      <c r="M40" s="73">
        <f t="shared" si="13"/>
        <v>4339.52</v>
      </c>
      <c r="N40" s="73">
        <f t="shared" si="13"/>
        <v>180638.4</v>
      </c>
      <c r="O40" s="73">
        <f t="shared" si="13"/>
        <v>12000</v>
      </c>
      <c r="P40" s="73">
        <f>ROUND(P13+P37,2)</f>
        <v>12251.38</v>
      </c>
      <c r="Q40" s="73">
        <f t="shared" si="13"/>
        <v>26000</v>
      </c>
      <c r="R40" s="73">
        <f t="shared" si="13"/>
        <v>15957.38</v>
      </c>
      <c r="S40" s="73">
        <f t="shared" si="13"/>
        <v>142638.4</v>
      </c>
      <c r="T40" s="73">
        <f t="shared" si="13"/>
        <v>8990.1</v>
      </c>
      <c r="U40" s="73">
        <f t="shared" si="13"/>
        <v>37198.86</v>
      </c>
      <c r="V40" s="73">
        <f t="shared" si="13"/>
        <v>147779.06</v>
      </c>
      <c r="W40" s="73">
        <f t="shared" si="13"/>
        <v>67820</v>
      </c>
      <c r="X40" s="73">
        <f t="shared" si="13"/>
        <v>145291.31</v>
      </c>
      <c r="Y40" s="73">
        <f t="shared" si="13"/>
        <v>51295.19</v>
      </c>
      <c r="Z40" s="73">
        <f t="shared" si="13"/>
        <v>13493.46</v>
      </c>
      <c r="AA40" s="73">
        <f t="shared" si="13"/>
        <v>210079.96</v>
      </c>
      <c r="AB40" s="73">
        <f t="shared" si="13"/>
        <v>5519.1</v>
      </c>
      <c r="AC40" s="73">
        <f t="shared" si="13"/>
        <v>621611.6</v>
      </c>
      <c r="AD40" s="73">
        <f t="shared" si="13"/>
        <v>-206940</v>
      </c>
      <c r="AE40" s="73">
        <f t="shared" si="13"/>
        <v>420190.7</v>
      </c>
      <c r="AF40" s="73">
        <f t="shared" si="13"/>
        <v>119856.37</v>
      </c>
      <c r="AG40" s="73">
        <f t="shared" si="13"/>
        <v>300334.33</v>
      </c>
      <c r="AH40" s="73">
        <f t="shared" si="13"/>
        <v>709130</v>
      </c>
      <c r="AI40" s="74">
        <f t="shared" si="13"/>
        <v>-206940</v>
      </c>
    </row>
    <row r="41" spans="1:35" s="15" customFormat="1" ht="13.5" thickBot="1">
      <c r="A41" s="83"/>
      <c r="B41" s="84" t="s">
        <v>32</v>
      </c>
      <c r="C41" s="77"/>
      <c r="D41" s="78">
        <f aca="true" t="shared" si="14" ref="D41:AI41">ROUND(D39+D40,2)</f>
        <v>8547690</v>
      </c>
      <c r="E41" s="78">
        <f t="shared" si="14"/>
        <v>1657210</v>
      </c>
      <c r="F41" s="78">
        <f t="shared" si="14"/>
        <v>694000</v>
      </c>
      <c r="G41" s="78">
        <f t="shared" si="14"/>
        <v>206000.92</v>
      </c>
      <c r="H41" s="78">
        <f t="shared" si="14"/>
        <v>475000</v>
      </c>
      <c r="I41" s="78">
        <f t="shared" si="14"/>
        <v>351603.03</v>
      </c>
      <c r="J41" s="78">
        <f t="shared" si="14"/>
        <v>488210</v>
      </c>
      <c r="K41" s="78">
        <f t="shared" si="14"/>
        <v>601566.87</v>
      </c>
      <c r="L41" s="78">
        <f t="shared" si="14"/>
        <v>1159170.82</v>
      </c>
      <c r="M41" s="78">
        <f t="shared" si="14"/>
        <v>498039.18</v>
      </c>
      <c r="N41" s="78">
        <f t="shared" si="14"/>
        <v>2433168.4</v>
      </c>
      <c r="O41" s="78">
        <f t="shared" si="14"/>
        <v>602220</v>
      </c>
      <c r="P41" s="78">
        <f>ROUND(P39+P40,2)</f>
        <v>614621.8</v>
      </c>
      <c r="Q41" s="78">
        <f t="shared" si="14"/>
        <v>564350</v>
      </c>
      <c r="R41" s="78">
        <f t="shared" si="14"/>
        <v>682778.35</v>
      </c>
      <c r="S41" s="78">
        <f t="shared" si="14"/>
        <v>1266598.4</v>
      </c>
      <c r="T41" s="78">
        <f t="shared" si="14"/>
        <v>646628.26</v>
      </c>
      <c r="U41" s="78">
        <f t="shared" si="14"/>
        <v>1944028.41</v>
      </c>
      <c r="V41" s="78">
        <f t="shared" si="14"/>
        <v>987179.17</v>
      </c>
      <c r="W41" s="78">
        <f t="shared" si="14"/>
        <v>1975784.73</v>
      </c>
      <c r="X41" s="78">
        <f t="shared" si="14"/>
        <v>1007705.41</v>
      </c>
      <c r="Y41" s="78">
        <f t="shared" si="14"/>
        <v>795249.13</v>
      </c>
      <c r="Z41" s="78">
        <f t="shared" si="14"/>
        <v>1029004.27</v>
      </c>
      <c r="AA41" s="78">
        <f t="shared" si="14"/>
        <v>2831958.81</v>
      </c>
      <c r="AB41" s="78">
        <f t="shared" si="14"/>
        <v>131005.09</v>
      </c>
      <c r="AC41" s="78">
        <f t="shared" si="14"/>
        <v>2481526.87</v>
      </c>
      <c r="AD41" s="78">
        <f t="shared" si="14"/>
        <v>376890</v>
      </c>
      <c r="AE41" s="78">
        <f t="shared" si="14"/>
        <v>2989421.96</v>
      </c>
      <c r="AF41" s="78">
        <f t="shared" si="14"/>
        <v>996662.74</v>
      </c>
      <c r="AG41" s="78">
        <f t="shared" si="14"/>
        <v>1992759.22</v>
      </c>
      <c r="AH41" s="78">
        <f t="shared" si="14"/>
        <v>8924580</v>
      </c>
      <c r="AI41" s="79">
        <f t="shared" si="14"/>
        <v>376890</v>
      </c>
    </row>
    <row r="42" spans="1:33" s="15" customFormat="1" ht="12.75">
      <c r="A42" s="23"/>
      <c r="B42" s="24"/>
      <c r="C42" s="25"/>
      <c r="D42" s="25"/>
      <c r="E42" s="25"/>
      <c r="F42" s="25"/>
      <c r="G42" s="25"/>
      <c r="H42" s="25"/>
      <c r="I42" s="25"/>
      <c r="J42" s="25"/>
      <c r="K42" s="25"/>
      <c r="L42" s="25"/>
      <c r="M42" s="25"/>
      <c r="N42" s="25"/>
      <c r="O42" s="55"/>
      <c r="P42" s="55"/>
      <c r="Q42" s="25"/>
      <c r="R42" s="25"/>
      <c r="S42" s="25"/>
      <c r="T42" s="25"/>
      <c r="U42" s="25"/>
      <c r="V42" s="25"/>
      <c r="W42" s="25"/>
      <c r="X42" s="25"/>
      <c r="Y42" s="25"/>
      <c r="Z42" s="25"/>
      <c r="AA42" s="25"/>
      <c r="AB42" s="25"/>
      <c r="AC42" s="25"/>
      <c r="AD42" s="25"/>
      <c r="AE42" s="25"/>
      <c r="AF42" s="25"/>
      <c r="AG42" s="25"/>
    </row>
    <row r="43" spans="1:39" s="15" customFormat="1" ht="12.75">
      <c r="A43" s="23"/>
      <c r="T43" s="34"/>
      <c r="AD43" s="34"/>
      <c r="AJ43" s="43"/>
      <c r="AM43" s="49"/>
    </row>
    <row r="44" spans="20:39" ht="15.75">
      <c r="T44" s="57"/>
      <c r="U44" s="2"/>
      <c r="V44" s="2"/>
      <c r="AD44" s="56"/>
      <c r="AJ44" s="43"/>
      <c r="AM44" s="49"/>
    </row>
    <row r="45" spans="3:33" ht="15.75">
      <c r="C45" s="34"/>
      <c r="D45" s="34"/>
      <c r="E45" s="34"/>
      <c r="F45" s="34"/>
      <c r="G45" s="34"/>
      <c r="H45" s="34"/>
      <c r="I45" s="34"/>
      <c r="J45" s="34"/>
      <c r="K45" s="34"/>
      <c r="L45" s="34"/>
      <c r="M45" s="34"/>
      <c r="N45" s="34"/>
      <c r="O45" s="34"/>
      <c r="P45" s="34"/>
      <c r="Q45" s="50"/>
      <c r="R45" s="50"/>
      <c r="S45" s="50"/>
      <c r="T45" s="50"/>
      <c r="U45" s="50"/>
      <c r="V45" s="50"/>
      <c r="W45" s="50"/>
      <c r="X45" s="50"/>
      <c r="Y45" s="50"/>
      <c r="Z45" s="50"/>
      <c r="AA45" s="50"/>
      <c r="AB45" s="50"/>
      <c r="AC45" s="50"/>
      <c r="AD45" s="50"/>
      <c r="AE45" s="50"/>
      <c r="AF45" s="50"/>
      <c r="AG45" s="50"/>
    </row>
    <row r="46" spans="3:33" ht="15.75">
      <c r="C46" s="3"/>
      <c r="D46" s="3"/>
      <c r="E46" s="3"/>
      <c r="F46" s="3"/>
      <c r="G46" s="3"/>
      <c r="H46" s="3"/>
      <c r="I46" s="3"/>
      <c r="J46" s="3"/>
      <c r="K46" s="3"/>
      <c r="L46" s="3"/>
      <c r="M46" s="3"/>
      <c r="N46" s="3"/>
      <c r="O46" s="3"/>
      <c r="P46" s="3"/>
      <c r="Q46" s="45"/>
      <c r="R46" s="45"/>
      <c r="S46" s="45"/>
      <c r="T46" s="45"/>
      <c r="U46" s="45"/>
      <c r="V46" s="45"/>
      <c r="W46" s="45"/>
      <c r="X46" s="45"/>
      <c r="Y46" s="45"/>
      <c r="Z46" s="45"/>
      <c r="AA46" s="45"/>
      <c r="AB46" s="45"/>
      <c r="AC46" s="45"/>
      <c r="AD46" s="45"/>
      <c r="AE46" s="45"/>
      <c r="AF46" s="45"/>
      <c r="AG46" s="45"/>
    </row>
    <row r="47" spans="3:33" ht="15.75">
      <c r="C47" s="3"/>
      <c r="D47" s="3"/>
      <c r="E47" s="3"/>
      <c r="F47" s="3"/>
      <c r="G47" s="3"/>
      <c r="H47" s="3"/>
      <c r="I47" s="3"/>
      <c r="J47" s="3"/>
      <c r="K47" s="3"/>
      <c r="L47" s="3"/>
      <c r="M47" s="3"/>
      <c r="N47" s="3"/>
      <c r="O47" s="3"/>
      <c r="P47" s="3"/>
      <c r="Q47" s="45"/>
      <c r="R47" s="45"/>
      <c r="S47" s="45"/>
      <c r="T47" s="45"/>
      <c r="U47" s="45"/>
      <c r="V47" s="45"/>
      <c r="W47" s="45"/>
      <c r="X47" s="45"/>
      <c r="Y47" s="45"/>
      <c r="Z47" s="45"/>
      <c r="AA47" s="45"/>
      <c r="AB47" s="45"/>
      <c r="AC47" s="45"/>
      <c r="AD47" s="45"/>
      <c r="AE47" s="45"/>
      <c r="AF47" s="45"/>
      <c r="AG47" s="45"/>
    </row>
  </sheetData>
  <mergeCells count="18">
    <mergeCell ref="A30:A32"/>
    <mergeCell ref="B30:B32"/>
    <mergeCell ref="A12:A13"/>
    <mergeCell ref="B12:B13"/>
    <mergeCell ref="A19:A20"/>
    <mergeCell ref="B19:B20"/>
    <mergeCell ref="A22:A23"/>
    <mergeCell ref="A36:A37"/>
    <mergeCell ref="B36:B37"/>
    <mergeCell ref="A39:A40"/>
    <mergeCell ref="B39:B40"/>
    <mergeCell ref="B22:B23"/>
    <mergeCell ref="A25:A28"/>
    <mergeCell ref="B25:B28"/>
    <mergeCell ref="D2:P2"/>
    <mergeCell ref="A6:A7"/>
    <mergeCell ref="B6:B7"/>
    <mergeCell ref="A9:A10"/>
  </mergeCells>
  <printOptions/>
  <pageMargins left="0.22" right="0.17" top="0.23" bottom="0.16" header="0.23" footer="0.16"/>
  <pageSetup horizontalDpi="600" verticalDpi="600" orientation="landscape" paperSize="9" scale="63" r:id="rId1"/>
  <headerFooter alignWithMargins="0">
    <oddFooter>&amp;C&amp;F</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olt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dc:creator>
  <cp:keywords/>
  <dc:description/>
  <cp:lastModifiedBy>adriana</cp:lastModifiedBy>
  <cp:lastPrinted>2021-12-07T12:29:48Z</cp:lastPrinted>
  <dcterms:created xsi:type="dcterms:W3CDTF">2019-01-29T08:55:49Z</dcterms:created>
  <dcterms:modified xsi:type="dcterms:W3CDTF">2021-12-07T12:29:56Z</dcterms:modified>
  <cp:category/>
  <cp:version/>
  <cp:contentType/>
  <cp:contentStatus/>
</cp:coreProperties>
</file>