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<sst xmlns="http://schemas.openxmlformats.org/spreadsheetml/2006/main" count="59" uniqueCount="59">
  <si>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</si>
  <si>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</si>
  <si>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</si>
  <si>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</si>
  <si>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</si>
  <si>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</si>
  <si>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</si>
  <si>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</si>
  <si>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</si>
  <si>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</si>
  <si>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</si>
  <si>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 xml:space="preserve">Limite trimestriale credite aprobate - activitate curentă </t>
  </si>
  <si>
    <t>Limite trimestriale credite aprobate - 40%MS</t>
  </si>
  <si>
    <t>Limite trimestriale credite aprobate - DCI COST VOLUM</t>
  </si>
  <si>
    <t>Limite trimestriale credite aprobate - 50% COST VOLUM</t>
  </si>
  <si>
    <t>Limite trimestriale credite aprobate - 40% COST VOLUM</t>
  </si>
  <si>
    <t>TOTAL limite trimestriale credite aprobate - COST VOLUM</t>
  </si>
  <si>
    <t>DIFERENTE CONSUM RAPORTAT- CONSUM VALIDAT</t>
  </si>
  <si>
    <t>12=6+8+10</t>
  </si>
  <si>
    <t>13=7+9+11</t>
  </si>
  <si>
    <t>14=3+5+13</t>
  </si>
  <si>
    <t>16=15-14</t>
  </si>
  <si>
    <t>Credite angajament aprobate an 2021, din care:</t>
  </si>
  <si>
    <t>Consum 2021 inregistrat in limita credite angajament AN 2021</t>
  </si>
  <si>
    <t xml:space="preserve">Consum mediu lunar înregistrat AN 2020 </t>
  </si>
  <si>
    <r>
      <t xml:space="preserve">CREDITE ANGAJAMENT REALIZATE AN 2021 - </t>
    </r>
    <r>
      <rPr>
        <b/>
        <sz val="10"/>
        <rFont val="Times New Roman"/>
        <family val="1"/>
      </rPr>
      <t>ACTIVITATE CURENTA</t>
    </r>
  </si>
  <si>
    <r>
      <t>CREDITE ANGAJAMENT REALIZATE AN 2021</t>
    </r>
    <r>
      <rPr>
        <b/>
        <sz val="10"/>
        <rFont val="Times New Roman"/>
        <family val="1"/>
      </rPr>
      <t xml:space="preserve"> - 40% MS</t>
    </r>
  </si>
  <si>
    <r>
      <t xml:space="preserve">CREDITE ANGAJAMENT REALIZATE AN 2021- </t>
    </r>
    <r>
      <rPr>
        <b/>
        <sz val="10"/>
        <rFont val="Times New Roman"/>
        <family val="1"/>
      </rPr>
      <t>COST VOLUM 50% PENS</t>
    </r>
  </si>
  <si>
    <r>
      <t xml:space="preserve">CREDITE ANGAJAMENT REALIZATE AN 2021 - </t>
    </r>
    <r>
      <rPr>
        <b/>
        <sz val="10"/>
        <rFont val="Times New Roman"/>
        <family val="1"/>
      </rPr>
      <t>COST VOLUM 40% PENS</t>
    </r>
  </si>
  <si>
    <r>
      <t>TOTAL CREDITE ANGAJAMENT REALIZATE AN 2021</t>
    </r>
    <r>
      <rPr>
        <b/>
        <sz val="10"/>
        <rFont val="Times New Roman"/>
        <family val="1"/>
      </rPr>
      <t xml:space="preserve"> - COST VOLUM</t>
    </r>
  </si>
  <si>
    <t>TOTAL CONSUM VALIDAT AN 2021</t>
  </si>
  <si>
    <t>TOTAL CONSUM RAPORTAT AN 2021</t>
  </si>
  <si>
    <t>ianuarie 2021 -consum realizat</t>
  </si>
  <si>
    <t>februarie 2021 -consum realizat</t>
  </si>
  <si>
    <t>martie 2021 -consum validat in limita credite trim I 2021</t>
  </si>
  <si>
    <t xml:space="preserve">Trim. I 2021 -consum validat in limita credite trim I </t>
  </si>
  <si>
    <t>aprilie 2021-consum realizat + diferente martie 40%CV</t>
  </si>
  <si>
    <t>mai 2021 - consum validat in limita credite sem I 2021</t>
  </si>
  <si>
    <t>iunie 2021 - consum validat in limita credite sem I 2021</t>
  </si>
  <si>
    <t>Trim. II 2021 - consum validat in limita credite sem I 2021</t>
  </si>
  <si>
    <t>Total sem. I 2021 - consum validat in limita credite sem I 2021</t>
  </si>
  <si>
    <t>25=(21+ 23)/ nr. luni</t>
  </si>
  <si>
    <t>iulie 2021-consum validat in limita CA(40%CV) + diferente mai+iunie CV (CV iunie-54932,07, 50%CV iunie-15907,09, 40%CV mai+iunie - 18794,51)</t>
  </si>
  <si>
    <t>august 2021- consum validat in limita CA (CV) + difer iulie 40%CV (14702,33 lei)</t>
  </si>
  <si>
    <t>septembrie 2021- consum validat in limita credite 9 luni (+difer CV august 269390,86 lei)</t>
  </si>
  <si>
    <t>Total trim. III 2021 - consum validat in limita credite 9 luni</t>
  </si>
  <si>
    <t>Total 9 luni 2021 - consum validat in limita credite 9 luni</t>
  </si>
  <si>
    <t>octombrie 2021 -consum realizat + diferente sept (371651,14 -activ curenta + 134486,30 CV)</t>
  </si>
  <si>
    <t>CREDITELOR DE ANGAJAMENT REALIZATE PRIVIND ELIBERAREA MEDICAMENTELOR CU ŞI FĂRĂ CONTRIBUŢIE PERSONALĂ PENTRU ANUL 2021, CA URMARE A VALIDĂRII CONSUMULUI RAPORTAT PENTRU LUNA DECEMBRIE 2021 IN LIMITA CREDITELOR DE ANGAJAMENT APROBATE CONFORM ADRESEI CNAS NR. P11406/28.12.2021</t>
  </si>
  <si>
    <r>
      <t>CREDITE ANGAJAMENT REALIZATE AN 2021</t>
    </r>
    <r>
      <rPr>
        <b/>
        <sz val="10"/>
        <rFont val="Times New Roman"/>
        <family val="1"/>
      </rPr>
      <t>- COST VOLUM (FARA PENS90%)</t>
    </r>
  </si>
  <si>
    <t>noiembrie 2021 - consum realizat</t>
  </si>
  <si>
    <t>decembrie 2021  - consum validat in limita credite an 2021</t>
  </si>
  <si>
    <t>Total trim. IV 2021 - consum validat in limita credite an 2021</t>
  </si>
  <si>
    <t>TOTAL AN 2021 - consum validat in limita credite an 2021</t>
  </si>
  <si>
    <t>21=15+19</t>
  </si>
  <si>
    <t>22=1-21</t>
  </si>
  <si>
    <t>Credite neconsumate AN 2021 (economii)</t>
  </si>
  <si>
    <t>Depășire la data de 31.12.2021 (consum nevalidat )</t>
  </si>
  <si>
    <t>Consum mediu lunar înregistrat AN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</si>
</sst>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/>
    </xf>
    <xf numFmtId="4" fontId="1" fillId="33" borderId="14" xfId="0" applyNumberFormat="1" applyFont="1" applyFill="1" applyBorder="1" applyAlignment="1">
      <alignment horizontal="right" vertical="top"/>
    </xf>
    <xf numFmtId="4" fontId="1" fillId="33" borderId="14" xfId="0" applyNumberFormat="1" applyFont="1" applyFill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4" fontId="1" fillId="33" borderId="15" xfId="0" applyNumberFormat="1" applyFont="1" applyFill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1" fillId="0" borderId="14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1" fillId="33" borderId="14" xfId="0" applyNumberFormat="1" applyFont="1" applyFill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4" fontId="8" fillId="0" borderId="14" xfId="0" applyNumberFormat="1" applyFont="1" applyFill="1" applyBorder="1" applyAlignment="1">
      <alignment vertical="top"/>
    </xf>
    <xf numFmtId="0" fontId="9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" fontId="1" fillId="34" borderId="14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/>
    </xf>
    <xf numFmtId="4" fontId="1" fillId="33" borderId="16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" fontId="10" fillId="0" borderId="15" xfId="0" applyNumberFormat="1" applyFont="1" applyBorder="1" applyAlignment="1">
      <alignment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/>
    </xf>
    <xf numFmtId="4" fontId="10" fillId="33" borderId="14" xfId="0" applyNumberFormat="1" applyFont="1" applyFill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4" fontId="10" fillId="0" borderId="14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" fontId="2" fillId="35" borderId="14" xfId="0" applyNumberFormat="1" applyFont="1" applyFill="1" applyBorder="1" applyAlignment="1">
      <alignment vertical="top"/>
    </xf>
    <xf numFmtId="4" fontId="1" fillId="35" borderId="14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D1">
      <selection activeCell="Q1" sqref="Q1"/>
    </sheetView>
  </sheetViews>
  <sheetFormatPr defaultColWidth="9.140625" defaultRowHeight="12.75"/>
  <cols>
    <col min="1" max="1" width="13.00390625" style="2" customWidth="1"/>
    <col min="2" max="2" width="42.421875" style="2" customWidth="1"/>
    <col min="3" max="3" width="15.00390625" style="2" customWidth="1"/>
    <col min="4" max="4" width="13.8515625" style="2" customWidth="1"/>
    <col min="5" max="5" width="11.140625" style="2" customWidth="1"/>
    <col min="6" max="6" width="13.140625" style="2" customWidth="1"/>
    <col min="7" max="7" width="11.421875" style="2" customWidth="1"/>
    <col min="8" max="8" width="13.8515625" style="2" customWidth="1"/>
    <col min="9" max="9" width="11.28125" style="2" customWidth="1"/>
    <col min="10" max="10" width="13.8515625" style="2" customWidth="1"/>
    <col min="11" max="11" width="10.57421875" style="2" customWidth="1"/>
    <col min="12" max="12" width="13.8515625" style="2" customWidth="1"/>
    <col min="13" max="14" width="12.7109375" style="2" customWidth="1"/>
    <col min="15" max="15" width="13.140625" style="2" customWidth="1"/>
    <col min="16" max="16" width="12.140625" style="2" customWidth="1"/>
    <col min="17" max="17" width="13.28125" style="2" customWidth="1"/>
    <col min="18" max="16384" width="9.140625" style="2" customWidth="1"/>
  </cols>
  <sheetData>
    <row r="1" spans="1:17" ht="12.75">
      <c r="A1" s="1" t="s">
        <v>0</v>
      </c>
      <c r="F1" s="3"/>
      <c r="Q1" s="3"/>
    </row>
    <row r="2" spans="1:17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4" customFormat="1" ht="33" customHeight="1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3.5" thickBot="1"/>
    <row r="5" spans="1:17" ht="86.25" customHeight="1">
      <c r="A5" s="5" t="s">
        <v>2</v>
      </c>
      <c r="B5" s="6" t="s">
        <v>3</v>
      </c>
      <c r="C5" s="6" t="s">
        <v>11</v>
      </c>
      <c r="D5" s="40" t="s">
        <v>25</v>
      </c>
      <c r="E5" s="6" t="s">
        <v>12</v>
      </c>
      <c r="F5" s="40" t="s">
        <v>26</v>
      </c>
      <c r="G5" s="6" t="s">
        <v>13</v>
      </c>
      <c r="H5" s="40" t="s">
        <v>49</v>
      </c>
      <c r="I5" s="6" t="s">
        <v>14</v>
      </c>
      <c r="J5" s="40" t="s">
        <v>27</v>
      </c>
      <c r="K5" s="6" t="s">
        <v>15</v>
      </c>
      <c r="L5" s="40" t="s">
        <v>28</v>
      </c>
      <c r="M5" s="6" t="s">
        <v>16</v>
      </c>
      <c r="N5" s="40" t="s">
        <v>29</v>
      </c>
      <c r="O5" s="41" t="s">
        <v>30</v>
      </c>
      <c r="P5" s="6" t="s">
        <v>31</v>
      </c>
      <c r="Q5" s="7" t="s">
        <v>17</v>
      </c>
    </row>
    <row r="6" spans="1:17" ht="12.75">
      <c r="A6" s="8">
        <v>0</v>
      </c>
      <c r="B6" s="9">
        <v>1</v>
      </c>
      <c r="C6" s="9">
        <v>2</v>
      </c>
      <c r="D6" s="42">
        <v>3</v>
      </c>
      <c r="E6" s="9">
        <v>4</v>
      </c>
      <c r="F6" s="43">
        <v>5</v>
      </c>
      <c r="G6" s="9">
        <v>6</v>
      </c>
      <c r="H6" s="43">
        <v>7</v>
      </c>
      <c r="I6" s="10">
        <v>8</v>
      </c>
      <c r="J6" s="43">
        <v>9</v>
      </c>
      <c r="K6" s="9">
        <v>10</v>
      </c>
      <c r="L6" s="43">
        <v>11</v>
      </c>
      <c r="M6" s="10" t="s">
        <v>18</v>
      </c>
      <c r="N6" s="43" t="s">
        <v>19</v>
      </c>
      <c r="O6" s="44" t="s">
        <v>20</v>
      </c>
      <c r="P6" s="45">
        <v>15</v>
      </c>
      <c r="Q6" s="36" t="s">
        <v>21</v>
      </c>
    </row>
    <row r="7" spans="1:17" ht="12.75">
      <c r="A7" s="11">
        <v>1</v>
      </c>
      <c r="B7" s="12" t="s">
        <v>22</v>
      </c>
      <c r="C7" s="13">
        <f>ROUND(C11+C15+C20+C25,2)</f>
        <v>88273800</v>
      </c>
      <c r="D7" s="46">
        <v>88273800</v>
      </c>
      <c r="E7" s="13">
        <f>ROUND(E11+E15+E20+E25,2)</f>
        <v>2431000</v>
      </c>
      <c r="F7" s="46">
        <v>2431000</v>
      </c>
      <c r="G7" s="13">
        <f>ROUND(G11+G15+G20+G25,2)</f>
        <v>3652510</v>
      </c>
      <c r="H7" s="46">
        <v>3652510</v>
      </c>
      <c r="I7" s="13">
        <f>ROUND(I11+I15+I20+I25,2)</f>
        <v>240530</v>
      </c>
      <c r="J7" s="46">
        <v>240530</v>
      </c>
      <c r="K7" s="13">
        <f>ROUND(K11+K15+K20+K25,2)</f>
        <v>192220</v>
      </c>
      <c r="L7" s="46">
        <v>192220</v>
      </c>
      <c r="M7" s="14">
        <f>ROUND(G7+I7+K7,2)</f>
        <v>4085260</v>
      </c>
      <c r="N7" s="46">
        <v>4085260</v>
      </c>
      <c r="O7" s="14">
        <f>ROUND(O11+O15+O20+O25,2)</f>
        <v>94748172.3</v>
      </c>
      <c r="P7" s="14">
        <f>ROUND(P11+P15+P20+P25,2)</f>
        <v>94780535.77</v>
      </c>
      <c r="Q7" s="15">
        <f>Q25</f>
        <v>-473773.9699999988</v>
      </c>
    </row>
    <row r="8" spans="1:17" ht="12.75">
      <c r="A8" s="17">
        <v>2</v>
      </c>
      <c r="B8" s="18" t="s">
        <v>32</v>
      </c>
      <c r="C8" s="19"/>
      <c r="D8" s="20">
        <f>7399000+119713.47</f>
        <v>7518713.47</v>
      </c>
      <c r="E8" s="20"/>
      <c r="F8" s="21">
        <f>219000+3443.5</f>
        <v>222443.5</v>
      </c>
      <c r="G8" s="20"/>
      <c r="H8" s="21">
        <f>76000+101010.01</f>
        <v>177010.01</v>
      </c>
      <c r="I8" s="21"/>
      <c r="J8" s="21">
        <f>7000+3932.4</f>
        <v>10932.4</v>
      </c>
      <c r="K8" s="20"/>
      <c r="L8" s="21">
        <f>6000+2745.87</f>
        <v>8745.869999999999</v>
      </c>
      <c r="M8" s="21"/>
      <c r="N8" s="14">
        <f>ROUND(H8+J8+L8,2)</f>
        <v>196688.28</v>
      </c>
      <c r="O8" s="14">
        <f>ROUND(D8+F8+N8,2)</f>
        <v>7937845.25</v>
      </c>
      <c r="P8" s="48">
        <v>7937845.25</v>
      </c>
      <c r="Q8" s="22">
        <f>ROUND(O8-P8,2)</f>
        <v>0</v>
      </c>
    </row>
    <row r="9" spans="1:17" ht="12.75">
      <c r="A9" s="17">
        <v>3</v>
      </c>
      <c r="B9" s="18" t="s">
        <v>33</v>
      </c>
      <c r="C9" s="19"/>
      <c r="D9" s="20">
        <f>7399000-119713.47+300000-458632.44</f>
        <v>7120654.09</v>
      </c>
      <c r="E9" s="20"/>
      <c r="F9" s="21">
        <f>219000-3443.5+9000-33844.61</f>
        <v>190711.89</v>
      </c>
      <c r="G9" s="20"/>
      <c r="H9" s="21">
        <f>76000-25010.01+134994.97</f>
        <v>185984.96000000002</v>
      </c>
      <c r="I9" s="21"/>
      <c r="J9" s="21">
        <f>7000-3932.4+7000+1235.16</f>
        <v>11302.76</v>
      </c>
      <c r="K9" s="20"/>
      <c r="L9" s="21">
        <f>6000-2745.87+6000-212.13</f>
        <v>9042.000000000002</v>
      </c>
      <c r="M9" s="21"/>
      <c r="N9" s="14">
        <f>ROUND(H9+J9+L9,2)</f>
        <v>206329.72</v>
      </c>
      <c r="O9" s="14">
        <f aca="true" t="shared" si="0" ref="O9:O14">ROUND(D9+F9+N9,2)</f>
        <v>7517695.7</v>
      </c>
      <c r="P9" s="48">
        <v>7517695.7</v>
      </c>
      <c r="Q9" s="47">
        <f>P9-O9</f>
        <v>0</v>
      </c>
    </row>
    <row r="10" spans="1:17" ht="12.75">
      <c r="A10" s="8">
        <v>4</v>
      </c>
      <c r="B10" s="18" t="s">
        <v>34</v>
      </c>
      <c r="C10" s="19"/>
      <c r="D10" s="20">
        <f>7600000+458632.44-189475.14</f>
        <v>7869157.300000001</v>
      </c>
      <c r="E10" s="20"/>
      <c r="F10" s="21">
        <f>225000+33844.61-40811.12</f>
        <v>218033.49</v>
      </c>
      <c r="G10" s="20"/>
      <c r="H10" s="30">
        <f>200005.03+25284.7</f>
        <v>225289.73</v>
      </c>
      <c r="I10" s="30"/>
      <c r="J10" s="30">
        <f>13000.84+1764-915.56</f>
        <v>13849.28</v>
      </c>
      <c r="K10" s="20"/>
      <c r="L10" s="57">
        <f>212.13+11000-4000</f>
        <v>7212.129999999999</v>
      </c>
      <c r="M10" s="30"/>
      <c r="N10" s="14">
        <f>ROUND(H10+J10+L10,2)</f>
        <v>246351.14</v>
      </c>
      <c r="O10" s="14">
        <f t="shared" si="0"/>
        <v>8333541.93</v>
      </c>
      <c r="P10" s="48">
        <v>8337409.03</v>
      </c>
      <c r="Q10" s="54">
        <f>P10-O10</f>
        <v>3867.100000000559</v>
      </c>
    </row>
    <row r="11" spans="1:17" s="1" customFormat="1" ht="12.75">
      <c r="A11" s="23" t="s">
        <v>4</v>
      </c>
      <c r="B11" s="37" t="s">
        <v>35</v>
      </c>
      <c r="C11" s="14">
        <f>7399000+7399000+7900000</f>
        <v>22698000</v>
      </c>
      <c r="D11" s="13">
        <f>SUM(D8:D10)</f>
        <v>22508524.86</v>
      </c>
      <c r="E11" s="13">
        <f>219000+219000+234000</f>
        <v>672000</v>
      </c>
      <c r="F11" s="13">
        <f>SUM(F8:F10)</f>
        <v>631188.88</v>
      </c>
      <c r="G11" s="13">
        <f>76000+76000+76000+335000+25290</f>
        <v>588290</v>
      </c>
      <c r="H11" s="13">
        <f>SUM(H8:H10)</f>
        <v>588284.7000000001</v>
      </c>
      <c r="I11" s="13">
        <f>7000+7000+7000+16000</f>
        <v>37000</v>
      </c>
      <c r="J11" s="13">
        <f>SUM(J8:J10)</f>
        <v>36084.44</v>
      </c>
      <c r="K11" s="13">
        <f>6000+6000+6000+11000-4000</f>
        <v>25000</v>
      </c>
      <c r="L11" s="13">
        <f>SUM(L8:L10)</f>
        <v>25000</v>
      </c>
      <c r="M11" s="14">
        <f>ROUND(G11+I11+K11,2)</f>
        <v>650290</v>
      </c>
      <c r="N11" s="13">
        <f>SUM(N8:N10)</f>
        <v>649369.14</v>
      </c>
      <c r="O11" s="13">
        <f>SUM(O8:O10)</f>
        <v>23789082.88</v>
      </c>
      <c r="P11" s="13">
        <f>SUM(P8:P10)</f>
        <v>23792949.98</v>
      </c>
      <c r="Q11" s="24">
        <f>SUM(Q8:Q10)</f>
        <v>3867.100000000559</v>
      </c>
    </row>
    <row r="12" spans="1:17" ht="12.75">
      <c r="A12" s="17">
        <v>6</v>
      </c>
      <c r="B12" s="25" t="s">
        <v>36</v>
      </c>
      <c r="C12" s="19"/>
      <c r="D12" s="20">
        <f>7300000+189475.14-494898.56</f>
        <v>6994576.58</v>
      </c>
      <c r="E12" s="20"/>
      <c r="F12" s="21">
        <f>215000+40811.12-49045.21</f>
        <v>206765.91</v>
      </c>
      <c r="G12" s="20"/>
      <c r="H12" s="21">
        <f>200000-25290+5.3+62510.57</f>
        <v>237225.87</v>
      </c>
      <c r="I12" s="21"/>
      <c r="J12" s="21">
        <f>13000+915.56+1813.25</f>
        <v>15728.81</v>
      </c>
      <c r="K12" s="20"/>
      <c r="L12" s="21">
        <f>10330+4000+2120</f>
        <v>16450</v>
      </c>
      <c r="M12" s="21"/>
      <c r="N12" s="14">
        <f>ROUND(H12+J12+L12,2)</f>
        <v>269404.68</v>
      </c>
      <c r="O12" s="14">
        <f t="shared" si="0"/>
        <v>7470747.17</v>
      </c>
      <c r="P12" s="48">
        <v>7466880.07</v>
      </c>
      <c r="Q12" s="54">
        <f>P12-O12</f>
        <v>-3867.0999999996275</v>
      </c>
    </row>
    <row r="13" spans="1:17" ht="12.75">
      <c r="A13" s="17">
        <v>7</v>
      </c>
      <c r="B13" s="18" t="s">
        <v>37</v>
      </c>
      <c r="C13" s="19"/>
      <c r="D13" s="20">
        <f>7300000+494898.56-802607.81</f>
        <v>6992290.75</v>
      </c>
      <c r="E13" s="20"/>
      <c r="F13" s="21">
        <f>210000+49045.21-59132.5</f>
        <v>199912.71</v>
      </c>
      <c r="G13" s="20"/>
      <c r="H13" s="21">
        <f>198670-62510.57+102583.91</f>
        <v>238743.34</v>
      </c>
      <c r="I13" s="21"/>
      <c r="J13" s="21">
        <f>11670-1813.25+8311.59</f>
        <v>18168.34</v>
      </c>
      <c r="K13" s="20"/>
      <c r="L13" s="21">
        <f>9000-2120+4800</f>
        <v>11680</v>
      </c>
      <c r="M13" s="21"/>
      <c r="N13" s="14">
        <f>ROUND(H13+J13+L13,2)</f>
        <v>268591.68</v>
      </c>
      <c r="O13" s="14">
        <f t="shared" si="0"/>
        <v>7460795.14</v>
      </c>
      <c r="P13" s="48">
        <v>7463649.56</v>
      </c>
      <c r="Q13" s="54">
        <f>P13-O13</f>
        <v>2854.4199999999255</v>
      </c>
    </row>
    <row r="14" spans="1:17" s="4" customFormat="1" ht="25.5">
      <c r="A14" s="17">
        <v>8</v>
      </c>
      <c r="B14" s="26" t="s">
        <v>38</v>
      </c>
      <c r="C14" s="27"/>
      <c r="D14" s="20">
        <f>7503000+802607.81-429000-896552.48</f>
        <v>6980055.33</v>
      </c>
      <c r="E14" s="20"/>
      <c r="F14" s="30">
        <f>224000+59132.5-90032.27</f>
        <v>193100.22999999998</v>
      </c>
      <c r="G14" s="20"/>
      <c r="H14" s="57">
        <f>192330-102583.91+137820</f>
        <v>227566.09</v>
      </c>
      <c r="I14" s="30"/>
      <c r="J14" s="57">
        <f>12330-8311.59</f>
        <v>4018.41</v>
      </c>
      <c r="K14" s="20"/>
      <c r="L14" s="57">
        <v>0</v>
      </c>
      <c r="M14" s="30"/>
      <c r="N14" s="14">
        <f>ROUND(H14+J14+L14,2)</f>
        <v>231584.5</v>
      </c>
      <c r="O14" s="14">
        <f t="shared" si="0"/>
        <v>7404740.06</v>
      </c>
      <c r="P14" s="48">
        <v>7491519.31</v>
      </c>
      <c r="Q14" s="54">
        <f>P14-O14</f>
        <v>86779.25</v>
      </c>
    </row>
    <row r="15" spans="1:17" ht="25.5">
      <c r="A15" s="28" t="s">
        <v>5</v>
      </c>
      <c r="B15" s="29" t="s">
        <v>39</v>
      </c>
      <c r="C15" s="14">
        <f>14600000+7503000-429000</f>
        <v>21674000</v>
      </c>
      <c r="D15" s="13">
        <f>SUM(D12:D14)</f>
        <v>20966922.66</v>
      </c>
      <c r="E15" s="13">
        <f>425000+224000</f>
        <v>649000</v>
      </c>
      <c r="F15" s="13">
        <f>SUM(F12:F14)</f>
        <v>599778.85</v>
      </c>
      <c r="G15" s="13">
        <f>398670-25290+192330+137820</f>
        <v>703530</v>
      </c>
      <c r="H15" s="13">
        <f>SUM(H12:H14)</f>
        <v>703535.2999999999</v>
      </c>
      <c r="I15" s="13">
        <f>24670+12330</f>
        <v>37000</v>
      </c>
      <c r="J15" s="13">
        <f>SUM(J12:J14)</f>
        <v>37915.56</v>
      </c>
      <c r="K15" s="13">
        <v>28130</v>
      </c>
      <c r="L15" s="13">
        <f>SUM(L12:L14)</f>
        <v>28130</v>
      </c>
      <c r="M15" s="14">
        <f>ROUND(G15+I15+K15,2)</f>
        <v>768660</v>
      </c>
      <c r="N15" s="13">
        <f>SUM(N12:N14)</f>
        <v>769580.86</v>
      </c>
      <c r="O15" s="13">
        <f>SUM(O12:O14)</f>
        <v>22336282.369999997</v>
      </c>
      <c r="P15" s="13">
        <f>SUM(P12:P14)</f>
        <v>22422048.939999998</v>
      </c>
      <c r="Q15" s="24">
        <f>SUM(Q13:Q14)</f>
        <v>89633.66999999993</v>
      </c>
    </row>
    <row r="16" spans="1:17" s="1" customFormat="1" ht="25.5">
      <c r="A16" s="23" t="s">
        <v>6</v>
      </c>
      <c r="B16" s="29" t="s">
        <v>40</v>
      </c>
      <c r="C16" s="14">
        <f aca="true" t="shared" si="1" ref="C16:P16">C11+C15</f>
        <v>44372000</v>
      </c>
      <c r="D16" s="13">
        <f t="shared" si="1"/>
        <v>43475447.519999996</v>
      </c>
      <c r="E16" s="14">
        <f t="shared" si="1"/>
        <v>1321000</v>
      </c>
      <c r="F16" s="13">
        <f t="shared" si="1"/>
        <v>1230967.73</v>
      </c>
      <c r="G16" s="14">
        <f t="shared" si="1"/>
        <v>1291820</v>
      </c>
      <c r="H16" s="13">
        <f t="shared" si="1"/>
        <v>1291820</v>
      </c>
      <c r="I16" s="14">
        <f t="shared" si="1"/>
        <v>74000</v>
      </c>
      <c r="J16" s="13">
        <f t="shared" si="1"/>
        <v>74000</v>
      </c>
      <c r="K16" s="14">
        <f t="shared" si="1"/>
        <v>53130</v>
      </c>
      <c r="L16" s="13">
        <f t="shared" si="1"/>
        <v>53130</v>
      </c>
      <c r="M16" s="13">
        <f t="shared" si="1"/>
        <v>1418950</v>
      </c>
      <c r="N16" s="13">
        <f t="shared" si="1"/>
        <v>1418950</v>
      </c>
      <c r="O16" s="13">
        <f>ROUND(O11+O15,2)</f>
        <v>46125365.25</v>
      </c>
      <c r="P16" s="13">
        <f t="shared" si="1"/>
        <v>46214998.92</v>
      </c>
      <c r="Q16" s="24">
        <f>Q15</f>
        <v>89633.66999999993</v>
      </c>
    </row>
    <row r="17" spans="1:18" ht="38.25">
      <c r="A17" s="17">
        <v>11</v>
      </c>
      <c r="B17" s="26" t="s">
        <v>42</v>
      </c>
      <c r="C17" s="19"/>
      <c r="D17" s="20">
        <f>7300000+429000+896552.48-1223338</f>
        <v>7402214.48</v>
      </c>
      <c r="E17" s="20"/>
      <c r="F17" s="21">
        <f>210000+90032.27-97085.96</f>
        <v>202946.31</v>
      </c>
      <c r="G17" s="20"/>
      <c r="H17" s="21">
        <f>250000+129132.11</f>
        <v>379132.11</v>
      </c>
      <c r="I17" s="21"/>
      <c r="J17" s="21">
        <f>13080+26000-975.1</f>
        <v>38104.9</v>
      </c>
      <c r="K17" s="20"/>
      <c r="L17" s="30">
        <v>21850</v>
      </c>
      <c r="M17" s="21"/>
      <c r="N17" s="14">
        <f>ROUND(H17+J17+L17,2)</f>
        <v>439087.01</v>
      </c>
      <c r="O17" s="14">
        <f>ROUND(D17+F17+N17,2)</f>
        <v>8044247.8</v>
      </c>
      <c r="P17" s="48">
        <v>7969316.46</v>
      </c>
      <c r="Q17" s="54">
        <f>P17-O17</f>
        <v>-74931.33999999985</v>
      </c>
      <c r="R17" s="16"/>
    </row>
    <row r="18" spans="1:17" ht="25.5">
      <c r="A18" s="17">
        <v>12</v>
      </c>
      <c r="B18" s="26" t="s">
        <v>43</v>
      </c>
      <c r="C18" s="19"/>
      <c r="D18" s="20">
        <f>7500000+1223338-1709811.97</f>
        <v>7013526.03</v>
      </c>
      <c r="E18" s="21"/>
      <c r="F18" s="21">
        <f>230000+97085.96-140618.46</f>
        <v>186467.50000000003</v>
      </c>
      <c r="G18" s="21"/>
      <c r="H18" s="57">
        <f>39700+22180+137820-129132.11</f>
        <v>70567.89</v>
      </c>
      <c r="I18" s="21"/>
      <c r="J18" s="21">
        <f>6750+975.1+13560.9-0.4</f>
        <v>21285.6</v>
      </c>
      <c r="K18" s="21"/>
      <c r="L18" s="21">
        <f>31731-0.82</f>
        <v>31730.18</v>
      </c>
      <c r="M18" s="21"/>
      <c r="N18" s="14">
        <f>ROUND(H18+J18+L18,2)</f>
        <v>123583.67</v>
      </c>
      <c r="O18" s="14">
        <f>ROUND(D18+F18+N18,2)</f>
        <v>7323577.2</v>
      </c>
      <c r="P18" s="48">
        <v>7578265.73</v>
      </c>
      <c r="Q18" s="54">
        <f>P18-O18</f>
        <v>254688.53000000026</v>
      </c>
    </row>
    <row r="19" spans="1:17" ht="25.5">
      <c r="A19" s="17">
        <v>13</v>
      </c>
      <c r="B19" s="26" t="s">
        <v>44</v>
      </c>
      <c r="C19" s="21"/>
      <c r="D19" s="66">
        <f>4282000+1709811.97+1121000</f>
        <v>7112811.97</v>
      </c>
      <c r="E19" s="30"/>
      <c r="F19" s="21">
        <f>230000+140618.46-168678.08</f>
        <v>201940.37999999998</v>
      </c>
      <c r="G19" s="30"/>
      <c r="H19" s="57">
        <f>516500</f>
        <v>516500</v>
      </c>
      <c r="I19" s="21"/>
      <c r="J19" s="21">
        <f>28709.1+0.4-5574.04</f>
        <v>23135.46</v>
      </c>
      <c r="K19" s="30"/>
      <c r="L19" s="21">
        <f>22979+0.82+62690-67162.16</f>
        <v>18507.660000000003</v>
      </c>
      <c r="M19" s="21"/>
      <c r="N19" s="14">
        <f>ROUND(H19+J19+L19,2)</f>
        <v>558143.12</v>
      </c>
      <c r="O19" s="14">
        <f>ROUND(D19+F19+N19,2)</f>
        <v>7872895.47</v>
      </c>
      <c r="P19" s="48">
        <v>8109642.05</v>
      </c>
      <c r="Q19" s="54">
        <f>P19-O19</f>
        <v>236746.58000000007</v>
      </c>
    </row>
    <row r="20" spans="1:17" s="1" customFormat="1" ht="25.5">
      <c r="A20" s="23" t="s">
        <v>7</v>
      </c>
      <c r="B20" s="29" t="s">
        <v>45</v>
      </c>
      <c r="C20" s="14">
        <f>19082000+429000+1121000</f>
        <v>20632000</v>
      </c>
      <c r="D20" s="13">
        <f>ROUND(D17+D18+D19,2)</f>
        <v>21528552.48</v>
      </c>
      <c r="E20" s="14">
        <v>670000</v>
      </c>
      <c r="F20" s="13">
        <f>ROUND(F17+F18+F19,2)</f>
        <v>591354.19</v>
      </c>
      <c r="G20" s="14">
        <f>449700+516500</f>
        <v>966200</v>
      </c>
      <c r="H20" s="13">
        <f>ROUND(H17+H18+H19,2)</f>
        <v>966200</v>
      </c>
      <c r="I20" s="13">
        <f>13080+32750+42270</f>
        <v>88100</v>
      </c>
      <c r="J20" s="13">
        <f>ROUND(J17+J18+J19,2)</f>
        <v>82525.96</v>
      </c>
      <c r="K20" s="14">
        <f>21850+54710+62690-160</f>
        <v>139090</v>
      </c>
      <c r="L20" s="13">
        <f>ROUND(L17+L18+L19,2)</f>
        <v>72087.84</v>
      </c>
      <c r="M20" s="14">
        <f>ROUND(G20+I20+K20,2)</f>
        <v>1193390</v>
      </c>
      <c r="N20" s="13">
        <f>ROUND(N17+N18+N19,2)</f>
        <v>1120813.8</v>
      </c>
      <c r="O20" s="13">
        <f>ROUND(O17+O18+O19,2)</f>
        <v>23240720.47</v>
      </c>
      <c r="P20" s="13">
        <f>ROUND(P17+P18+P19,2)</f>
        <v>23657224.24</v>
      </c>
      <c r="Q20" s="24">
        <f>ROUND(Q16+Q17+Q18+Q19,2)</f>
        <v>506137.44</v>
      </c>
    </row>
    <row r="21" spans="1:17" s="1" customFormat="1" ht="25.5">
      <c r="A21" s="23" t="s">
        <v>8</v>
      </c>
      <c r="B21" s="29" t="s">
        <v>46</v>
      </c>
      <c r="C21" s="14">
        <f>C16+C20</f>
        <v>65004000</v>
      </c>
      <c r="D21" s="13">
        <f>ROUND(D16+D20,2)</f>
        <v>65004000</v>
      </c>
      <c r="E21" s="14">
        <f>E16+E20</f>
        <v>1991000</v>
      </c>
      <c r="F21" s="13">
        <f>ROUND(F16+F20,2)</f>
        <v>1822321.92</v>
      </c>
      <c r="G21" s="14">
        <f>G16+G20</f>
        <v>2258020</v>
      </c>
      <c r="H21" s="13">
        <f>ROUND(H16+H20,2)</f>
        <v>2258020</v>
      </c>
      <c r="I21" s="14">
        <f>I16+I20</f>
        <v>162100</v>
      </c>
      <c r="J21" s="13">
        <f>ROUND(J16+J20,2)</f>
        <v>156525.96</v>
      </c>
      <c r="K21" s="14">
        <f>K16+K20</f>
        <v>192220</v>
      </c>
      <c r="L21" s="13">
        <f>ROUND(L16+L20,2)</f>
        <v>125217.84</v>
      </c>
      <c r="M21" s="13">
        <f>ROUND(M16+M20,2)</f>
        <v>2612340</v>
      </c>
      <c r="N21" s="13">
        <f>ROUND(N16+N20,2)</f>
        <v>2539763.8</v>
      </c>
      <c r="O21" s="13">
        <f>ROUND(O16+O20,2)</f>
        <v>69366085.72</v>
      </c>
      <c r="P21" s="13">
        <f>ROUND(P16+P20,2)</f>
        <v>69872223.16</v>
      </c>
      <c r="Q21" s="24">
        <f>Q20</f>
        <v>506137.44</v>
      </c>
    </row>
    <row r="22" spans="1:17" ht="25.5">
      <c r="A22" s="17">
        <v>16</v>
      </c>
      <c r="B22" s="50" t="s">
        <v>47</v>
      </c>
      <c r="C22" s="21"/>
      <c r="D22" s="30">
        <f>7300000+763486.59</f>
        <v>8063486.59</v>
      </c>
      <c r="E22" s="21"/>
      <c r="F22" s="21">
        <f>230000-29322.73</f>
        <v>200677.27</v>
      </c>
      <c r="G22" s="21"/>
      <c r="H22" s="30">
        <f>350000+175650.42</f>
        <v>525650.42</v>
      </c>
      <c r="I22" s="30"/>
      <c r="J22" s="30">
        <f>30000+5574.04-12162.3</f>
        <v>23411.74</v>
      </c>
      <c r="K22" s="30"/>
      <c r="L22" s="30">
        <f>9310+15162.16-5743.55</f>
        <v>18728.61</v>
      </c>
      <c r="M22" s="38"/>
      <c r="N22" s="14">
        <f>ROUND(H22+J22+L22,2)</f>
        <v>567790.77</v>
      </c>
      <c r="O22" s="14">
        <f>ROUND(D22+F22+N22,2)</f>
        <v>8831954.63</v>
      </c>
      <c r="P22" s="48">
        <v>8325817.19</v>
      </c>
      <c r="Q22" s="54">
        <f>P22-O22</f>
        <v>-506137.4400000004</v>
      </c>
    </row>
    <row r="23" spans="1:18" ht="12.75">
      <c r="A23" s="17">
        <v>17</v>
      </c>
      <c r="B23" s="49" t="s">
        <v>50</v>
      </c>
      <c r="C23" s="21"/>
      <c r="D23" s="30">
        <f>6614000-763486.59+2000000-99117.11</f>
        <v>7751396.3</v>
      </c>
      <c r="E23" s="30"/>
      <c r="F23" s="30">
        <f>37000+168678.08+29322.73-25000-9057.05</f>
        <v>200943.76</v>
      </c>
      <c r="G23" s="30"/>
      <c r="H23" s="30">
        <f>226270-175650.42+400000-1872.44</f>
        <v>448747.13999999996</v>
      </c>
      <c r="I23" s="30"/>
      <c r="J23" s="30">
        <f>30000+12162.3-11570-2001.2</f>
        <v>28591.100000000002</v>
      </c>
      <c r="K23" s="30"/>
      <c r="L23" s="30">
        <f>26000+5743.55-9470+598.5</f>
        <v>22872.05</v>
      </c>
      <c r="M23" s="38"/>
      <c r="N23" s="14">
        <f>ROUND(H23+J23+L23,2)</f>
        <v>500210.29</v>
      </c>
      <c r="O23" s="14">
        <f>ROUND(D23+F23+N23,2)</f>
        <v>8452550.35</v>
      </c>
      <c r="P23" s="48">
        <v>8452550.35</v>
      </c>
      <c r="Q23" s="47">
        <f>P23-O23</f>
        <v>0</v>
      </c>
      <c r="R23" s="16"/>
    </row>
    <row r="24" spans="1:17" ht="25.5">
      <c r="A24" s="17">
        <v>18</v>
      </c>
      <c r="B24" s="50" t="s">
        <v>51</v>
      </c>
      <c r="C24" s="21"/>
      <c r="D24" s="30">
        <f>7355800+99117.11-20805.03</f>
        <v>7434112.08</v>
      </c>
      <c r="E24" s="21"/>
      <c r="F24" s="30">
        <f>198000+9057.05-18727.08</f>
        <v>188329.96999999997</v>
      </c>
      <c r="G24" s="21"/>
      <c r="H24" s="69">
        <f>418220+1872.44</f>
        <v>420092.44</v>
      </c>
      <c r="I24" s="39"/>
      <c r="J24" s="30">
        <f>30000+2001.2-1419.02</f>
        <v>30582.18</v>
      </c>
      <c r="K24" s="30"/>
      <c r="L24" s="30">
        <f>26000-598.5-936.57</f>
        <v>24464.93</v>
      </c>
      <c r="M24" s="38"/>
      <c r="N24" s="14">
        <f>ROUND(H24+J24+L24,2)</f>
        <v>475139.55</v>
      </c>
      <c r="O24" s="14">
        <f>ROUND(D24+F24+N24,2)</f>
        <v>8097581.6</v>
      </c>
      <c r="P24" s="70">
        <f>8097581.6+32363.47</f>
        <v>8129945.069999999</v>
      </c>
      <c r="Q24" s="47">
        <f>P24-O24</f>
        <v>32363.46999999974</v>
      </c>
    </row>
    <row r="25" spans="1:17" ht="25.5">
      <c r="A25" s="23" t="s">
        <v>9</v>
      </c>
      <c r="B25" s="29" t="s">
        <v>52</v>
      </c>
      <c r="C25" s="14">
        <f>13914000+9355800</f>
        <v>23269800</v>
      </c>
      <c r="D25" s="14">
        <f>D22+D23+D24</f>
        <v>23248994.97</v>
      </c>
      <c r="E25" s="14">
        <f>267000+198000-25000</f>
        <v>440000</v>
      </c>
      <c r="F25" s="14">
        <f>F22+F23+F24</f>
        <v>589951</v>
      </c>
      <c r="G25" s="14">
        <f>576270+818220</f>
        <v>1394490</v>
      </c>
      <c r="H25" s="14">
        <f>H22+H23+H24</f>
        <v>1394490</v>
      </c>
      <c r="I25" s="14">
        <f>90000-11570</f>
        <v>78430</v>
      </c>
      <c r="J25" s="14">
        <f>J22+J23+J24</f>
        <v>82585.02</v>
      </c>
      <c r="K25" s="14">
        <f>9310-9310</f>
        <v>0</v>
      </c>
      <c r="L25" s="14">
        <f>L22+L23+L24</f>
        <v>66065.59</v>
      </c>
      <c r="M25" s="14">
        <f>ROUND(G25+I25+K25,2)</f>
        <v>1472920</v>
      </c>
      <c r="N25" s="14">
        <f>N22+N23+N24</f>
        <v>1543140.61</v>
      </c>
      <c r="O25" s="14">
        <f>ROUND(O22+O23+O24,2)</f>
        <v>25382086.58</v>
      </c>
      <c r="P25" s="14">
        <f>P22+P23+P24</f>
        <v>24908312.61</v>
      </c>
      <c r="Q25" s="47">
        <f>P25-O25</f>
        <v>-473773.9699999988</v>
      </c>
    </row>
    <row r="26" spans="1:17" ht="25.5">
      <c r="A26" s="23" t="s">
        <v>10</v>
      </c>
      <c r="B26" s="29" t="s">
        <v>53</v>
      </c>
      <c r="C26" s="14">
        <f aca="true" t="shared" si="2" ref="C26:P26">ROUND(C11+C15+C20+C25,2)</f>
        <v>88273800</v>
      </c>
      <c r="D26" s="14">
        <f t="shared" si="2"/>
        <v>88252994.97</v>
      </c>
      <c r="E26" s="14">
        <f t="shared" si="2"/>
        <v>2431000</v>
      </c>
      <c r="F26" s="14">
        <f t="shared" si="2"/>
        <v>2412272.92</v>
      </c>
      <c r="G26" s="14">
        <f t="shared" si="2"/>
        <v>3652510</v>
      </c>
      <c r="H26" s="14">
        <f t="shared" si="2"/>
        <v>3652510</v>
      </c>
      <c r="I26" s="14">
        <f t="shared" si="2"/>
        <v>240530</v>
      </c>
      <c r="J26" s="14">
        <f t="shared" si="2"/>
        <v>239110.98</v>
      </c>
      <c r="K26" s="14">
        <f t="shared" si="2"/>
        <v>192220</v>
      </c>
      <c r="L26" s="14">
        <f t="shared" si="2"/>
        <v>191283.43</v>
      </c>
      <c r="M26" s="14">
        <f t="shared" si="2"/>
        <v>4085260</v>
      </c>
      <c r="N26" s="14">
        <f t="shared" si="2"/>
        <v>4082904.41</v>
      </c>
      <c r="O26" s="14">
        <f t="shared" si="2"/>
        <v>94748172.3</v>
      </c>
      <c r="P26" s="14">
        <f t="shared" si="2"/>
        <v>94780535.77</v>
      </c>
      <c r="Q26" s="47">
        <f>P26-O26</f>
        <v>32363.469999998808</v>
      </c>
    </row>
    <row r="27" spans="1:17" s="1" customFormat="1" ht="25.5">
      <c r="A27" s="71" t="s">
        <v>54</v>
      </c>
      <c r="B27" s="61" t="s">
        <v>23</v>
      </c>
      <c r="C27" s="61"/>
      <c r="D27" s="35">
        <f>ROUND(D8+D9+D10+D12+D13+D14+D17+D18+D19+D22+D23+D24,2)</f>
        <v>88252994.97</v>
      </c>
      <c r="E27" s="35"/>
      <c r="F27" s="35">
        <f>ROUND(F8+F9+F10+F12+F13+F14+F17+F18+F19+F22+F23+F24,2)</f>
        <v>2412272.92</v>
      </c>
      <c r="G27" s="35"/>
      <c r="H27" s="35">
        <f>ROUND(H8+H9+H10+H12+H13+H14+H17+H18+H19+H22+H23+H24,2)</f>
        <v>3652510</v>
      </c>
      <c r="I27" s="35"/>
      <c r="J27" s="35">
        <f>ROUND(J8+J9+J10+J12+J13+J14+J17+J18+J19+J22+J23+J24,2)</f>
        <v>239110.98</v>
      </c>
      <c r="K27" s="35"/>
      <c r="L27" s="35">
        <f>ROUND(L8+L9+L10+L12+L13+L14+L17+L18+L19+L22+L23+L24,2)</f>
        <v>191283.43</v>
      </c>
      <c r="M27" s="35"/>
      <c r="N27" s="14">
        <f>ROUND(H27+J27+L27,2)</f>
        <v>4082904.41</v>
      </c>
      <c r="O27" s="14">
        <f>ROUND(D27+F27+N27,2)</f>
        <v>94748172.3</v>
      </c>
      <c r="P27" s="35">
        <f>ROUND(P8+P9+P10+P12+P13+P14+P17+P18+P19+P22+P23+P24,2)</f>
        <v>94780535.77</v>
      </c>
      <c r="Q27" s="54">
        <f>ROUND(P27-O27,2)</f>
        <v>32363.47</v>
      </c>
    </row>
    <row r="28" spans="1:17" s="1" customFormat="1" ht="12.75">
      <c r="A28" s="72" t="s">
        <v>55</v>
      </c>
      <c r="B28" s="61" t="s">
        <v>56</v>
      </c>
      <c r="C28" s="61"/>
      <c r="D28" s="35">
        <f>ROUND(D7-D27,2)</f>
        <v>20805.03</v>
      </c>
      <c r="E28" s="35"/>
      <c r="F28" s="35">
        <f>ROUND(F7-F27,2)</f>
        <v>18727.08</v>
      </c>
      <c r="G28" s="35"/>
      <c r="H28" s="35">
        <f>ROUND(H7-H27,2)</f>
        <v>0</v>
      </c>
      <c r="I28" s="35"/>
      <c r="J28" s="35">
        <f>ROUND(J7-J27,2)</f>
        <v>1419.02</v>
      </c>
      <c r="K28" s="35"/>
      <c r="L28" s="35">
        <f>ROUND(L7-L27,2)</f>
        <v>936.57</v>
      </c>
      <c r="M28" s="35"/>
      <c r="N28" s="14">
        <f>ROUND(H28+J28+L28,2)</f>
        <v>2355.59</v>
      </c>
      <c r="O28" s="14">
        <f>ROUND(D28+F28+N28,2)</f>
        <v>41887.7</v>
      </c>
      <c r="P28" s="35"/>
      <c r="Q28" s="73"/>
    </row>
    <row r="29" spans="1:17" s="60" customFormat="1" ht="12.75">
      <c r="A29" s="55">
        <v>23</v>
      </c>
      <c r="B29" s="56" t="s">
        <v>57</v>
      </c>
      <c r="C29" s="56"/>
      <c r="D29" s="57">
        <v>0</v>
      </c>
      <c r="E29" s="57"/>
      <c r="F29" s="57">
        <v>0</v>
      </c>
      <c r="G29" s="57"/>
      <c r="H29" s="70">
        <v>32363.47</v>
      </c>
      <c r="I29" s="57"/>
      <c r="J29" s="57">
        <v>0</v>
      </c>
      <c r="K29" s="57"/>
      <c r="L29" s="57">
        <v>0</v>
      </c>
      <c r="M29" s="57"/>
      <c r="N29" s="58">
        <f>ROUND(H29+J29+L29,2)</f>
        <v>32363.47</v>
      </c>
      <c r="O29" s="58">
        <f>ROUND(D29+F29+N29,2)</f>
        <v>32363.47</v>
      </c>
      <c r="P29" s="57"/>
      <c r="Q29" s="59"/>
    </row>
    <row r="30" spans="1:17" s="1" customFormat="1" ht="12.75">
      <c r="A30" s="72">
        <v>24</v>
      </c>
      <c r="B30" s="61" t="s">
        <v>24</v>
      </c>
      <c r="C30" s="61"/>
      <c r="D30" s="48">
        <v>7127712.84</v>
      </c>
      <c r="E30" s="48"/>
      <c r="F30" s="48">
        <v>211519.4</v>
      </c>
      <c r="G30" s="48"/>
      <c r="H30" s="48">
        <v>72792.92</v>
      </c>
      <c r="I30" s="48"/>
      <c r="J30" s="48">
        <v>4878.42</v>
      </c>
      <c r="K30" s="48"/>
      <c r="L30" s="48">
        <v>3902.69</v>
      </c>
      <c r="M30" s="48"/>
      <c r="N30" s="14">
        <f>ROUND(H30+J30+L30,2)</f>
        <v>81574.03</v>
      </c>
      <c r="O30" s="14">
        <f>ROUND(D30+F30+N30,2)</f>
        <v>7420806.27</v>
      </c>
      <c r="P30" s="35"/>
      <c r="Q30" s="73"/>
    </row>
    <row r="31" spans="1:17" s="1" customFormat="1" ht="26.25" thickBot="1">
      <c r="A31" s="74" t="s">
        <v>41</v>
      </c>
      <c r="B31" s="75" t="s">
        <v>58</v>
      </c>
      <c r="C31" s="75"/>
      <c r="D31" s="51">
        <f>ROUND((D27+D29)/12,2)</f>
        <v>7354416.25</v>
      </c>
      <c r="E31" s="51"/>
      <c r="F31" s="51">
        <f>ROUND((F27+F29)/12,2)</f>
        <v>201022.74</v>
      </c>
      <c r="G31" s="51"/>
      <c r="H31" s="51">
        <f>ROUND((H27+H29)/12,2)</f>
        <v>307072.79</v>
      </c>
      <c r="I31" s="51"/>
      <c r="J31" s="51">
        <f>ROUND((J27+J29)/12,2)</f>
        <v>19925.92</v>
      </c>
      <c r="K31" s="51"/>
      <c r="L31" s="51">
        <f>ROUND((L27+L29)/12,2)</f>
        <v>15940.29</v>
      </c>
      <c r="M31" s="51"/>
      <c r="N31" s="52">
        <f>ROUND(H31+J31+L31,2)</f>
        <v>342939</v>
      </c>
      <c r="O31" s="52">
        <f>ROUND(D31+F31+N31,2)</f>
        <v>7898377.99</v>
      </c>
      <c r="P31" s="51"/>
      <c r="Q31" s="76"/>
    </row>
    <row r="32" spans="1:14" ht="14.25" customHeight="1">
      <c r="A32" s="62"/>
      <c r="B32" s="63"/>
      <c r="C32" s="32"/>
      <c r="E32" s="31"/>
      <c r="F32" s="33"/>
      <c r="G32" s="31"/>
      <c r="H32" s="33"/>
      <c r="I32" s="33"/>
      <c r="J32" s="33"/>
      <c r="K32" s="31"/>
      <c r="L32" s="33"/>
      <c r="M32" s="33"/>
      <c r="N32" s="33"/>
    </row>
    <row r="33" spans="1:15" ht="14.25" customHeight="1">
      <c r="A33" s="62"/>
      <c r="B33" s="63"/>
      <c r="C33" s="32"/>
      <c r="E33" s="31"/>
      <c r="F33" s="33"/>
      <c r="G33" s="31"/>
      <c r="H33" s="33"/>
      <c r="I33" s="33"/>
      <c r="J33" s="33"/>
      <c r="K33" s="31"/>
      <c r="L33" s="33"/>
      <c r="M33" s="33"/>
      <c r="N33" s="33"/>
      <c r="O33" s="16"/>
    </row>
    <row r="34" spans="3:13" ht="15.75">
      <c r="C34" s="64"/>
      <c r="E34" s="31"/>
      <c r="F34" s="33"/>
      <c r="G34" s="31"/>
      <c r="M34" s="31"/>
    </row>
    <row r="35" spans="3:13" ht="15.75">
      <c r="C35" s="65"/>
      <c r="E35" s="31"/>
      <c r="F35" s="53"/>
      <c r="G35" s="31"/>
      <c r="M35" s="31"/>
    </row>
    <row r="36" ht="14.25">
      <c r="C36" s="34"/>
    </row>
    <row r="37" ht="14.25">
      <c r="C37" s="34"/>
    </row>
    <row r="38" ht="14.25">
      <c r="C38" s="34"/>
    </row>
    <row r="39" ht="14.25">
      <c r="C39" s="34"/>
    </row>
    <row r="40" ht="14.25">
      <c r="C40" s="34"/>
    </row>
  </sheetData>
  <sheetProtection/>
  <mergeCells count="2">
    <mergeCell ref="A2:Q2"/>
    <mergeCell ref="A3:Q3"/>
  </mergeCells>
  <printOptions/>
  <pageMargins left="0.17" right="0.17" top="0.5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2022-01-20T09:51:19Z</cp:lastPrinted>
  <dcterms:created xsi:type="dcterms:W3CDTF">2019-01-29T08:52:26Z</dcterms:created>
  <dcterms:modified xsi:type="dcterms:W3CDTF">2022-01-20T09:51:25Z</dcterms:modified>
  <cp:category/>
  <cp:version/>
  <cp:contentType/>
  <cp:contentStatus/>
</cp:coreProperties>
</file>