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8520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Q30" i="1" l="1"/>
  <c r="I30" i="1"/>
  <c r="R30" i="1" s="1"/>
  <c r="Q29" i="1"/>
  <c r="I29" i="1"/>
  <c r="R29" i="1" s="1"/>
  <c r="P24" i="1"/>
  <c r="O24" i="1"/>
  <c r="N24" i="1"/>
  <c r="M24" i="1"/>
  <c r="L24" i="1"/>
  <c r="K24" i="1"/>
  <c r="J24" i="1"/>
  <c r="H24" i="1"/>
  <c r="G24" i="1"/>
  <c r="I24" i="1" s="1"/>
  <c r="F24" i="1"/>
  <c r="F25" i="1" s="1"/>
  <c r="E24" i="1"/>
  <c r="D24" i="1"/>
  <c r="C24" i="1"/>
  <c r="Q24" i="1" s="1"/>
  <c r="P23" i="1"/>
  <c r="O23" i="1"/>
  <c r="N23" i="1"/>
  <c r="M23" i="1"/>
  <c r="L23" i="1"/>
  <c r="K23" i="1"/>
  <c r="J23" i="1"/>
  <c r="H23" i="1"/>
  <c r="G23" i="1"/>
  <c r="I23" i="1" s="1"/>
  <c r="E23" i="1"/>
  <c r="D23" i="1"/>
  <c r="C23" i="1"/>
  <c r="Q23" i="1" s="1"/>
  <c r="P22" i="1"/>
  <c r="P25" i="1" s="1"/>
  <c r="O22" i="1"/>
  <c r="O25" i="1" s="1"/>
  <c r="N22" i="1"/>
  <c r="N25" i="1" s="1"/>
  <c r="M22" i="1"/>
  <c r="M25" i="1" s="1"/>
  <c r="L22" i="1"/>
  <c r="L25" i="1" s="1"/>
  <c r="K22" i="1"/>
  <c r="K25" i="1" s="1"/>
  <c r="J22" i="1"/>
  <c r="J25" i="1" s="1"/>
  <c r="H22" i="1"/>
  <c r="H25" i="1" s="1"/>
  <c r="G22" i="1"/>
  <c r="G25" i="1" s="1"/>
  <c r="E22" i="1"/>
  <c r="E25" i="1" s="1"/>
  <c r="D22" i="1"/>
  <c r="D25" i="1" s="1"/>
  <c r="C22" i="1"/>
  <c r="C25" i="1" s="1"/>
  <c r="Q25" i="1" s="1"/>
  <c r="F20" i="1"/>
  <c r="P19" i="1"/>
  <c r="O19" i="1"/>
  <c r="N19" i="1"/>
  <c r="M19" i="1"/>
  <c r="L19" i="1"/>
  <c r="K19" i="1"/>
  <c r="J19" i="1"/>
  <c r="I19" i="1"/>
  <c r="H19" i="1"/>
  <c r="G19" i="1"/>
  <c r="E19" i="1"/>
  <c r="D19" i="1"/>
  <c r="Q19" i="1" s="1"/>
  <c r="C19" i="1"/>
  <c r="P18" i="1"/>
  <c r="O18" i="1"/>
  <c r="N18" i="1"/>
  <c r="M18" i="1"/>
  <c r="L18" i="1"/>
  <c r="K18" i="1"/>
  <c r="J18" i="1"/>
  <c r="H18" i="1"/>
  <c r="I18" i="1" s="1"/>
  <c r="G18" i="1"/>
  <c r="E18" i="1"/>
  <c r="D18" i="1"/>
  <c r="C18" i="1"/>
  <c r="Q18" i="1" s="1"/>
  <c r="P17" i="1"/>
  <c r="P20" i="1" s="1"/>
  <c r="O17" i="1"/>
  <c r="O20" i="1" s="1"/>
  <c r="N17" i="1"/>
  <c r="N20" i="1" s="1"/>
  <c r="M17" i="1"/>
  <c r="M20" i="1" s="1"/>
  <c r="L17" i="1"/>
  <c r="L20" i="1" s="1"/>
  <c r="K17" i="1"/>
  <c r="K20" i="1" s="1"/>
  <c r="J17" i="1"/>
  <c r="J20" i="1" s="1"/>
  <c r="H17" i="1"/>
  <c r="H20" i="1" s="1"/>
  <c r="G17" i="1"/>
  <c r="G20" i="1" s="1"/>
  <c r="E17" i="1"/>
  <c r="E20" i="1" s="1"/>
  <c r="D17" i="1"/>
  <c r="D20" i="1" s="1"/>
  <c r="C17" i="1"/>
  <c r="C20" i="1" s="1"/>
  <c r="F15" i="1"/>
  <c r="P14" i="1"/>
  <c r="O14" i="1"/>
  <c r="N14" i="1"/>
  <c r="M14" i="1"/>
  <c r="L14" i="1"/>
  <c r="K14" i="1"/>
  <c r="J14" i="1"/>
  <c r="H14" i="1"/>
  <c r="G14" i="1"/>
  <c r="I14" i="1" s="1"/>
  <c r="R14" i="1" s="1"/>
  <c r="E14" i="1"/>
  <c r="D14" i="1"/>
  <c r="C14" i="1"/>
  <c r="Q14" i="1" s="1"/>
  <c r="P13" i="1"/>
  <c r="O13" i="1"/>
  <c r="N13" i="1"/>
  <c r="M13" i="1"/>
  <c r="L13" i="1"/>
  <c r="K13" i="1"/>
  <c r="J13" i="1"/>
  <c r="H13" i="1"/>
  <c r="G13" i="1"/>
  <c r="I13" i="1" s="1"/>
  <c r="R13" i="1" s="1"/>
  <c r="E13" i="1"/>
  <c r="D13" i="1"/>
  <c r="C13" i="1"/>
  <c r="Q13" i="1" s="1"/>
  <c r="P12" i="1"/>
  <c r="P15" i="1" s="1"/>
  <c r="O12" i="1"/>
  <c r="O15" i="1" s="1"/>
  <c r="N12" i="1"/>
  <c r="N15" i="1" s="1"/>
  <c r="M12" i="1"/>
  <c r="M15" i="1" s="1"/>
  <c r="L12" i="1"/>
  <c r="L15" i="1" s="1"/>
  <c r="K12" i="1"/>
  <c r="K15" i="1" s="1"/>
  <c r="J12" i="1"/>
  <c r="J15" i="1" s="1"/>
  <c r="H12" i="1"/>
  <c r="H15" i="1" s="1"/>
  <c r="G12" i="1"/>
  <c r="G15" i="1" s="1"/>
  <c r="E12" i="1"/>
  <c r="E15" i="1" s="1"/>
  <c r="D12" i="1"/>
  <c r="D15" i="1" s="1"/>
  <c r="C12" i="1"/>
  <c r="C15" i="1" s="1"/>
  <c r="P10" i="1"/>
  <c r="O10" i="1"/>
  <c r="N10" i="1"/>
  <c r="M10" i="1"/>
  <c r="L10" i="1"/>
  <c r="K10" i="1"/>
  <c r="J10" i="1"/>
  <c r="H10" i="1"/>
  <c r="G10" i="1"/>
  <c r="I10" i="1" s="1"/>
  <c r="F10" i="1"/>
  <c r="F27" i="1" s="1"/>
  <c r="F28" i="1" s="1"/>
  <c r="E10" i="1"/>
  <c r="D10" i="1"/>
  <c r="C10" i="1"/>
  <c r="Q10" i="1" s="1"/>
  <c r="P9" i="1"/>
  <c r="O9" i="1"/>
  <c r="N9" i="1"/>
  <c r="M9" i="1"/>
  <c r="L9" i="1"/>
  <c r="K9" i="1"/>
  <c r="J9" i="1"/>
  <c r="H9" i="1"/>
  <c r="G9" i="1"/>
  <c r="I9" i="1" s="1"/>
  <c r="E9" i="1"/>
  <c r="D9" i="1"/>
  <c r="C9" i="1"/>
  <c r="Q9" i="1" s="1"/>
  <c r="P8" i="1"/>
  <c r="P27" i="1" s="1"/>
  <c r="P31" i="1" s="1"/>
  <c r="O8" i="1"/>
  <c r="O27" i="1" s="1"/>
  <c r="O31" i="1" s="1"/>
  <c r="N8" i="1"/>
  <c r="N27" i="1" s="1"/>
  <c r="N31" i="1" s="1"/>
  <c r="M8" i="1"/>
  <c r="M27" i="1" s="1"/>
  <c r="M31" i="1" s="1"/>
  <c r="L8" i="1"/>
  <c r="L27" i="1" s="1"/>
  <c r="L31" i="1" s="1"/>
  <c r="K8" i="1"/>
  <c r="K27" i="1" s="1"/>
  <c r="K31" i="1" s="1"/>
  <c r="J8" i="1"/>
  <c r="J27" i="1" s="1"/>
  <c r="J31" i="1" s="1"/>
  <c r="H8" i="1"/>
  <c r="I8" i="1" s="1"/>
  <c r="G8" i="1"/>
  <c r="G27" i="1" s="1"/>
  <c r="E8" i="1"/>
  <c r="E27" i="1" s="1"/>
  <c r="E31" i="1" s="1"/>
  <c r="D8" i="1"/>
  <c r="D27" i="1" s="1"/>
  <c r="D31" i="1" s="1"/>
  <c r="C8" i="1"/>
  <c r="C27" i="1" s="1"/>
  <c r="P7" i="1"/>
  <c r="P28" i="1" s="1"/>
  <c r="O7" i="1"/>
  <c r="O28" i="1" s="1"/>
  <c r="N7" i="1"/>
  <c r="N28" i="1" s="1"/>
  <c r="M7" i="1"/>
  <c r="M28" i="1" s="1"/>
  <c r="L7" i="1"/>
  <c r="L28" i="1" s="1"/>
  <c r="K7" i="1"/>
  <c r="K28" i="1" s="1"/>
  <c r="J7" i="1"/>
  <c r="J28" i="1" s="1"/>
  <c r="H7" i="1"/>
  <c r="G7" i="1"/>
  <c r="G28" i="1" s="1"/>
  <c r="E7" i="1"/>
  <c r="E28" i="1" s="1"/>
  <c r="D7" i="1"/>
  <c r="D28" i="1" s="1"/>
  <c r="C7" i="1"/>
  <c r="C28" i="1" s="1"/>
  <c r="Q28" i="1" s="1"/>
  <c r="Q15" i="1" l="1"/>
  <c r="Q20" i="1"/>
  <c r="R18" i="1"/>
  <c r="I27" i="1"/>
  <c r="R27" i="1" s="1"/>
  <c r="G31" i="1"/>
  <c r="I31" i="1" s="1"/>
  <c r="R31" i="1" s="1"/>
  <c r="R9" i="1"/>
  <c r="R19" i="1"/>
  <c r="R23" i="1"/>
  <c r="H28" i="1"/>
  <c r="I28" i="1" s="1"/>
  <c r="R28" i="1" s="1"/>
  <c r="C31" i="1"/>
  <c r="Q31" i="1" s="1"/>
  <c r="Q27" i="1"/>
  <c r="R8" i="1"/>
  <c r="I11" i="1"/>
  <c r="R10" i="1"/>
  <c r="R24" i="1"/>
  <c r="D11" i="1"/>
  <c r="H11" i="1"/>
  <c r="L11" i="1"/>
  <c r="P11" i="1"/>
  <c r="I12" i="1"/>
  <c r="Q12" i="1"/>
  <c r="H27" i="1"/>
  <c r="H31" i="1" s="1"/>
  <c r="E11" i="1"/>
  <c r="M11" i="1"/>
  <c r="I17" i="1"/>
  <c r="Q17" i="1"/>
  <c r="Q8" i="1"/>
  <c r="F11" i="1"/>
  <c r="J11" i="1"/>
  <c r="N11" i="1"/>
  <c r="I22" i="1"/>
  <c r="Q22" i="1"/>
  <c r="I7" i="1"/>
  <c r="R7" i="1" s="1"/>
  <c r="Q7" i="1"/>
  <c r="C11" i="1"/>
  <c r="G11" i="1"/>
  <c r="K11" i="1"/>
  <c r="O11" i="1"/>
  <c r="C26" i="1" l="1"/>
  <c r="Q11" i="1"/>
  <c r="C16" i="1"/>
  <c r="R22" i="1"/>
  <c r="I25" i="1"/>
  <c r="R25" i="1" s="1"/>
  <c r="E16" i="1"/>
  <c r="E21" i="1" s="1"/>
  <c r="E26" i="1"/>
  <c r="P16" i="1"/>
  <c r="P21" i="1" s="1"/>
  <c r="P26" i="1"/>
  <c r="O26" i="1"/>
  <c r="O16" i="1"/>
  <c r="O21" i="1" s="1"/>
  <c r="N16" i="1"/>
  <c r="N21" i="1" s="1"/>
  <c r="N26" i="1"/>
  <c r="L16" i="1"/>
  <c r="L21" i="1" s="1"/>
  <c r="L26" i="1"/>
  <c r="K26" i="1"/>
  <c r="K16" i="1"/>
  <c r="K21" i="1" s="1"/>
  <c r="J16" i="1"/>
  <c r="J21" i="1" s="1"/>
  <c r="J26" i="1"/>
  <c r="I20" i="1"/>
  <c r="R20" i="1" s="1"/>
  <c r="R17" i="1"/>
  <c r="H16" i="1"/>
  <c r="H21" i="1" s="1"/>
  <c r="H26" i="1"/>
  <c r="R11" i="1"/>
  <c r="I26" i="1"/>
  <c r="G26" i="1"/>
  <c r="G16" i="1"/>
  <c r="G21" i="1" s="1"/>
  <c r="F16" i="1"/>
  <c r="F21" i="1" s="1"/>
  <c r="F26" i="1"/>
  <c r="M16" i="1"/>
  <c r="M21" i="1" s="1"/>
  <c r="M26" i="1"/>
  <c r="I15" i="1"/>
  <c r="R15" i="1" s="1"/>
  <c r="R12" i="1"/>
  <c r="D16" i="1"/>
  <c r="D21" i="1" s="1"/>
  <c r="D26" i="1"/>
  <c r="I16" i="1" l="1"/>
  <c r="Q16" i="1"/>
  <c r="C21" i="1"/>
  <c r="Q21" i="1" s="1"/>
  <c r="Q26" i="1"/>
  <c r="R26" i="1" s="1"/>
  <c r="I21" i="1" l="1"/>
  <c r="R21" i="1" s="1"/>
  <c r="R16" i="1"/>
</calcChain>
</file>

<file path=xl/sharedStrings.xml><?xml version="1.0" encoding="utf-8"?>
<sst xmlns="http://schemas.openxmlformats.org/spreadsheetml/2006/main" count="59" uniqueCount="59">
  <si>
    <t>CASA DE ASIGURARI DE SANATATE OLT</t>
  </si>
  <si>
    <t>SITUATIA</t>
  </si>
  <si>
    <t>Nr. crt.</t>
  </si>
  <si>
    <t xml:space="preserve">P3 - ONCOLOGIE ACTIVITATE CURENTA </t>
  </si>
  <si>
    <t>P3 - ONCOLOGIE COST VOLUM</t>
  </si>
  <si>
    <t>P5 - DIABET ZAHARAT (medicamente)</t>
  </si>
  <si>
    <t>P5 - DIABET TESTE ADULŢI</t>
  </si>
  <si>
    <t>P5 - DIABET TESTE COPII</t>
  </si>
  <si>
    <t>P5 - TOTAL TESTE</t>
  </si>
  <si>
    <t>P6.4 - MUCOV. COPII</t>
  </si>
  <si>
    <t>P6.4 - MUCOV. ADULTI</t>
  </si>
  <si>
    <t>P6.5.2 - SCLEROZĂ LATERALĂ AMIOTROFICA</t>
  </si>
  <si>
    <t>P6.20 - FIBROZA PULMONARA IDIOPATICA</t>
  </si>
  <si>
    <t>P6.22 - ANGIOEDEM EREDITAR</t>
  </si>
  <si>
    <t>5=2+3+4</t>
  </si>
  <si>
    <t>9=6+7+8</t>
  </si>
  <si>
    <t>10=5+9</t>
  </si>
  <si>
    <t>14=11+12+13</t>
  </si>
  <si>
    <t>15=10+14</t>
  </si>
  <si>
    <t>19=16+17+18</t>
  </si>
  <si>
    <t>20=5+9+14+ 19</t>
  </si>
  <si>
    <t>P9.7 - STARE POSTTRANSPLANT</t>
  </si>
  <si>
    <t>P6.28- LIMFANGIOLEIOMIOMATOZA</t>
  </si>
  <si>
    <t>22=1-21</t>
  </si>
  <si>
    <t>TOTAL MEDICAMENTE 2021</t>
  </si>
  <si>
    <t>TOTAL PNS AN 2021</t>
  </si>
  <si>
    <t>Credite angajament aprobate an 2021, din care:</t>
  </si>
  <si>
    <t>Consum 2021 realizat in limita credite angajament AN 2021</t>
  </si>
  <si>
    <t>Credite angajate si neconsumate AN 2021</t>
  </si>
  <si>
    <t xml:space="preserve">Consum mediu lunar înregistrat AN 2020 </t>
  </si>
  <si>
    <t>Luna/an 2021</t>
  </si>
  <si>
    <t>8=6+7</t>
  </si>
  <si>
    <t>16=2+3+4+5+9+ 10+11+12+13+14+ 15</t>
  </si>
  <si>
    <t>17=8+16</t>
  </si>
  <si>
    <t>ianuarie 2021 -consum realizat</t>
  </si>
  <si>
    <t>februarie 2021  -consum realizat</t>
  </si>
  <si>
    <t>martie 2021  -consum validat in limita credite trim I 2021</t>
  </si>
  <si>
    <t xml:space="preserve">Trim. I 2021 -consum validat in limita credite trim I </t>
  </si>
  <si>
    <t>aprilie 2021-consum realizat + diferente martie P5 (360450,26 medicam+4628,00 teste adulti)</t>
  </si>
  <si>
    <t>mai 2021 - consum realizat</t>
  </si>
  <si>
    <t>iunie 2021 - consum realizat</t>
  </si>
  <si>
    <t>Trim. II 2021 - consum realizat</t>
  </si>
  <si>
    <t>Total sem. I 2021 - consum realizat</t>
  </si>
  <si>
    <t>iulie 2021 - consum realizat</t>
  </si>
  <si>
    <t>august 2021- consum realizat</t>
  </si>
  <si>
    <t>septembrie 2021 -consum validat in limita 9 luni</t>
  </si>
  <si>
    <t>Total trim. III 2021  -consum validat in limita 9 luni</t>
  </si>
  <si>
    <t>Total 9 luni 2021  -consum validat in limita 9 luni</t>
  </si>
  <si>
    <t>octombrie 2021 -consum realizat + diferente sept P5 (155885,31 lei - medicam)</t>
  </si>
  <si>
    <t>CREDITELOR DE ANGAJAMENT REALIZATE PRIVIND DERULAREA PNS PRIN FARMACII CU CIRCUIT DESCHIS PENTRU ANUL 2021, CA URMARE A VALIDĂRII CONSUMULUI RAPORTAT PENTRU LUNA DECEMBRIE 2021 IN LIMITA CREDITELOR DE ANGAJAMENT APROBATE CONFORM ADRESEI CNAS NR. P11406/28.12.2021</t>
  </si>
  <si>
    <t>P5 - DIABET ZAHARAT ART. 8 (5) (medicamente)</t>
  </si>
  <si>
    <t>noiembrie 2021 - consum realizat</t>
  </si>
  <si>
    <t>decembrie 2021 -consum validat in limita credite an</t>
  </si>
  <si>
    <t>Total trim. IV 2021  -consum validat in limita credite an</t>
  </si>
  <si>
    <t>TOTAL AN 2021  -consum validat in limita credite an</t>
  </si>
  <si>
    <t>21=15+19</t>
  </si>
  <si>
    <t>Depășire la data de 31.12.2021 (consum nevalidat)</t>
  </si>
  <si>
    <t>25=(21+ 23)/ nr. luni</t>
  </si>
  <si>
    <t>Consum mediu lunar înregistrat 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</si>
</sst>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indexed="10"/>
      <name val="Times New Roman"/>
      <family val="1"/>
      <charset val="238"/>
    </font>
    <font>
      <sz val="12"/>
      <name val="Times New Roman"/>
      <family val="1"/>
    </font>
    <font>
      <sz val="8"/>
      <name val="Arial"/>
      <charset val="238"/>
    </font>
    <font>
      <b/>
      <sz val="10"/>
      <color indexed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2" fillId="2" borderId="3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right" vertical="top"/>
    </xf>
    <xf numFmtId="4" fontId="6" fillId="2" borderId="5" xfId="0" applyNumberFormat="1" applyFont="1" applyFill="1" applyBorder="1" applyAlignment="1">
      <alignment horizontal="right" vertical="top"/>
    </xf>
    <xf numFmtId="0" fontId="12" fillId="0" borderId="0" xfId="0" applyFont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left" vertical="top"/>
    </xf>
    <xf numFmtId="4" fontId="12" fillId="0" borderId="4" xfId="0" applyNumberFormat="1" applyFont="1" applyFill="1" applyBorder="1" applyAlignment="1">
      <alignment horizontal="right" vertical="top"/>
    </xf>
    <xf numFmtId="4" fontId="6" fillId="2" borderId="4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4" fontId="12" fillId="0" borderId="4" xfId="0" applyNumberFormat="1" applyFont="1" applyFill="1" applyBorder="1" applyAlignment="1">
      <alignment vertical="top"/>
    </xf>
    <xf numFmtId="4" fontId="12" fillId="0" borderId="4" xfId="0" applyNumberFormat="1" applyFont="1" applyBorder="1" applyAlignment="1">
      <alignment vertical="top"/>
    </xf>
    <xf numFmtId="0" fontId="6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12" fillId="0" borderId="4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vertical="top" wrapText="1"/>
    </xf>
    <xf numFmtId="49" fontId="12" fillId="0" borderId="4" xfId="0" applyNumberFormat="1" applyFont="1" applyBorder="1" applyAlignment="1">
      <alignment vertical="top"/>
    </xf>
    <xf numFmtId="4" fontId="6" fillId="2" borderId="4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12" fillId="0" borderId="4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4" fontId="6" fillId="3" borderId="4" xfId="0" applyNumberFormat="1" applyFont="1" applyFill="1" applyBorder="1" applyAlignment="1">
      <alignment vertical="top" wrapText="1"/>
    </xf>
    <xf numFmtId="4" fontId="6" fillId="3" borderId="4" xfId="0" applyNumberFormat="1" applyFont="1" applyFill="1" applyBorder="1" applyAlignment="1">
      <alignment horizontal="right" vertical="top"/>
    </xf>
    <xf numFmtId="4" fontId="6" fillId="3" borderId="5" xfId="0" applyNumberFormat="1" applyFont="1" applyFill="1" applyBorder="1" applyAlignment="1">
      <alignment horizontal="right" vertical="top"/>
    </xf>
    <xf numFmtId="0" fontId="12" fillId="0" borderId="4" xfId="0" applyFont="1" applyBorder="1" applyAlignment="1">
      <alignment vertical="top" wrapText="1"/>
    </xf>
    <xf numFmtId="4" fontId="12" fillId="0" borderId="0" xfId="0" applyNumberFormat="1" applyFont="1" applyAlignment="1">
      <alignment vertical="top"/>
    </xf>
    <xf numFmtId="0" fontId="13" fillId="0" borderId="4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4" fontId="4" fillId="2" borderId="4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4" fontId="12" fillId="0" borderId="0" xfId="0" applyNumberFormat="1" applyFont="1" applyAlignment="1">
      <alignment vertical="top" wrapText="1"/>
    </xf>
    <xf numFmtId="0" fontId="6" fillId="2" borderId="4" xfId="0" applyFont="1" applyFill="1" applyBorder="1" applyAlignment="1">
      <alignment vertical="top"/>
    </xf>
    <xf numFmtId="4" fontId="17" fillId="0" borderId="0" xfId="0" applyNumberFormat="1" applyFont="1" applyBorder="1" applyAlignment="1">
      <alignment vertical="top"/>
    </xf>
    <xf numFmtId="4" fontId="12" fillId="0" borderId="4" xfId="0" applyNumberFormat="1" applyFont="1" applyFill="1" applyBorder="1" applyAlignment="1">
      <alignment vertical="top" wrapText="1"/>
    </xf>
    <xf numFmtId="4" fontId="12" fillId="0" borderId="4" xfId="0" applyNumberFormat="1" applyFont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/>
    </xf>
    <xf numFmtId="0" fontId="7" fillId="4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4" fontId="12" fillId="4" borderId="4" xfId="0" applyNumberFormat="1" applyFont="1" applyFill="1" applyBorder="1" applyAlignment="1">
      <alignment horizontal="right" vertical="top"/>
    </xf>
    <xf numFmtId="4" fontId="12" fillId="4" borderId="4" xfId="0" applyNumberFormat="1" applyFont="1" applyFill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0" fontId="6" fillId="2" borderId="4" xfId="0" applyNumberFormat="1" applyFont="1" applyFill="1" applyBorder="1" applyAlignment="1">
      <alignment vertical="top" wrapText="1"/>
    </xf>
    <xf numFmtId="49" fontId="9" fillId="0" borderId="4" xfId="0" applyNumberFormat="1" applyFont="1" applyBorder="1" applyAlignment="1">
      <alignment horizontal="left" vertical="top" wrapText="1"/>
    </xf>
    <xf numFmtId="4" fontId="12" fillId="4" borderId="4" xfId="0" applyNumberFormat="1" applyFont="1" applyFill="1" applyBorder="1" applyAlignment="1">
      <alignment vertical="top" wrapText="1"/>
    </xf>
    <xf numFmtId="4" fontId="17" fillId="0" borderId="4" xfId="0" applyNumberFormat="1" applyFont="1" applyFill="1" applyBorder="1" applyAlignment="1">
      <alignment vertical="top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vertical="top" wrapText="1"/>
    </xf>
    <xf numFmtId="4" fontId="17" fillId="0" borderId="4" xfId="0" applyNumberFormat="1" applyFont="1" applyBorder="1" applyAlignment="1">
      <alignment vertical="top"/>
    </xf>
    <xf numFmtId="4" fontId="17" fillId="4" borderId="4" xfId="0" applyNumberFormat="1" applyFont="1" applyFill="1" applyBorder="1" applyAlignment="1">
      <alignment vertical="top"/>
    </xf>
    <xf numFmtId="4" fontId="17" fillId="2" borderId="4" xfId="0" applyNumberFormat="1" applyFont="1" applyFill="1" applyBorder="1" applyAlignment="1">
      <alignment vertical="top"/>
    </xf>
    <xf numFmtId="4" fontId="17" fillId="2" borderId="4" xfId="0" applyNumberFormat="1" applyFont="1" applyFill="1" applyBorder="1" applyAlignment="1">
      <alignment horizontal="right" vertical="top"/>
    </xf>
    <xf numFmtId="4" fontId="17" fillId="2" borderId="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4" fontId="17" fillId="0" borderId="4" xfId="0" applyNumberFormat="1" applyFont="1" applyFill="1" applyBorder="1" applyAlignment="1">
      <alignment vertical="top" wrapText="1"/>
    </xf>
    <xf numFmtId="4" fontId="6" fillId="2" borderId="6" xfId="0" applyNumberFormat="1" applyFont="1" applyFill="1" applyBorder="1" applyAlignment="1">
      <alignment horizontal="right" vertical="top"/>
    </xf>
    <xf numFmtId="4" fontId="6" fillId="2" borderId="9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" fontId="12" fillId="5" borderId="4" xfId="0" applyNumberFormat="1" applyFont="1" applyFill="1" applyBorder="1" applyAlignment="1">
      <alignment vertical="top"/>
    </xf>
    <xf numFmtId="0" fontId="6" fillId="3" borderId="4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7" fillId="5" borderId="4" xfId="0" applyNumberFormat="1" applyFont="1" applyFill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4" fontId="12" fillId="0" borderId="6" xfId="0" applyNumberFormat="1" applyFont="1" applyBorder="1" applyAlignment="1">
      <alignment vertical="top"/>
    </xf>
    <xf numFmtId="4" fontId="12" fillId="4" borderId="6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F1" workbookViewId="0">
      <selection activeCell="R1" sqref="R1"/>
    </sheetView>
  </sheetViews>
  <sheetFormatPr defaultRowHeight="15.75" x14ac:dyDescent="0.2"/>
  <cols>
    <col min="1" max="1" width="7.140625" style="70" customWidth="1"/>
    <col min="2" max="2" width="38.85546875" style="70" customWidth="1"/>
    <col min="3" max="3" width="12.7109375" style="70" customWidth="1"/>
    <col min="4" max="4" width="11.5703125" style="70" customWidth="1"/>
    <col min="5" max="5" width="13.140625" style="70" customWidth="1"/>
    <col min="6" max="6" width="12.28515625" style="70" customWidth="1"/>
    <col min="7" max="7" width="12.140625" style="70" customWidth="1"/>
    <col min="8" max="8" width="10.5703125" style="70" customWidth="1"/>
    <col min="9" max="9" width="11.5703125" style="70" customWidth="1"/>
    <col min="10" max="10" width="11.28515625" style="70" customWidth="1"/>
    <col min="11" max="11" width="9.85546875" style="70" customWidth="1"/>
    <col min="12" max="12" width="13.5703125" style="70" customWidth="1"/>
    <col min="13" max="13" width="11.5703125" style="70" customWidth="1"/>
    <col min="14" max="15" width="11.7109375" style="70" customWidth="1"/>
    <col min="16" max="16" width="11.85546875" style="70" customWidth="1"/>
    <col min="17" max="17" width="14.5703125" style="70" customWidth="1"/>
    <col min="18" max="18" width="13.85546875" style="70" customWidth="1"/>
    <col min="19" max="19" width="15.28515625" style="70" customWidth="1"/>
    <col min="20" max="20" width="10.85546875" style="70" bestFit="1" customWidth="1"/>
    <col min="21" max="16384" width="9.140625" style="70"/>
  </cols>
  <sheetData>
    <row r="1" spans="1:20" x14ac:dyDescent="0.2">
      <c r="A1" s="69" t="s">
        <v>0</v>
      </c>
      <c r="C1" s="71"/>
      <c r="D1" s="71"/>
      <c r="P1" s="72"/>
      <c r="Q1" s="72"/>
      <c r="R1" s="72"/>
    </row>
    <row r="2" spans="1:20" ht="14.25" customHeight="1" x14ac:dyDescent="0.2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"/>
    </row>
    <row r="3" spans="1:20" s="3" customFormat="1" ht="42" customHeight="1" x14ac:dyDescent="0.2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2"/>
    </row>
    <row r="4" spans="1:20" ht="14.25" customHeight="1" thickBot="1" x14ac:dyDescent="0.25"/>
    <row r="5" spans="1:20" s="73" customFormat="1" ht="48" x14ac:dyDescent="0.2">
      <c r="A5" s="4" t="s">
        <v>2</v>
      </c>
      <c r="B5" s="5" t="s">
        <v>30</v>
      </c>
      <c r="C5" s="5" t="s">
        <v>3</v>
      </c>
      <c r="D5" s="5" t="s">
        <v>4</v>
      </c>
      <c r="E5" s="5" t="s">
        <v>5</v>
      </c>
      <c r="F5" s="49" t="s">
        <v>50</v>
      </c>
      <c r="G5" s="5" t="s">
        <v>6</v>
      </c>
      <c r="H5" s="5" t="s">
        <v>7</v>
      </c>
      <c r="I5" s="50" t="s">
        <v>8</v>
      </c>
      <c r="J5" s="5" t="s">
        <v>9</v>
      </c>
      <c r="K5" s="5" t="s">
        <v>10</v>
      </c>
      <c r="L5" s="5" t="s">
        <v>11</v>
      </c>
      <c r="M5" s="6" t="s">
        <v>12</v>
      </c>
      <c r="N5" s="5" t="s">
        <v>13</v>
      </c>
      <c r="O5" s="5" t="s">
        <v>22</v>
      </c>
      <c r="P5" s="5" t="s">
        <v>21</v>
      </c>
      <c r="Q5" s="50" t="s">
        <v>24</v>
      </c>
      <c r="R5" s="51" t="s">
        <v>25</v>
      </c>
    </row>
    <row r="6" spans="1:20" s="9" customFormat="1" ht="33.75" x14ac:dyDescent="0.2">
      <c r="A6" s="7">
        <v>0</v>
      </c>
      <c r="B6" s="8">
        <v>1</v>
      </c>
      <c r="C6" s="8">
        <v>2</v>
      </c>
      <c r="D6" s="8">
        <v>3</v>
      </c>
      <c r="E6" s="8">
        <v>4</v>
      </c>
      <c r="F6" s="52">
        <v>5</v>
      </c>
      <c r="G6" s="8">
        <v>6</v>
      </c>
      <c r="H6" s="8">
        <v>7</v>
      </c>
      <c r="I6" s="53" t="s">
        <v>31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53" t="s">
        <v>32</v>
      </c>
      <c r="R6" s="54" t="s">
        <v>33</v>
      </c>
    </row>
    <row r="7" spans="1:20" s="13" customFormat="1" ht="12.75" x14ac:dyDescent="0.2">
      <c r="A7" s="10">
        <v>1</v>
      </c>
      <c r="B7" s="44" t="s">
        <v>26</v>
      </c>
      <c r="C7" s="11">
        <f>600000*5+550000-50000+1089040+687380+626530+1150000+22000</f>
        <v>7074950</v>
      </c>
      <c r="D7" s="11">
        <f>200000*3+300000+200000-50000-150000+215480+550000+400000-58480+20000</f>
        <v>2027000</v>
      </c>
      <c r="E7" s="11">
        <f>2453000*3+900000+5623000+2811000+300000+5733620+7909300+3646590</f>
        <v>34282510</v>
      </c>
      <c r="F7" s="11">
        <v>180880</v>
      </c>
      <c r="G7" s="11">
        <f>152000*3+305000+153000+663310+118150</f>
        <v>1695460</v>
      </c>
      <c r="H7" s="11">
        <f>8000*3+15000+8000+31450-2130</f>
        <v>76320</v>
      </c>
      <c r="I7" s="11">
        <f>ROUND(G7+H7,2)</f>
        <v>1771780</v>
      </c>
      <c r="J7" s="11">
        <f>17000*3+8000+40000+20000+38140+8390+6940</f>
        <v>172470</v>
      </c>
      <c r="K7" s="11">
        <f>5000*3+9000+5000+21420+1660+3440</f>
        <v>55520</v>
      </c>
      <c r="L7" s="11">
        <f>3000*4+1000+3330+5830-1670</f>
        <v>20490</v>
      </c>
      <c r="M7" s="11">
        <f>11000*3+20000+10000+31370+19760+90</f>
        <v>114220</v>
      </c>
      <c r="N7" s="11">
        <f>99000+171000+90000+209000+68000+105000+190000+718540+209700-85000</f>
        <v>1775240</v>
      </c>
      <c r="O7" s="11">
        <f>2000+2500+500+3000+4000+2000+5970+5160+580</f>
        <v>25710</v>
      </c>
      <c r="P7" s="11">
        <f>69000*3+126000+62000+254130+4550+57730</f>
        <v>711410</v>
      </c>
      <c r="Q7" s="11">
        <f>ROUND(C7+D7+E7+F7+J7+K7+L7+P7+M7+N7+O7,2)</f>
        <v>46440400</v>
      </c>
      <c r="R7" s="12">
        <f t="shared" ref="R7:R31" si="0">ROUND(I7+Q7,2)</f>
        <v>48212180</v>
      </c>
    </row>
    <row r="8" spans="1:20" s="18" customFormat="1" ht="12.75" x14ac:dyDescent="0.2">
      <c r="A8" s="14">
        <v>2</v>
      </c>
      <c r="B8" s="15" t="s">
        <v>34</v>
      </c>
      <c r="C8" s="16">
        <f>600000-105058.77</f>
        <v>494941.23</v>
      </c>
      <c r="D8" s="16">
        <f>200000-54134.18</f>
        <v>145865.82</v>
      </c>
      <c r="E8" s="16">
        <f>2453000+417652.08</f>
        <v>2870652.08</v>
      </c>
      <c r="F8" s="55">
        <v>0</v>
      </c>
      <c r="G8" s="16">
        <f>152000+1352</f>
        <v>153352</v>
      </c>
      <c r="H8" s="16">
        <f>8000-2960</f>
        <v>5040</v>
      </c>
      <c r="I8" s="17">
        <f t="shared" ref="I8:I31" si="1">ROUND(G8+H8,2)</f>
        <v>158392</v>
      </c>
      <c r="J8" s="16">
        <f>17000+12947.69</f>
        <v>29947.690000000002</v>
      </c>
      <c r="K8" s="16">
        <f>5000-5000</f>
        <v>0</v>
      </c>
      <c r="L8" s="16">
        <f>3000-1678.47</f>
        <v>1321.53</v>
      </c>
      <c r="M8" s="16">
        <f>11000-623.65</f>
        <v>10376.35</v>
      </c>
      <c r="N8" s="16">
        <f>99000-9264.96</f>
        <v>89735.040000000008</v>
      </c>
      <c r="O8" s="16">
        <f>2000-362.72</f>
        <v>1637.28</v>
      </c>
      <c r="P8" s="16">
        <f>69000+4965.61</f>
        <v>73965.61</v>
      </c>
      <c r="Q8" s="11">
        <f t="shared" ref="Q8:Q31" si="2">ROUND(C8+D8+E8+F8+J8+K8+L8+P8+M8+N8+O8,2)</f>
        <v>3718442.63</v>
      </c>
      <c r="R8" s="12">
        <f t="shared" si="0"/>
        <v>3876834.63</v>
      </c>
      <c r="T8" s="35"/>
    </row>
    <row r="9" spans="1:20" s="18" customFormat="1" ht="12.75" x14ac:dyDescent="0.2">
      <c r="A9" s="14">
        <v>3</v>
      </c>
      <c r="B9" s="15" t="s">
        <v>35</v>
      </c>
      <c r="C9" s="19">
        <f>600000+105058.77-180319.22</f>
        <v>524739.55000000005</v>
      </c>
      <c r="D9" s="19">
        <f>200000+54134.18-123121.62</f>
        <v>131012.56</v>
      </c>
      <c r="E9" s="19">
        <f>2453000-417652.08+716933.18</f>
        <v>2752281.1</v>
      </c>
      <c r="F9" s="56">
        <v>0</v>
      </c>
      <c r="G9" s="19">
        <f>152000-1352+1148</f>
        <v>151796</v>
      </c>
      <c r="H9" s="19">
        <f>8000+2960-1000</f>
        <v>9960</v>
      </c>
      <c r="I9" s="17">
        <f t="shared" si="1"/>
        <v>161756</v>
      </c>
      <c r="J9" s="19">
        <f>17000-12947.69+10369.04</f>
        <v>14421.35</v>
      </c>
      <c r="K9" s="19">
        <f>5000+5000-542.2</f>
        <v>9457.7999999999993</v>
      </c>
      <c r="L9" s="19">
        <f>3000+1678.47-2475.92</f>
        <v>2202.5500000000002</v>
      </c>
      <c r="M9" s="19">
        <f>11000+623.65-1247.3</f>
        <v>10376.35</v>
      </c>
      <c r="N9" s="19">
        <f>171000+9264.96-45662.4</f>
        <v>134602.56</v>
      </c>
      <c r="O9" s="19">
        <f>2500+500+362.72-1179.68</f>
        <v>2183.04</v>
      </c>
      <c r="P9" s="19">
        <f>69000-4965.61-6212.49</f>
        <v>57821.9</v>
      </c>
      <c r="Q9" s="11">
        <f t="shared" si="2"/>
        <v>3639098.76</v>
      </c>
      <c r="R9" s="12">
        <f t="shared" si="0"/>
        <v>3800854.76</v>
      </c>
      <c r="S9" s="35"/>
      <c r="T9" s="35"/>
    </row>
    <row r="10" spans="1:20" s="18" customFormat="1" ht="12.75" x14ac:dyDescent="0.2">
      <c r="A10" s="57">
        <v>4</v>
      </c>
      <c r="B10" s="15" t="s">
        <v>36</v>
      </c>
      <c r="C10" s="19">
        <f>600000+180319.22-127719.57</f>
        <v>652599.64999999991</v>
      </c>
      <c r="D10" s="19">
        <f>200000+123121.62-132696.02</f>
        <v>190425.60000000001</v>
      </c>
      <c r="E10" s="61">
        <f>2453000-716933.18+900000</f>
        <v>2636066.8199999998</v>
      </c>
      <c r="F10" s="56">
        <f>180880-0.12</f>
        <v>180879.88</v>
      </c>
      <c r="G10" s="61">
        <f>152000-1148</f>
        <v>150852</v>
      </c>
      <c r="H10" s="19">
        <f>8000+1000-2160</f>
        <v>6840</v>
      </c>
      <c r="I10" s="17">
        <f t="shared" si="1"/>
        <v>157692</v>
      </c>
      <c r="J10" s="20">
        <f>17000-10369.04+8000-1848</f>
        <v>12782.96</v>
      </c>
      <c r="K10" s="19">
        <f>5000+542.2-5542.2</f>
        <v>0</v>
      </c>
      <c r="L10" s="19">
        <f>3000+2475.92-4374.65</f>
        <v>1101.2700000000004</v>
      </c>
      <c r="M10" s="20">
        <f>11000+1247.3-1870.95</f>
        <v>10376.349999999999</v>
      </c>
      <c r="N10" s="19">
        <f>90000+45662.4-1059.84</f>
        <v>134602.56</v>
      </c>
      <c r="O10" s="19">
        <f>3000+1179.68-1996.64</f>
        <v>2183.04</v>
      </c>
      <c r="P10" s="20">
        <f>69000+6212.49-25514.94</f>
        <v>49697.55</v>
      </c>
      <c r="Q10" s="11">
        <f t="shared" si="2"/>
        <v>3870715.68</v>
      </c>
      <c r="R10" s="12">
        <f t="shared" si="0"/>
        <v>4028407.68</v>
      </c>
      <c r="S10" s="45"/>
      <c r="T10" s="35"/>
    </row>
    <row r="11" spans="1:20" s="22" customFormat="1" ht="25.5" x14ac:dyDescent="0.2">
      <c r="A11" s="21" t="s">
        <v>14</v>
      </c>
      <c r="B11" s="58" t="s">
        <v>37</v>
      </c>
      <c r="C11" s="17">
        <f>SUM(C8:C10)</f>
        <v>1672280.43</v>
      </c>
      <c r="D11" s="17">
        <f t="shared" ref="D11:N11" si="3">SUM(D8:D10)</f>
        <v>467303.98</v>
      </c>
      <c r="E11" s="17">
        <f t="shared" si="3"/>
        <v>8259000</v>
      </c>
      <c r="F11" s="17">
        <f>SUM(F8:F10)</f>
        <v>180879.88</v>
      </c>
      <c r="G11" s="17">
        <f>SUM(G8:G10)</f>
        <v>456000</v>
      </c>
      <c r="H11" s="17">
        <f>SUM(H8:H10)</f>
        <v>21840</v>
      </c>
      <c r="I11" s="17">
        <f t="shared" si="3"/>
        <v>477840</v>
      </c>
      <c r="J11" s="17">
        <f t="shared" si="3"/>
        <v>57152</v>
      </c>
      <c r="K11" s="17">
        <f>SUM(K8:K10)</f>
        <v>9457.7999999999993</v>
      </c>
      <c r="L11" s="17">
        <f>SUM(L8:L10)</f>
        <v>4625.3500000000004</v>
      </c>
      <c r="M11" s="17">
        <f t="shared" si="3"/>
        <v>31129.05</v>
      </c>
      <c r="N11" s="17">
        <f t="shared" si="3"/>
        <v>358940.16000000003</v>
      </c>
      <c r="O11" s="17">
        <f>SUM(O8:O10)</f>
        <v>6003.36</v>
      </c>
      <c r="P11" s="17">
        <f>SUM(P8:P10)</f>
        <v>181485.06</v>
      </c>
      <c r="Q11" s="11">
        <f t="shared" si="2"/>
        <v>11228257.07</v>
      </c>
      <c r="R11" s="12">
        <f t="shared" si="0"/>
        <v>11706097.07</v>
      </c>
    </row>
    <row r="12" spans="1:20" s="18" customFormat="1" ht="24" x14ac:dyDescent="0.2">
      <c r="A12" s="14">
        <v>6</v>
      </c>
      <c r="B12" s="59" t="s">
        <v>38</v>
      </c>
      <c r="C12" s="19">
        <f>600000+127719.57-151981.79</f>
        <v>575737.78</v>
      </c>
      <c r="D12" s="19">
        <f>100000+132696.02-125998.03</f>
        <v>106697.98999999999</v>
      </c>
      <c r="E12" s="20">
        <f>2900000+196476.72</f>
        <v>3096476.72</v>
      </c>
      <c r="F12" s="56">
        <v>0</v>
      </c>
      <c r="G12" s="20">
        <f>153000-11124</f>
        <v>141876</v>
      </c>
      <c r="H12" s="20">
        <f>7500+2160-5460</f>
        <v>4200</v>
      </c>
      <c r="I12" s="17">
        <f t="shared" si="1"/>
        <v>146076</v>
      </c>
      <c r="J12" s="20">
        <f>20000+1848-1102.82</f>
        <v>20745.18</v>
      </c>
      <c r="K12" s="20">
        <f>5000+5542.2-7143.64</f>
        <v>3398.5600000000004</v>
      </c>
      <c r="L12" s="20">
        <f>1500+4374.65-4553.12</f>
        <v>1321.5299999999997</v>
      </c>
      <c r="M12" s="20">
        <f>10000+1870.95-1494.6</f>
        <v>10376.35</v>
      </c>
      <c r="N12" s="19">
        <f>109000+1059.84+2108.96</f>
        <v>112168.8</v>
      </c>
      <c r="O12" s="19">
        <f>2000+1996.64-1813.6</f>
        <v>2183.0400000000004</v>
      </c>
      <c r="P12" s="20">
        <f>66000+25514.94-20659.06</f>
        <v>70855.88</v>
      </c>
      <c r="Q12" s="11">
        <f t="shared" si="2"/>
        <v>3999961.83</v>
      </c>
      <c r="R12" s="12">
        <f t="shared" si="0"/>
        <v>4146037.83</v>
      </c>
    </row>
    <row r="13" spans="1:20" s="18" customFormat="1" ht="12.75" x14ac:dyDescent="0.2">
      <c r="A13" s="14">
        <v>7</v>
      </c>
      <c r="B13" s="15" t="s">
        <v>39</v>
      </c>
      <c r="C13" s="19">
        <f>600000+151981.79-145948.5</f>
        <v>606033.29</v>
      </c>
      <c r="D13" s="19">
        <f>200000+125998.03-223971.71</f>
        <v>102026.32000000004</v>
      </c>
      <c r="E13" s="20">
        <f>2723000-196476.72+54136.83</f>
        <v>2580660.11</v>
      </c>
      <c r="F13" s="56">
        <v>0</v>
      </c>
      <c r="G13" s="20">
        <f>152000+11124-32441.6</f>
        <v>130682.4</v>
      </c>
      <c r="H13" s="20">
        <f>7500+5460-5880</f>
        <v>7080</v>
      </c>
      <c r="I13" s="17">
        <f t="shared" si="1"/>
        <v>137762.4</v>
      </c>
      <c r="J13" s="20">
        <f>20000+1102.82-18260.46</f>
        <v>2842.3600000000006</v>
      </c>
      <c r="K13" s="20">
        <f>4000+7143.64-7745.08</f>
        <v>3398.5599999999995</v>
      </c>
      <c r="L13" s="20">
        <f>1500+4553.12-3850.57</f>
        <v>2202.5499999999997</v>
      </c>
      <c r="M13" s="20">
        <f>10000+1494.6-1118.25</f>
        <v>10376.35</v>
      </c>
      <c r="N13" s="19">
        <f>100000+68000-2108.96+9897.58</f>
        <v>175788.62</v>
      </c>
      <c r="O13" s="20">
        <f>2000+1813.6-1630.56</f>
        <v>2183.04</v>
      </c>
      <c r="P13" s="20">
        <f>60000+20659.06-19278.2</f>
        <v>61380.86</v>
      </c>
      <c r="Q13" s="11">
        <f t="shared" si="2"/>
        <v>3546892.06</v>
      </c>
      <c r="R13" s="12">
        <f t="shared" si="0"/>
        <v>3684654.46</v>
      </c>
    </row>
    <row r="14" spans="1:20" s="13" customFormat="1" ht="12.75" x14ac:dyDescent="0.2">
      <c r="A14" s="14">
        <v>8</v>
      </c>
      <c r="B14" s="23" t="s">
        <v>40</v>
      </c>
      <c r="C14" s="19">
        <f>550000-50000+145948.5-137386.11</f>
        <v>508562.39</v>
      </c>
      <c r="D14" s="19">
        <f>200000-50000+223971.71-150000-28264.99</f>
        <v>195706.71999999997</v>
      </c>
      <c r="E14" s="19">
        <f>2811000-54136.83+300000-193985.63</f>
        <v>2862877.54</v>
      </c>
      <c r="F14" s="56">
        <v>0</v>
      </c>
      <c r="G14" s="20">
        <f>153000+32441.6-44163.2</f>
        <v>141278.40000000002</v>
      </c>
      <c r="H14" s="20">
        <f>8000+5880-6920</f>
        <v>6960</v>
      </c>
      <c r="I14" s="17">
        <f t="shared" si="1"/>
        <v>148238.39999999999</v>
      </c>
      <c r="J14" s="20">
        <f>20000+18260.46-29533.25</f>
        <v>8727.2099999999991</v>
      </c>
      <c r="K14" s="20">
        <f>5000+7745.08-5512.72</f>
        <v>7232.36</v>
      </c>
      <c r="L14" s="20">
        <f>1000+3850.57-3969.55</f>
        <v>881.01999999999953</v>
      </c>
      <c r="M14" s="20">
        <f>10000+1118.25-741.9</f>
        <v>10376.35</v>
      </c>
      <c r="N14" s="19">
        <f>105000+190000-9897.58-188846.16</f>
        <v>96256.25999999998</v>
      </c>
      <c r="O14" s="19">
        <f>2000+1630.56-1447.52</f>
        <v>2183.04</v>
      </c>
      <c r="P14" s="20">
        <f>62000+19278.2-33370.91</f>
        <v>47907.289999999994</v>
      </c>
      <c r="Q14" s="11">
        <f t="shared" si="2"/>
        <v>3740710.18</v>
      </c>
      <c r="R14" s="12">
        <f t="shared" si="0"/>
        <v>3888948.58</v>
      </c>
      <c r="S14" s="43"/>
    </row>
    <row r="15" spans="1:20" s="18" customFormat="1" ht="25.5" x14ac:dyDescent="0.2">
      <c r="A15" s="24" t="s">
        <v>15</v>
      </c>
      <c r="B15" s="25" t="s">
        <v>41</v>
      </c>
      <c r="C15" s="17">
        <f t="shared" ref="C15:P15" si="4">SUM(C12:C14)</f>
        <v>1690333.46</v>
      </c>
      <c r="D15" s="17">
        <f t="shared" si="4"/>
        <v>404431.03</v>
      </c>
      <c r="E15" s="17">
        <f t="shared" si="4"/>
        <v>8540014.370000001</v>
      </c>
      <c r="F15" s="17">
        <f t="shared" si="4"/>
        <v>0</v>
      </c>
      <c r="G15" s="17">
        <f t="shared" si="4"/>
        <v>413836.80000000005</v>
      </c>
      <c r="H15" s="17">
        <f t="shared" si="4"/>
        <v>18240</v>
      </c>
      <c r="I15" s="17">
        <f t="shared" si="4"/>
        <v>432076.80000000005</v>
      </c>
      <c r="J15" s="17">
        <f>SUM(J12:J14)</f>
        <v>32314.75</v>
      </c>
      <c r="K15" s="17">
        <f>SUM(K12:K14)</f>
        <v>14029.48</v>
      </c>
      <c r="L15" s="17">
        <f>SUM(L12:L14)</f>
        <v>4405.0999999999985</v>
      </c>
      <c r="M15" s="17">
        <f t="shared" si="4"/>
        <v>31129.050000000003</v>
      </c>
      <c r="N15" s="17">
        <f t="shared" si="4"/>
        <v>384213.67999999993</v>
      </c>
      <c r="O15" s="17">
        <f t="shared" si="4"/>
        <v>6549.12</v>
      </c>
      <c r="P15" s="17">
        <f t="shared" si="4"/>
        <v>180144.02999999997</v>
      </c>
      <c r="Q15" s="11">
        <f t="shared" si="2"/>
        <v>11287564.07</v>
      </c>
      <c r="R15" s="12">
        <f t="shared" si="0"/>
        <v>11719640.869999999</v>
      </c>
      <c r="S15" s="35"/>
    </row>
    <row r="16" spans="1:20" s="22" customFormat="1" ht="12.75" x14ac:dyDescent="0.2">
      <c r="A16" s="21" t="s">
        <v>16</v>
      </c>
      <c r="B16" s="25" t="s">
        <v>42</v>
      </c>
      <c r="C16" s="17">
        <f t="shared" ref="C16:P16" si="5">C11+C15</f>
        <v>3362613.8899999997</v>
      </c>
      <c r="D16" s="17">
        <f t="shared" si="5"/>
        <v>871735.01</v>
      </c>
      <c r="E16" s="17">
        <f t="shared" si="5"/>
        <v>16799014.370000001</v>
      </c>
      <c r="F16" s="17">
        <f t="shared" si="5"/>
        <v>180879.88</v>
      </c>
      <c r="G16" s="17">
        <f t="shared" si="5"/>
        <v>869836.80000000005</v>
      </c>
      <c r="H16" s="17">
        <f t="shared" si="5"/>
        <v>40080</v>
      </c>
      <c r="I16" s="17">
        <f t="shared" si="5"/>
        <v>909916.8</v>
      </c>
      <c r="J16" s="17">
        <f t="shared" si="5"/>
        <v>89466.75</v>
      </c>
      <c r="K16" s="17">
        <f>K11+K15</f>
        <v>23487.279999999999</v>
      </c>
      <c r="L16" s="17">
        <f>L11+L15</f>
        <v>9030.4499999999989</v>
      </c>
      <c r="M16" s="17">
        <f t="shared" si="5"/>
        <v>62258.100000000006</v>
      </c>
      <c r="N16" s="17">
        <f t="shared" si="5"/>
        <v>743153.84</v>
      </c>
      <c r="O16" s="17">
        <f t="shared" si="5"/>
        <v>12552.48</v>
      </c>
      <c r="P16" s="17">
        <f t="shared" si="5"/>
        <v>361629.08999999997</v>
      </c>
      <c r="Q16" s="11">
        <f t="shared" si="2"/>
        <v>22515821.140000001</v>
      </c>
      <c r="R16" s="12">
        <f t="shared" si="0"/>
        <v>23425737.940000001</v>
      </c>
    </row>
    <row r="17" spans="1:19" s="13" customFormat="1" ht="12.75" x14ac:dyDescent="0.2">
      <c r="A17" s="14">
        <v>11</v>
      </c>
      <c r="B17" s="23" t="s">
        <v>43</v>
      </c>
      <c r="C17" s="19">
        <f>600000+137386.11-107504.38</f>
        <v>629881.73</v>
      </c>
      <c r="D17" s="19">
        <f>100000+28264.99+56245.61</f>
        <v>184510.6</v>
      </c>
      <c r="E17" s="46">
        <f>3000000+193985.63-382314.59</f>
        <v>2811671.04</v>
      </c>
      <c r="F17" s="60">
        <v>0</v>
      </c>
      <c r="G17" s="20">
        <f>160000+44163.2-71947.2</f>
        <v>132216</v>
      </c>
      <c r="H17" s="20">
        <f>9000+6920-12800</f>
        <v>3120</v>
      </c>
      <c r="I17" s="17">
        <f t="shared" si="1"/>
        <v>135336</v>
      </c>
      <c r="J17" s="47">
        <f>20000+29533.25-33655.31</f>
        <v>15877.940000000002</v>
      </c>
      <c r="K17" s="47">
        <f>7000+5512.72-9114.16</f>
        <v>3398.5600000000013</v>
      </c>
      <c r="L17" s="20">
        <f>2000+3969.55-3311.04</f>
        <v>2658.51</v>
      </c>
      <c r="M17" s="20">
        <f>11000+741.9-1365.55</f>
        <v>10376.35</v>
      </c>
      <c r="N17" s="20">
        <f>200000+188846.16-241201.16</f>
        <v>147645.00000000003</v>
      </c>
      <c r="O17" s="20">
        <f>2200+1447.52-1464.48</f>
        <v>2183.04</v>
      </c>
      <c r="P17" s="20">
        <f>70000+33370.91-49022.28</f>
        <v>54348.630000000005</v>
      </c>
      <c r="Q17" s="11">
        <f t="shared" si="2"/>
        <v>3862551.4</v>
      </c>
      <c r="R17" s="12">
        <f t="shared" si="0"/>
        <v>3997887.4</v>
      </c>
      <c r="S17" s="43"/>
    </row>
    <row r="18" spans="1:19" s="18" customFormat="1" ht="12.75" x14ac:dyDescent="0.2">
      <c r="A18" s="14">
        <v>12</v>
      </c>
      <c r="B18" s="23" t="s">
        <v>44</v>
      </c>
      <c r="C18" s="19">
        <f>489040+107504.38+23054.21</f>
        <v>619598.59</v>
      </c>
      <c r="D18" s="19">
        <f>115480-56245.61+200000-60113.41</f>
        <v>199120.98</v>
      </c>
      <c r="E18" s="46">
        <f>2733620+382314.59-401161.86</f>
        <v>2714772.73</v>
      </c>
      <c r="F18" s="60">
        <v>0</v>
      </c>
      <c r="G18" s="20">
        <f>160000+71947.2-98243.2</f>
        <v>133704</v>
      </c>
      <c r="H18" s="20">
        <f>9000+12800-14000</f>
        <v>7800</v>
      </c>
      <c r="I18" s="17">
        <f t="shared" si="1"/>
        <v>141504</v>
      </c>
      <c r="J18" s="20">
        <f>18140+33655.31-36680.7</f>
        <v>15114.61</v>
      </c>
      <c r="K18" s="19">
        <f>7000+9114.16-5483.24</f>
        <v>10630.92</v>
      </c>
      <c r="L18" s="20">
        <f>1330+3311.04-3760.02</f>
        <v>881.02</v>
      </c>
      <c r="M18" s="20">
        <f>11000+1365.55-12365.55</f>
        <v>0</v>
      </c>
      <c r="N18" s="20">
        <f>200000+241201.16-271122.4</f>
        <v>170078.76</v>
      </c>
      <c r="O18" s="20">
        <f>2200+1464.48-1481.44</f>
        <v>2183.04</v>
      </c>
      <c r="P18" s="20">
        <f>70000+49022.28-50813.47</f>
        <v>68208.81</v>
      </c>
      <c r="Q18" s="11">
        <f t="shared" si="2"/>
        <v>3800589.46</v>
      </c>
      <c r="R18" s="12">
        <f t="shared" si="0"/>
        <v>3942093.46</v>
      </c>
    </row>
    <row r="19" spans="1:19" s="18" customFormat="1" ht="12.75" x14ac:dyDescent="0.2">
      <c r="A19" s="14">
        <v>13</v>
      </c>
      <c r="B19" s="26" t="s">
        <v>45</v>
      </c>
      <c r="C19" s="19">
        <f>687380-23054.21-13891-53219.13-42885.49</f>
        <v>554330.17000000004</v>
      </c>
      <c r="D19" s="19">
        <f>350000+60113.41-200113-28500.59</f>
        <v>181499.82000000004</v>
      </c>
      <c r="E19" s="74">
        <f>401161.86+2400000</f>
        <v>2801161.86</v>
      </c>
      <c r="F19" s="60">
        <v>0</v>
      </c>
      <c r="G19" s="20">
        <f>160000+98243.2-110000-11539.2</f>
        <v>136704</v>
      </c>
      <c r="H19" s="20">
        <f>9000+14000-14000-2880</f>
        <v>6120</v>
      </c>
      <c r="I19" s="17">
        <f t="shared" si="1"/>
        <v>142824</v>
      </c>
      <c r="J19" s="20">
        <f>36680.7-21000-7175</f>
        <v>8505.6999999999971</v>
      </c>
      <c r="K19" s="19">
        <f>7000+5483.24-12400-83.24</f>
        <v>-2.1316282072803006E-13</v>
      </c>
      <c r="L19" s="20">
        <f>3760.02-1260-1178.49</f>
        <v>1321.53</v>
      </c>
      <c r="M19" s="20">
        <f>9370+12365.55-11000-359.2</f>
        <v>10376.349999999999</v>
      </c>
      <c r="N19" s="19">
        <f>200000+209700+271122.4-522000-163.36</f>
        <v>158659.04000000004</v>
      </c>
      <c r="O19" s="19">
        <f>1570+1481.44-800-68.4</f>
        <v>2183.04</v>
      </c>
      <c r="P19" s="20">
        <f>70000+50813.47-60000-11443.09</f>
        <v>49370.380000000005</v>
      </c>
      <c r="Q19" s="11">
        <f t="shared" si="2"/>
        <v>3767407.89</v>
      </c>
      <c r="R19" s="12">
        <f t="shared" si="0"/>
        <v>3910231.89</v>
      </c>
    </row>
    <row r="20" spans="1:19" s="28" customFormat="1" ht="25.5" x14ac:dyDescent="0.2">
      <c r="A20" s="21" t="s">
        <v>17</v>
      </c>
      <c r="B20" s="25" t="s">
        <v>46</v>
      </c>
      <c r="C20" s="27">
        <f>ROUND(C17+C18+C19,2)</f>
        <v>1803810.49</v>
      </c>
      <c r="D20" s="27">
        <f t="shared" ref="D20:P20" si="6">ROUND(D17+D18+D19,2)</f>
        <v>565131.4</v>
      </c>
      <c r="E20" s="27">
        <f t="shared" si="6"/>
        <v>8327605.6299999999</v>
      </c>
      <c r="F20" s="27">
        <f t="shared" si="6"/>
        <v>0</v>
      </c>
      <c r="G20" s="27">
        <f t="shared" si="6"/>
        <v>402624</v>
      </c>
      <c r="H20" s="27">
        <f t="shared" si="6"/>
        <v>17040</v>
      </c>
      <c r="I20" s="27">
        <f t="shared" si="6"/>
        <v>419664</v>
      </c>
      <c r="J20" s="27">
        <f t="shared" si="6"/>
        <v>39498.25</v>
      </c>
      <c r="K20" s="27">
        <f>ROUND(K17+K18+K19,2)</f>
        <v>14029.48</v>
      </c>
      <c r="L20" s="27">
        <f>ROUND(L17+L18+L19,2)</f>
        <v>4861.0600000000004</v>
      </c>
      <c r="M20" s="27">
        <f t="shared" si="6"/>
        <v>20752.7</v>
      </c>
      <c r="N20" s="27">
        <f t="shared" si="6"/>
        <v>476382.8</v>
      </c>
      <c r="O20" s="27">
        <f t="shared" si="6"/>
        <v>6549.12</v>
      </c>
      <c r="P20" s="27">
        <f t="shared" si="6"/>
        <v>171927.82</v>
      </c>
      <c r="Q20" s="11">
        <f t="shared" si="2"/>
        <v>11430548.75</v>
      </c>
      <c r="R20" s="12">
        <f t="shared" si="0"/>
        <v>11850212.75</v>
      </c>
    </row>
    <row r="21" spans="1:19" s="28" customFormat="1" ht="25.5" x14ac:dyDescent="0.2">
      <c r="A21" s="21" t="s">
        <v>18</v>
      </c>
      <c r="B21" s="25" t="s">
        <v>47</v>
      </c>
      <c r="C21" s="27">
        <f>ROUND(C16+C20,2)</f>
        <v>5166424.38</v>
      </c>
      <c r="D21" s="27">
        <f t="shared" ref="D21:P21" si="7">ROUND(D16+D20,2)</f>
        <v>1436866.41</v>
      </c>
      <c r="E21" s="27">
        <f t="shared" si="7"/>
        <v>25126620</v>
      </c>
      <c r="F21" s="27">
        <f t="shared" si="7"/>
        <v>180879.88</v>
      </c>
      <c r="G21" s="27">
        <f>ROUND(G16+G20,2)</f>
        <v>1272460.8</v>
      </c>
      <c r="H21" s="27">
        <f t="shared" si="7"/>
        <v>57120</v>
      </c>
      <c r="I21" s="27">
        <f t="shared" si="7"/>
        <v>1329580.8</v>
      </c>
      <c r="J21" s="27">
        <f t="shared" si="7"/>
        <v>128965</v>
      </c>
      <c r="K21" s="27">
        <f>ROUND(K16+K20,2)</f>
        <v>37516.76</v>
      </c>
      <c r="L21" s="27">
        <f>ROUND(L16+L20,2)</f>
        <v>13891.51</v>
      </c>
      <c r="M21" s="27">
        <f t="shared" si="7"/>
        <v>83010.8</v>
      </c>
      <c r="N21" s="27">
        <f t="shared" si="7"/>
        <v>1219536.6399999999</v>
      </c>
      <c r="O21" s="27">
        <f t="shared" si="7"/>
        <v>19101.599999999999</v>
      </c>
      <c r="P21" s="27">
        <f t="shared" si="7"/>
        <v>533556.91</v>
      </c>
      <c r="Q21" s="11">
        <f t="shared" si="2"/>
        <v>33946369.890000001</v>
      </c>
      <c r="R21" s="12">
        <f t="shared" si="0"/>
        <v>35275950.689999998</v>
      </c>
    </row>
    <row r="22" spans="1:19" s="18" customFormat="1" ht="25.5" x14ac:dyDescent="0.2">
      <c r="A22" s="14">
        <v>16</v>
      </c>
      <c r="B22" s="29" t="s">
        <v>48</v>
      </c>
      <c r="C22" s="19">
        <f>626530+13891+40838.38</f>
        <v>681259.38</v>
      </c>
      <c r="D22" s="19">
        <f>200000+28500.59-85239.44</f>
        <v>143261.15</v>
      </c>
      <c r="E22" s="19">
        <f>2400000+2800000-2400000+163709.46+155885.31</f>
        <v>3119594.77</v>
      </c>
      <c r="F22" s="56">
        <v>0</v>
      </c>
      <c r="G22" s="19">
        <f>160000-26056</f>
        <v>133944</v>
      </c>
      <c r="H22" s="19">
        <f>4450+4000+2880-8222</f>
        <v>3108</v>
      </c>
      <c r="I22" s="17">
        <f t="shared" si="1"/>
        <v>137052</v>
      </c>
      <c r="J22" s="19">
        <f>8390+7000-5534.13</f>
        <v>9855.869999999999</v>
      </c>
      <c r="K22" s="19">
        <f>420+1660+8000-2847.64</f>
        <v>7232.3600000000006</v>
      </c>
      <c r="L22" s="19">
        <f>2000+1260-160.99</f>
        <v>3099.01</v>
      </c>
      <c r="M22" s="19">
        <f>8760+2000+359.2-742.85</f>
        <v>10376.35</v>
      </c>
      <c r="N22" s="19">
        <f>118540+60000+163.36+13809.16</f>
        <v>192512.52</v>
      </c>
      <c r="O22" s="19">
        <f>1320+800+68.4-5.36</f>
        <v>2183.04</v>
      </c>
      <c r="P22" s="19">
        <f>44130+20000-1542.21</f>
        <v>62587.79</v>
      </c>
      <c r="Q22" s="11">
        <f t="shared" si="2"/>
        <v>4231962.24</v>
      </c>
      <c r="R22" s="12">
        <f t="shared" si="0"/>
        <v>4369014.24</v>
      </c>
    </row>
    <row r="23" spans="1:19" s="18" customFormat="1" ht="12.75" x14ac:dyDescent="0.2">
      <c r="A23" s="14">
        <v>17</v>
      </c>
      <c r="B23" s="26" t="s">
        <v>51</v>
      </c>
      <c r="C23" s="19">
        <f>53219.13+42885.49-40838.38+550000+69851.1</f>
        <v>675117.34</v>
      </c>
      <c r="D23" s="19">
        <f>200000+85239.44-58480+18999.35</f>
        <v>245758.79</v>
      </c>
      <c r="E23" s="19">
        <f>2709300-319594.77+646590+65819.61</f>
        <v>3102114.84</v>
      </c>
      <c r="F23" s="56">
        <v>0</v>
      </c>
      <c r="G23" s="19">
        <f>23310+110000+11539.2+26056-27601.2</f>
        <v>143304</v>
      </c>
      <c r="H23" s="19">
        <f>10000+8222-2130-8652</f>
        <v>7440</v>
      </c>
      <c r="I23" s="17">
        <f t="shared" si="1"/>
        <v>150744</v>
      </c>
      <c r="J23" s="19">
        <f>14000+5534.13+1136.97</f>
        <v>20671.100000000002</v>
      </c>
      <c r="K23" s="19">
        <f>4400+83.24+2847.64+3300.04</f>
        <v>10630.919999999998</v>
      </c>
      <c r="L23" s="19">
        <f>2000+160.99-398.96</f>
        <v>1762.0299999999997</v>
      </c>
      <c r="M23" s="19">
        <f>11000+742.85-1366.5</f>
        <v>10376.35</v>
      </c>
      <c r="N23" s="19">
        <f>231000-13809.16-69545.84</f>
        <v>147645</v>
      </c>
      <c r="O23" s="19">
        <f>2183.04+5.36-5.36</f>
        <v>2183.04</v>
      </c>
      <c r="P23" s="19">
        <f>4550+40000+11443.09+1542.21+8439.43</f>
        <v>65974.73</v>
      </c>
      <c r="Q23" s="11">
        <f t="shared" si="2"/>
        <v>4282234.1399999997</v>
      </c>
      <c r="R23" s="12">
        <f t="shared" si="0"/>
        <v>4432978.1399999997</v>
      </c>
    </row>
    <row r="24" spans="1:19" s="18" customFormat="1" ht="25.5" x14ac:dyDescent="0.2">
      <c r="A24" s="14">
        <v>18</v>
      </c>
      <c r="B24" s="29" t="s">
        <v>52</v>
      </c>
      <c r="C24" s="82">
        <f>600000-69851.1+22000</f>
        <v>552148.9</v>
      </c>
      <c r="D24" s="19">
        <f>200113-18999.35+20000-26550.7</f>
        <v>174562.94999999998</v>
      </c>
      <c r="E24" s="82">
        <f>3000000-65819.61</f>
        <v>2934180.39</v>
      </c>
      <c r="F24" s="56">
        <f>0.12-0.12</f>
        <v>0</v>
      </c>
      <c r="G24" s="19">
        <f>118150+27601.2-10229.2</f>
        <v>135522</v>
      </c>
      <c r="H24" s="19">
        <f>8652-3612</f>
        <v>5040</v>
      </c>
      <c r="I24" s="17">
        <f t="shared" si="1"/>
        <v>140562</v>
      </c>
      <c r="J24" s="19">
        <f>7175+6940-1136.97-1399.47</f>
        <v>11578.560000000001</v>
      </c>
      <c r="K24" s="19">
        <f>3440-3300.04-139.96</f>
        <v>0</v>
      </c>
      <c r="L24" s="19">
        <f>1830+1178.49-1670+398.96-415.93</f>
        <v>1321.5199999999998</v>
      </c>
      <c r="M24" s="19">
        <f>9000+90+1366.5-80.15</f>
        <v>10376.35</v>
      </c>
      <c r="N24" s="19">
        <f>231000-85000+69545.84-77593.12</f>
        <v>137952.72</v>
      </c>
      <c r="O24" s="19">
        <f>1656.96+580+5.36-59.28</f>
        <v>2183.04</v>
      </c>
      <c r="P24" s="19">
        <f>57730-8439.43-135.89</f>
        <v>49154.68</v>
      </c>
      <c r="Q24" s="11">
        <f t="shared" si="2"/>
        <v>3873459.11</v>
      </c>
      <c r="R24" s="12">
        <f t="shared" si="0"/>
        <v>4014021.11</v>
      </c>
    </row>
    <row r="25" spans="1:19" s="28" customFormat="1" ht="25.5" x14ac:dyDescent="0.2">
      <c r="A25" s="21" t="s">
        <v>19</v>
      </c>
      <c r="B25" s="58" t="s">
        <v>53</v>
      </c>
      <c r="C25" s="27">
        <f>ROUND(C22+C23+C24,2)</f>
        <v>1908525.62</v>
      </c>
      <c r="D25" s="27">
        <f t="shared" ref="D25:P25" si="8">ROUND(D22+D23+D24,2)</f>
        <v>563582.89</v>
      </c>
      <c r="E25" s="27">
        <f t="shared" si="8"/>
        <v>9155890</v>
      </c>
      <c r="F25" s="27">
        <f t="shared" si="8"/>
        <v>0</v>
      </c>
      <c r="G25" s="27">
        <f t="shared" si="8"/>
        <v>412770</v>
      </c>
      <c r="H25" s="27">
        <f t="shared" si="8"/>
        <v>15588</v>
      </c>
      <c r="I25" s="27">
        <f t="shared" si="8"/>
        <v>428358</v>
      </c>
      <c r="J25" s="27">
        <f t="shared" si="8"/>
        <v>42105.53</v>
      </c>
      <c r="K25" s="27">
        <f>ROUND(K22+K23+K24,2)</f>
        <v>17863.28</v>
      </c>
      <c r="L25" s="27">
        <f>ROUND(L22+L23+L24,2)</f>
        <v>6182.56</v>
      </c>
      <c r="M25" s="27">
        <f t="shared" si="8"/>
        <v>31129.05</v>
      </c>
      <c r="N25" s="27">
        <f t="shared" si="8"/>
        <v>478110.24</v>
      </c>
      <c r="O25" s="27">
        <f t="shared" si="8"/>
        <v>6549.12</v>
      </c>
      <c r="P25" s="27">
        <f t="shared" si="8"/>
        <v>177717.2</v>
      </c>
      <c r="Q25" s="11">
        <f t="shared" si="2"/>
        <v>12387655.49</v>
      </c>
      <c r="R25" s="12">
        <f t="shared" si="0"/>
        <v>12816013.49</v>
      </c>
    </row>
    <row r="26" spans="1:19" s="28" customFormat="1" ht="38.25" x14ac:dyDescent="0.2">
      <c r="A26" s="30" t="s">
        <v>20</v>
      </c>
      <c r="B26" s="83" t="s">
        <v>54</v>
      </c>
      <c r="C26" s="31">
        <f>ROUND(C11+C15+C20+C25,2)</f>
        <v>7074950</v>
      </c>
      <c r="D26" s="31">
        <f t="shared" ref="D26:P26" si="9">ROUND(D11+D15+D20+D25,2)</f>
        <v>2000449.3</v>
      </c>
      <c r="E26" s="31">
        <f t="shared" si="9"/>
        <v>34282510</v>
      </c>
      <c r="F26" s="31">
        <f t="shared" si="9"/>
        <v>180879.88</v>
      </c>
      <c r="G26" s="31">
        <f t="shared" si="9"/>
        <v>1685230.8</v>
      </c>
      <c r="H26" s="31">
        <f t="shared" si="9"/>
        <v>72708</v>
      </c>
      <c r="I26" s="31">
        <f t="shared" si="9"/>
        <v>1757938.8</v>
      </c>
      <c r="J26" s="31">
        <f t="shared" si="9"/>
        <v>171070.53</v>
      </c>
      <c r="K26" s="31">
        <f>ROUND(K11+K15+K20+K25,2)</f>
        <v>55380.04</v>
      </c>
      <c r="L26" s="31">
        <f>ROUND(L11+L15+L20+L25,2)</f>
        <v>20074.07</v>
      </c>
      <c r="M26" s="31">
        <f t="shared" si="9"/>
        <v>114139.85</v>
      </c>
      <c r="N26" s="31">
        <f t="shared" si="9"/>
        <v>1697646.88</v>
      </c>
      <c r="O26" s="31">
        <f t="shared" si="9"/>
        <v>25650.720000000001</v>
      </c>
      <c r="P26" s="31">
        <f t="shared" si="9"/>
        <v>711274.11</v>
      </c>
      <c r="Q26" s="32">
        <f t="shared" si="2"/>
        <v>46334025.380000003</v>
      </c>
      <c r="R26" s="33">
        <f t="shared" si="0"/>
        <v>48091964.18</v>
      </c>
    </row>
    <row r="27" spans="1:19" s="18" customFormat="1" ht="25.5" x14ac:dyDescent="0.2">
      <c r="A27" s="84" t="s">
        <v>55</v>
      </c>
      <c r="B27" s="34" t="s">
        <v>27</v>
      </c>
      <c r="C27" s="20">
        <f>ROUND(C8+C9+C10+C12+C13+C14+C17+C18+C19+C22+C23+C24,2)</f>
        <v>7074950</v>
      </c>
      <c r="D27" s="20">
        <f t="shared" ref="D27:P27" si="10">ROUND(D8+D9+D10+D12+D13+D14+D17+D18+D19+D22+D23+D24,2)</f>
        <v>2000449.3</v>
      </c>
      <c r="E27" s="20">
        <f t="shared" si="10"/>
        <v>34282510</v>
      </c>
      <c r="F27" s="56">
        <f>ROUND(F8+F9+F10+F12+F13+F14+F17+F18+F19+F22+F23+F24,2)</f>
        <v>180879.88</v>
      </c>
      <c r="G27" s="20">
        <f t="shared" si="10"/>
        <v>1685230.8</v>
      </c>
      <c r="H27" s="20">
        <f t="shared" si="10"/>
        <v>72708</v>
      </c>
      <c r="I27" s="17">
        <f t="shared" si="1"/>
        <v>1757938.8</v>
      </c>
      <c r="J27" s="20">
        <f t="shared" si="10"/>
        <v>171070.53</v>
      </c>
      <c r="K27" s="20">
        <f t="shared" si="10"/>
        <v>55380.04</v>
      </c>
      <c r="L27" s="20">
        <f t="shared" si="10"/>
        <v>20074.07</v>
      </c>
      <c r="M27" s="20">
        <f t="shared" si="10"/>
        <v>114139.85</v>
      </c>
      <c r="N27" s="20">
        <f t="shared" si="10"/>
        <v>1697646.88</v>
      </c>
      <c r="O27" s="20">
        <f t="shared" si="10"/>
        <v>25650.720000000001</v>
      </c>
      <c r="P27" s="20">
        <f t="shared" si="10"/>
        <v>711274.11</v>
      </c>
      <c r="Q27" s="11">
        <f t="shared" si="2"/>
        <v>46334025.380000003</v>
      </c>
      <c r="R27" s="12">
        <f t="shared" si="0"/>
        <v>48091964.18</v>
      </c>
      <c r="S27" s="35"/>
    </row>
    <row r="28" spans="1:19" s="37" customFormat="1" ht="25.5" x14ac:dyDescent="0.2">
      <c r="A28" s="85" t="s">
        <v>23</v>
      </c>
      <c r="B28" s="36" t="s">
        <v>28</v>
      </c>
      <c r="C28" s="20">
        <f t="shared" ref="C28:H28" si="11">ROUND(C7-C27,2)</f>
        <v>0</v>
      </c>
      <c r="D28" s="20">
        <f t="shared" si="11"/>
        <v>26550.7</v>
      </c>
      <c r="E28" s="20">
        <f t="shared" si="11"/>
        <v>0</v>
      </c>
      <c r="F28" s="56">
        <f t="shared" si="11"/>
        <v>0.12</v>
      </c>
      <c r="G28" s="20">
        <f t="shared" si="11"/>
        <v>10229.200000000001</v>
      </c>
      <c r="H28" s="20">
        <f t="shared" si="11"/>
        <v>3612</v>
      </c>
      <c r="I28" s="17">
        <f t="shared" si="1"/>
        <v>13841.2</v>
      </c>
      <c r="J28" s="20">
        <f t="shared" ref="J28:P28" si="12">ROUND(J7-J27,2)</f>
        <v>1399.47</v>
      </c>
      <c r="K28" s="20">
        <f t="shared" si="12"/>
        <v>139.96</v>
      </c>
      <c r="L28" s="20">
        <f t="shared" si="12"/>
        <v>415.93</v>
      </c>
      <c r="M28" s="20">
        <f t="shared" si="12"/>
        <v>80.150000000000006</v>
      </c>
      <c r="N28" s="20">
        <f t="shared" si="12"/>
        <v>77593.119999999995</v>
      </c>
      <c r="O28" s="20">
        <f t="shared" si="12"/>
        <v>59.28</v>
      </c>
      <c r="P28" s="20">
        <f t="shared" si="12"/>
        <v>135.88999999999999</v>
      </c>
      <c r="Q28" s="11">
        <f t="shared" si="2"/>
        <v>106374.62</v>
      </c>
      <c r="R28" s="12">
        <f t="shared" si="0"/>
        <v>120215.82</v>
      </c>
      <c r="S28" s="35"/>
    </row>
    <row r="29" spans="1:19" s="42" customFormat="1" ht="25.5" x14ac:dyDescent="0.2">
      <c r="A29" s="62">
        <v>23</v>
      </c>
      <c r="B29" s="63" t="s">
        <v>56</v>
      </c>
      <c r="C29" s="86">
        <v>88203.9</v>
      </c>
      <c r="D29" s="64">
        <v>0</v>
      </c>
      <c r="E29" s="86">
        <v>129346.6</v>
      </c>
      <c r="F29" s="65">
        <v>0</v>
      </c>
      <c r="G29" s="64">
        <v>0</v>
      </c>
      <c r="H29" s="64">
        <v>0</v>
      </c>
      <c r="I29" s="66">
        <f t="shared" si="1"/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7">
        <f t="shared" si="2"/>
        <v>217550.5</v>
      </c>
      <c r="R29" s="68">
        <f t="shared" si="0"/>
        <v>217550.5</v>
      </c>
      <c r="S29" s="41"/>
    </row>
    <row r="30" spans="1:19" s="13" customFormat="1" ht="12.75" x14ac:dyDescent="0.2">
      <c r="A30" s="85">
        <v>24</v>
      </c>
      <c r="B30" s="34" t="s">
        <v>29</v>
      </c>
      <c r="C30" s="20">
        <v>575634.68999999994</v>
      </c>
      <c r="D30" s="20">
        <v>92666.78</v>
      </c>
      <c r="E30" s="20">
        <v>2468422.4900000002</v>
      </c>
      <c r="F30" s="56">
        <v>0</v>
      </c>
      <c r="G30" s="20">
        <v>149625.54</v>
      </c>
      <c r="H30" s="20">
        <v>7675.2</v>
      </c>
      <c r="I30" s="38">
        <f t="shared" si="1"/>
        <v>157300.74</v>
      </c>
      <c r="J30" s="20">
        <v>14891.96</v>
      </c>
      <c r="K30" s="20">
        <v>4329.7700000000004</v>
      </c>
      <c r="L30" s="20">
        <v>2309.5300000000002</v>
      </c>
      <c r="M30" s="20">
        <v>9492.76</v>
      </c>
      <c r="N30" s="20">
        <v>92013.65</v>
      </c>
      <c r="O30" s="20">
        <v>1479.06</v>
      </c>
      <c r="P30" s="20">
        <v>67850.89</v>
      </c>
      <c r="Q30" s="11">
        <f t="shared" si="2"/>
        <v>3329091.58</v>
      </c>
      <c r="R30" s="12">
        <f t="shared" si="0"/>
        <v>3486392.3199999998</v>
      </c>
      <c r="S30" s="35"/>
    </row>
    <row r="31" spans="1:19" s="13" customFormat="1" ht="39" thickBot="1" x14ac:dyDescent="0.25">
      <c r="A31" s="87" t="s">
        <v>57</v>
      </c>
      <c r="B31" s="88" t="s">
        <v>58</v>
      </c>
      <c r="C31" s="89">
        <f>ROUND((C27+C29)/12,2)</f>
        <v>596929.49</v>
      </c>
      <c r="D31" s="89">
        <f t="shared" ref="D31:P31" si="13">ROUND((D27+D29)/12,2)</f>
        <v>166704.10999999999</v>
      </c>
      <c r="E31" s="89">
        <f t="shared" si="13"/>
        <v>2867654.72</v>
      </c>
      <c r="F31" s="90">
        <v>0</v>
      </c>
      <c r="G31" s="89">
        <f t="shared" si="13"/>
        <v>140435.9</v>
      </c>
      <c r="H31" s="89">
        <f t="shared" si="13"/>
        <v>6059</v>
      </c>
      <c r="I31" s="48">
        <f t="shared" si="1"/>
        <v>146494.9</v>
      </c>
      <c r="J31" s="89">
        <f t="shared" si="13"/>
        <v>14255.88</v>
      </c>
      <c r="K31" s="89">
        <f t="shared" si="13"/>
        <v>4615</v>
      </c>
      <c r="L31" s="89">
        <f t="shared" si="13"/>
        <v>1672.84</v>
      </c>
      <c r="M31" s="89">
        <f t="shared" si="13"/>
        <v>9511.65</v>
      </c>
      <c r="N31" s="89">
        <f t="shared" si="13"/>
        <v>141470.57</v>
      </c>
      <c r="O31" s="89">
        <f t="shared" si="13"/>
        <v>2137.56</v>
      </c>
      <c r="P31" s="89">
        <f t="shared" si="13"/>
        <v>59272.84</v>
      </c>
      <c r="Q31" s="75">
        <f t="shared" si="2"/>
        <v>3864224.66</v>
      </c>
      <c r="R31" s="76">
        <f t="shared" si="0"/>
        <v>4010719.56</v>
      </c>
      <c r="S31" s="35"/>
    </row>
    <row r="32" spans="1:19" x14ac:dyDescent="0.2">
      <c r="A32" s="91"/>
      <c r="B32" s="92"/>
      <c r="C32" s="93"/>
      <c r="D32" s="93"/>
      <c r="E32" s="93"/>
      <c r="F32" s="94"/>
      <c r="G32" s="94"/>
      <c r="H32" s="94"/>
      <c r="I32" s="95"/>
      <c r="J32" s="93"/>
      <c r="K32" s="93"/>
      <c r="L32" s="93"/>
      <c r="M32" s="93"/>
      <c r="N32" s="93"/>
      <c r="O32" s="93"/>
      <c r="P32" s="93"/>
      <c r="Q32" s="96"/>
      <c r="R32" s="96"/>
    </row>
    <row r="33" spans="3:19" x14ac:dyDescent="0.2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3:19" x14ac:dyDescent="0.2">
      <c r="C34" s="39"/>
      <c r="E34" s="39"/>
      <c r="F34" s="39"/>
      <c r="G34" s="18"/>
      <c r="H34" s="40"/>
      <c r="I34" s="78"/>
      <c r="M34" s="40"/>
      <c r="N34" s="40"/>
      <c r="Q34" s="77"/>
    </row>
    <row r="35" spans="3:19" x14ac:dyDescent="0.2">
      <c r="C35" s="22"/>
      <c r="E35" s="39"/>
      <c r="F35" s="39"/>
      <c r="G35" s="18"/>
      <c r="H35" s="40"/>
      <c r="K35" s="79"/>
      <c r="L35" s="39"/>
      <c r="M35" s="77"/>
      <c r="N35" s="40"/>
    </row>
    <row r="36" spans="3:19" x14ac:dyDescent="0.2">
      <c r="Q36" s="77"/>
    </row>
  </sheetData>
  <mergeCells count="2">
    <mergeCell ref="A2:R2"/>
    <mergeCell ref="A3:R3"/>
  </mergeCells>
  <phoneticPr fontId="16" type="noConversion"/>
  <pageMargins left="0.17" right="0.17" top="0.18" bottom="0.16" header="0.19" footer="0.16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cas olt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cp:lastPrinted>2021-12-07T12:05:06Z</cp:lastPrinted>
  <dcterms:created xsi:type="dcterms:W3CDTF">2019-01-29T08:53:27Z</dcterms:created>
  <dcterms:modified xsi:type="dcterms:W3CDTF">2022-01-20T09:52:25Z</dcterms:modified>
</cp:coreProperties>
</file>