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 AN 2022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<sst xmlns="http://schemas.openxmlformats.org/spreadsheetml/2006/main" count="53" uniqueCount="51">
  <si>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CASA DE ASIGURARI DE SANATATE OLT</t>
  </si>
  <si>
    <t>DENUMIRE INDICATOR</t>
  </si>
  <si>
    <t>Medicamente pentru boli cronice cu risc crescut utilizate în programele naţionale cu scop curativ</t>
  </si>
  <si>
    <t>- SPITAL SLATINA</t>
  </si>
  <si>
    <t>- SPITAL CARACAL</t>
  </si>
  <si>
    <t>Materiale sanitare specifice utilizate în programele naţionale cu scop curativ, din care:</t>
  </si>
  <si>
    <t>-endoprotezaţi adulţi (SPITAL SLATINA)</t>
  </si>
  <si>
    <t>-endoprotezaţi adulţi (SPITAL CARACAL)</t>
  </si>
  <si>
    <t>TOTAL GENERAL PNS</t>
  </si>
  <si>
    <t>Programul național de boli endocrine - Osteoporoză (Spital Slatina)</t>
  </si>
  <si>
    <t>P3 - Tratamentul bolnavilor cu afecţiuni oncologice, din care:</t>
  </si>
  <si>
    <t>P6 - Programul naţional de diagnostic şi tratament pentru boli rare, din care:</t>
  </si>
  <si>
    <t>P6.10 - Tirozinemie (SPITAL CARACAL)</t>
  </si>
  <si>
    <t>P6.4 - Mucoviscidoză copii (FARMACII)</t>
  </si>
  <si>
    <t>P6.4 - Mucoviscidoză adulti (FARMACII)</t>
  </si>
  <si>
    <t>P6.5.2 - Scleroza (FARM)</t>
  </si>
  <si>
    <t>P6.20 - Fibroza pulmonara idiopatica (FARM)</t>
  </si>
  <si>
    <t>P9.7 - Tratamentul stării de posttransplant în ambulatoriu a pacienţilor cu transplant (FARM)</t>
  </si>
  <si>
    <t>-copii cu diabet zaharat insulinodependent automonitorizate</t>
  </si>
  <si>
    <t>P8 - Tratamentul prin endoprotezare- adulti (SPITAL), din care:</t>
  </si>
  <si>
    <t>P6.22 - Angioedem ereditar (FARM)</t>
  </si>
  <si>
    <t>P5 - Program naţional de diabet zaharat, din care:</t>
  </si>
  <si>
    <t>Total teste diabet (FARMACII), din care:</t>
  </si>
  <si>
    <t>P6.28 Limfangioleiomiomatoza (FARM)</t>
  </si>
  <si>
    <t>P5 - Tratamentul bolnavilor cu diabet zaharat (FARM), din care:</t>
  </si>
  <si>
    <t>hemofilie cu substitutie on demand</t>
  </si>
  <si>
    <t>hemofilie profilaxie continua</t>
  </si>
  <si>
    <t>hemofilie profilaxie intermitenta</t>
  </si>
  <si>
    <t>Total seturi consumabile + sisteme monitorizare continua P5 (SPITAL SLATINA), din care:</t>
  </si>
  <si>
    <t>-seturi consumabile pentru pompele de insulină (SPITAL SLATINA)</t>
  </si>
  <si>
    <t>-consumabile sisteme monitorizare continuă a glicemiei (SPITAL SLATINA)</t>
  </si>
  <si>
    <t>P3 - SUME COST VOLUM ONCOLOGIE, din care:</t>
  </si>
  <si>
    <t>- COST VOLUM ONCOLOGIE FARMACII</t>
  </si>
  <si>
    <t>-COST VOLUM ONCOLOGIE SPITALE, din care:</t>
  </si>
  <si>
    <t>SUME COST VOLUM MUCOVISCIDOZA (FARMACII)</t>
  </si>
  <si>
    <t>P6.1 - Programul naţional de diagnostic şi tratament pentru HEMOFILIE ŞI TALASEMIE (SPITAL SLATINA+ FARMACII), din care:</t>
  </si>
  <si>
    <t>talasemie (SPITAL SLATINA)</t>
  </si>
  <si>
    <t>talasemie (FARMACII)</t>
  </si>
  <si>
    <t>Atrofie musculara spinala (FARM)</t>
  </si>
  <si>
    <t>- tratament AN 2022 activitate curenta</t>
  </si>
  <si>
    <t>- OUG NR. 15/2022</t>
  </si>
  <si>
    <t>- adulti cu diabet zaharat insulinotratat-activitate curenta</t>
  </si>
  <si>
    <t>- adulti cu diabet zaharat insulinotratat-OUG 15/2022</t>
  </si>
  <si>
    <t>-consumabile sisteme pompa de insulina cu senzori de monitorizare continuă a glicemiei (SPITAL SLATINA)</t>
  </si>
  <si>
    <t>-Oncologie tratament spital, din care:</t>
  </si>
  <si>
    <t>-Oncologie farmacii circuit deschis</t>
  </si>
  <si>
    <t xml:space="preserve">- ANGIOEDEM DEC 2022, ART. 12(3) </t>
  </si>
  <si>
    <t xml:space="preserve">- DIABET DEC. 2022, ART. 12(3) </t>
  </si>
  <si>
    <t xml:space="preserve">- TRANSPLANT DEC. 2022, ART. 12(3) </t>
  </si>
  <si>
    <t>SITUATIA CREDITELOR DE ANGAJAMENT APROBATE PENTRU DERULAREA PNS PENTRU SEM I 2023, CONFORM FILELOR DE BUGET CNAS NR. P2903-P2904/30.03.2023</t>
  </si>
  <si>
    <t>CREDITE DE ANGAJAMENT APROBATE SEM. I 2023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</si>
</sst>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</numFmts>
  <fonts count="45">
    <font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0" fontId="1" fillId="0" borderId="0" xfId="0" applyNumberFormat="1" applyFont="1" applyAlignment="1">
      <alignment vertical="top"/>
    </xf>
    <xf numFmtId="40" fontId="2" fillId="0" borderId="0" xfId="0" applyNumberFormat="1" applyFont="1" applyAlignment="1">
      <alignment horizontal="center" vertical="top"/>
    </xf>
    <xf numFmtId="40" fontId="3" fillId="0" borderId="0" xfId="0" applyNumberFormat="1" applyFont="1" applyAlignment="1">
      <alignment vertical="top"/>
    </xf>
    <xf numFmtId="40" fontId="4" fillId="0" borderId="0" xfId="0" applyNumberFormat="1" applyFont="1" applyAlignment="1">
      <alignment vertical="top"/>
    </xf>
    <xf numFmtId="40" fontId="5" fillId="0" borderId="0" xfId="0" applyNumberFormat="1" applyFont="1" applyAlignment="1">
      <alignment horizontal="center" vertical="top"/>
    </xf>
    <xf numFmtId="40" fontId="7" fillId="0" borderId="0" xfId="0" applyNumberFormat="1" applyFont="1" applyAlignment="1">
      <alignment vertical="top"/>
    </xf>
    <xf numFmtId="40" fontId="7" fillId="0" borderId="0" xfId="0" applyNumberFormat="1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0" fontId="10" fillId="0" borderId="10" xfId="0" applyNumberFormat="1" applyFont="1" applyFill="1" applyBorder="1" applyAlignment="1">
      <alignment vertical="top" wrapText="1"/>
    </xf>
    <xf numFmtId="40" fontId="2" fillId="0" borderId="11" xfId="0" applyNumberFormat="1" applyFont="1" applyBorder="1" applyAlignment="1">
      <alignment horizontal="center" vertical="top" wrapText="1"/>
    </xf>
    <xf numFmtId="40" fontId="2" fillId="0" borderId="10" xfId="0" applyNumberFormat="1" applyFont="1" applyFill="1" applyBorder="1" applyAlignment="1">
      <alignment vertical="top" wrapText="1"/>
    </xf>
    <xf numFmtId="40" fontId="5" fillId="0" borderId="10" xfId="0" applyNumberFormat="1" applyFont="1" applyFill="1" applyBorder="1" applyAlignment="1" quotePrefix="1">
      <alignment vertical="top" wrapText="1"/>
    </xf>
    <xf numFmtId="40" fontId="10" fillId="0" borderId="10" xfId="0" applyNumberFormat="1" applyFont="1" applyFill="1" applyBorder="1" applyAlignment="1" quotePrefix="1">
      <alignment vertical="top" wrapText="1"/>
    </xf>
    <xf numFmtId="40" fontId="2" fillId="0" borderId="10" xfId="0" applyNumberFormat="1" applyFont="1" applyFill="1" applyBorder="1" applyAlignment="1">
      <alignment vertical="top" wrapText="1"/>
    </xf>
    <xf numFmtId="40" fontId="2" fillId="0" borderId="10" xfId="0" applyNumberFormat="1" applyFont="1" applyFill="1" applyBorder="1" applyAlignment="1" quotePrefix="1">
      <alignment vertical="top" wrapText="1"/>
    </xf>
    <xf numFmtId="40" fontId="5" fillId="0" borderId="10" xfId="0" applyNumberFormat="1" applyFont="1" applyFill="1" applyBorder="1" applyAlignment="1">
      <alignment vertical="top" wrapText="1"/>
    </xf>
    <xf numFmtId="40" fontId="10" fillId="0" borderId="10" xfId="0" applyNumberFormat="1" applyFont="1" applyFill="1" applyBorder="1" applyAlignment="1" quotePrefix="1">
      <alignment vertical="top" wrapText="1"/>
    </xf>
    <xf numFmtId="40" fontId="5" fillId="0" borderId="12" xfId="0" applyNumberFormat="1" applyFont="1" applyFill="1" applyBorder="1" applyAlignment="1" quotePrefix="1">
      <alignment vertical="top" wrapText="1"/>
    </xf>
    <xf numFmtId="38" fontId="2" fillId="0" borderId="12" xfId="0" applyNumberFormat="1" applyFont="1" applyBorder="1" applyAlignment="1">
      <alignment horizontal="center" vertical="top" wrapText="1"/>
    </xf>
    <xf numFmtId="40" fontId="2" fillId="7" borderId="10" xfId="0" applyNumberFormat="1" applyFont="1" applyFill="1" applyBorder="1" applyAlignment="1">
      <alignment vertical="top" wrapText="1"/>
    </xf>
    <xf numFmtId="40" fontId="2" fillId="33" borderId="10" xfId="0" applyNumberFormat="1" applyFont="1" applyFill="1" applyBorder="1" applyAlignment="1">
      <alignment vertical="top" wrapText="1"/>
    </xf>
    <xf numFmtId="40" fontId="2" fillId="33" borderId="13" xfId="0" applyNumberFormat="1" applyFont="1" applyFill="1" applyBorder="1" applyAlignment="1">
      <alignment vertical="top"/>
    </xf>
    <xf numFmtId="40" fontId="7" fillId="0" borderId="0" xfId="0" applyNumberFormat="1" applyFont="1" applyAlignment="1">
      <alignment horizontal="center" vertical="top" wrapText="1"/>
    </xf>
    <xf numFmtId="40" fontId="2" fillId="0" borderId="14" xfId="0" applyNumberFormat="1" applyFont="1" applyBorder="1" applyAlignment="1">
      <alignment horizontal="center" vertical="top" wrapText="1"/>
    </xf>
    <xf numFmtId="38" fontId="2" fillId="0" borderId="15" xfId="0" applyNumberFormat="1" applyFont="1" applyBorder="1" applyAlignment="1">
      <alignment horizontal="center" vertical="top" wrapText="1"/>
    </xf>
    <xf numFmtId="180" fontId="2" fillId="7" borderId="16" xfId="0" applyNumberFormat="1" applyFont="1" applyFill="1" applyBorder="1" applyAlignment="1">
      <alignment horizontal="right" vertical="top"/>
    </xf>
    <xf numFmtId="180" fontId="2" fillId="33" borderId="16" xfId="0" applyNumberFormat="1" applyFont="1" applyFill="1" applyBorder="1" applyAlignment="1">
      <alignment horizontal="right" vertical="top"/>
    </xf>
    <xf numFmtId="180" fontId="5" fillId="0" borderId="16" xfId="0" applyNumberFormat="1" applyFont="1" applyFill="1" applyBorder="1" applyAlignment="1">
      <alignment horizontal="right" vertical="top" wrapText="1"/>
    </xf>
    <xf numFmtId="180" fontId="2" fillId="0" borderId="16" xfId="0" applyNumberFormat="1" applyFont="1" applyFill="1" applyBorder="1" applyAlignment="1">
      <alignment horizontal="right" vertical="top" wrapText="1"/>
    </xf>
    <xf numFmtId="180" fontId="2" fillId="0" borderId="16" xfId="0" applyNumberFormat="1" applyFont="1" applyBorder="1" applyAlignment="1">
      <alignment horizontal="right" vertical="top"/>
    </xf>
    <xf numFmtId="180" fontId="5" fillId="0" borderId="15" xfId="0" applyNumberFormat="1" applyFont="1" applyFill="1" applyBorder="1" applyAlignment="1" quotePrefix="1">
      <alignment horizontal="right" vertical="top" wrapText="1"/>
    </xf>
    <xf numFmtId="180" fontId="2" fillId="33" borderId="17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42.7109375" style="4" customWidth="1"/>
    <col min="2" max="2" width="22.57421875" style="5" customWidth="1"/>
  </cols>
  <sheetData>
    <row r="1" spans="1:2" ht="12.75">
      <c r="A1" s="6" t="s">
        <v>0</v>
      </c>
      <c r="B1" s="2"/>
    </row>
    <row r="2" spans="1:2" ht="12.75">
      <c r="A2" s="1"/>
      <c r="B2" s="2"/>
    </row>
    <row r="3" spans="1:5" ht="32.25" customHeight="1">
      <c r="A3" s="24" t="s">
        <v>49</v>
      </c>
      <c r="B3" s="24"/>
      <c r="C3" s="24"/>
      <c r="D3" s="24"/>
      <c r="E3" s="7"/>
    </row>
    <row r="4" spans="1:2" ht="16.5" thickBot="1">
      <c r="A4" s="3"/>
      <c r="B4" s="3"/>
    </row>
    <row r="5" spans="1:2" s="8" customFormat="1" ht="21">
      <c r="A5" s="11" t="s">
        <v>1</v>
      </c>
      <c r="B5" s="25" t="s">
        <v>50</v>
      </c>
    </row>
    <row r="6" spans="1:2" s="8" customFormat="1" ht="12">
      <c r="A6" s="20">
        <v>0</v>
      </c>
      <c r="B6" s="26">
        <v>1</v>
      </c>
    </row>
    <row r="7" spans="1:2" s="9" customFormat="1" ht="21">
      <c r="A7" s="21" t="s">
        <v>2</v>
      </c>
      <c r="B7" s="27">
        <f>ROUND(B8+B13+B18+B19+B25+B35+B39+B40+B41,2)</f>
        <v>32997140</v>
      </c>
    </row>
    <row r="8" spans="1:2" s="8" customFormat="1" ht="21">
      <c r="A8" s="22" t="s">
        <v>10</v>
      </c>
      <c r="B8" s="28">
        <f>ROUND(B9+B12,2)</f>
        <v>7625280</v>
      </c>
    </row>
    <row r="9" spans="1:2" s="8" customFormat="1" ht="12">
      <c r="A9" s="13" t="s">
        <v>44</v>
      </c>
      <c r="B9" s="29">
        <f>ROUND(B10+B11,2)</f>
        <v>1820000</v>
      </c>
    </row>
    <row r="10" spans="1:2" s="8" customFormat="1" ht="12">
      <c r="A10" s="14" t="s">
        <v>3</v>
      </c>
      <c r="B10" s="29">
        <f>400000+1200000</f>
        <v>1600000</v>
      </c>
    </row>
    <row r="11" spans="1:2" s="8" customFormat="1" ht="15.75" customHeight="1">
      <c r="A11" s="14" t="s">
        <v>4</v>
      </c>
      <c r="B11" s="29">
        <f>100000+120000</f>
        <v>220000</v>
      </c>
    </row>
    <row r="12" spans="1:2" s="9" customFormat="1" ht="12">
      <c r="A12" s="13" t="s">
        <v>45</v>
      </c>
      <c r="B12" s="29">
        <f>1538000+4267280</f>
        <v>5805280</v>
      </c>
    </row>
    <row r="13" spans="1:2" s="8" customFormat="1" ht="12">
      <c r="A13" s="22" t="s">
        <v>31</v>
      </c>
      <c r="B13" s="28">
        <f>ROUND(B14+B15,2)</f>
        <v>3399390</v>
      </c>
    </row>
    <row r="14" spans="1:2" s="8" customFormat="1" ht="12">
      <c r="A14" s="13" t="s">
        <v>32</v>
      </c>
      <c r="B14" s="29">
        <f>659000+620000</f>
        <v>1279000</v>
      </c>
    </row>
    <row r="15" spans="1:2" s="8" customFormat="1" ht="12">
      <c r="A15" s="16" t="s">
        <v>33</v>
      </c>
      <c r="B15" s="30">
        <f>ROUND(B16+B17,2)</f>
        <v>2120390</v>
      </c>
    </row>
    <row r="16" spans="1:2" s="9" customFormat="1" ht="12">
      <c r="A16" s="14" t="s">
        <v>4</v>
      </c>
      <c r="B16" s="29">
        <f>100000+170000+493870+200000</f>
        <v>963870</v>
      </c>
    </row>
    <row r="17" spans="1:2" s="8" customFormat="1" ht="12">
      <c r="A17" s="14" t="s">
        <v>3</v>
      </c>
      <c r="B17" s="29">
        <f>400000+600000+156520</f>
        <v>1156520</v>
      </c>
    </row>
    <row r="18" spans="1:2" s="8" customFormat="1" ht="21">
      <c r="A18" s="22" t="s">
        <v>34</v>
      </c>
      <c r="B18" s="28">
        <f>10000+10000</f>
        <v>20000</v>
      </c>
    </row>
    <row r="19" spans="1:2" s="8" customFormat="1" ht="31.5">
      <c r="A19" s="22" t="s">
        <v>35</v>
      </c>
      <c r="B19" s="28">
        <f>ROUND(B20+B23+B21+B22+B24,2)</f>
        <v>712840</v>
      </c>
    </row>
    <row r="20" spans="1:2" s="9" customFormat="1" ht="12">
      <c r="A20" s="17" t="s">
        <v>25</v>
      </c>
      <c r="B20" s="29">
        <f>7000+24140</f>
        <v>31140</v>
      </c>
    </row>
    <row r="21" spans="1:2" s="8" customFormat="1" ht="12">
      <c r="A21" s="17" t="s">
        <v>26</v>
      </c>
      <c r="B21" s="29">
        <f>111000+213900</f>
        <v>324900</v>
      </c>
    </row>
    <row r="22" spans="1:2" s="8" customFormat="1" ht="12">
      <c r="A22" s="17" t="s">
        <v>27</v>
      </c>
      <c r="B22" s="29">
        <f>24000+30000+43320</f>
        <v>97320</v>
      </c>
    </row>
    <row r="23" spans="1:2" s="8" customFormat="1" ht="12">
      <c r="A23" s="17" t="s">
        <v>36</v>
      </c>
      <c r="B23" s="29">
        <f>6000</f>
        <v>6000</v>
      </c>
    </row>
    <row r="24" spans="1:2" s="8" customFormat="1" ht="12">
      <c r="A24" s="17" t="s">
        <v>37</v>
      </c>
      <c r="B24" s="29">
        <f>79000+174480</f>
        <v>253480</v>
      </c>
    </row>
    <row r="25" spans="1:2" s="8" customFormat="1" ht="21">
      <c r="A25" s="22" t="s">
        <v>11</v>
      </c>
      <c r="B25" s="28">
        <f>ROUND(B26+B27+B28+B29+B30+B31+B32+B33+B34,2)</f>
        <v>3010110</v>
      </c>
    </row>
    <row r="26" spans="1:2" s="8" customFormat="1" ht="12">
      <c r="A26" s="17" t="s">
        <v>12</v>
      </c>
      <c r="B26" s="29">
        <f>26000+13000</f>
        <v>39000</v>
      </c>
    </row>
    <row r="27" spans="1:2" s="8" customFormat="1" ht="12">
      <c r="A27" s="17" t="s">
        <v>13</v>
      </c>
      <c r="B27" s="29">
        <f>17000+164000+377000</f>
        <v>558000</v>
      </c>
    </row>
    <row r="28" spans="1:2" s="8" customFormat="1" ht="12">
      <c r="A28" s="17" t="s">
        <v>14</v>
      </c>
      <c r="B28" s="29">
        <f>18000+282000+636000</f>
        <v>936000</v>
      </c>
    </row>
    <row r="29" spans="1:2" s="9" customFormat="1" ht="12">
      <c r="A29" s="17" t="s">
        <v>15</v>
      </c>
      <c r="B29" s="29">
        <f>5000+9780</f>
        <v>14780</v>
      </c>
    </row>
    <row r="30" spans="1:2" s="8" customFormat="1" ht="12">
      <c r="A30" s="17" t="s">
        <v>16</v>
      </c>
      <c r="B30" s="29">
        <f>20000+41060</f>
        <v>61060</v>
      </c>
    </row>
    <row r="31" spans="1:2" s="8" customFormat="1" ht="12">
      <c r="A31" s="17" t="s">
        <v>20</v>
      </c>
      <c r="B31" s="29">
        <f>279000+561000</f>
        <v>840000</v>
      </c>
    </row>
    <row r="32" spans="1:2" s="8" customFormat="1" ht="12">
      <c r="A32" s="18" t="s">
        <v>46</v>
      </c>
      <c r="B32" s="29">
        <f>19160</f>
        <v>19160</v>
      </c>
    </row>
    <row r="33" spans="1:2" s="9" customFormat="1" ht="12">
      <c r="A33" s="17" t="s">
        <v>23</v>
      </c>
      <c r="B33" s="29">
        <f>4000+8590</f>
        <v>12590</v>
      </c>
    </row>
    <row r="34" spans="1:2" s="9" customFormat="1" ht="12">
      <c r="A34" s="17" t="s">
        <v>38</v>
      </c>
      <c r="B34" s="29">
        <f>132380+132380+132380+132380</f>
        <v>529520</v>
      </c>
    </row>
    <row r="35" spans="1:2" s="9" customFormat="1" ht="21">
      <c r="A35" s="22" t="s">
        <v>24</v>
      </c>
      <c r="B35" s="28">
        <f>ROUND(B36+B37+B38,2)</f>
        <v>17878020</v>
      </c>
    </row>
    <row r="36" spans="1:2" s="8" customFormat="1" ht="12">
      <c r="A36" s="13" t="s">
        <v>39</v>
      </c>
      <c r="B36" s="31">
        <f>5660000+12057280</f>
        <v>17717280</v>
      </c>
    </row>
    <row r="37" spans="1:2" s="8" customFormat="1" ht="12">
      <c r="A37" s="13" t="s">
        <v>47</v>
      </c>
      <c r="B37" s="31">
        <f>160740</f>
        <v>160740</v>
      </c>
    </row>
    <row r="38" spans="1:2" s="8" customFormat="1" ht="12">
      <c r="A38" s="13" t="s">
        <v>40</v>
      </c>
      <c r="B38" s="31">
        <v>0</v>
      </c>
    </row>
    <row r="39" spans="1:2" s="8" customFormat="1" ht="21">
      <c r="A39" s="22" t="s">
        <v>17</v>
      </c>
      <c r="B39" s="28">
        <f>113000+226600</f>
        <v>339600</v>
      </c>
    </row>
    <row r="40" spans="1:2" s="8" customFormat="1" ht="12">
      <c r="A40" s="22" t="s">
        <v>48</v>
      </c>
      <c r="B40" s="28">
        <v>6660</v>
      </c>
    </row>
    <row r="41" spans="1:2" s="8" customFormat="1" ht="21">
      <c r="A41" s="22" t="s">
        <v>9</v>
      </c>
      <c r="B41" s="28">
        <f>3000+2240</f>
        <v>5240</v>
      </c>
    </row>
    <row r="42" spans="1:2" s="9" customFormat="1" ht="21">
      <c r="A42" s="21" t="s">
        <v>5</v>
      </c>
      <c r="B42" s="27">
        <f>ROUND(B43+B52,2)</f>
        <v>1646650</v>
      </c>
    </row>
    <row r="43" spans="1:2" ht="12.75">
      <c r="A43" s="22" t="s">
        <v>21</v>
      </c>
      <c r="B43" s="28">
        <f>B44+B48</f>
        <v>1180610</v>
      </c>
    </row>
    <row r="44" spans="1:2" ht="12.75">
      <c r="A44" s="12" t="s">
        <v>22</v>
      </c>
      <c r="B44" s="31">
        <f>ROUND(B45+B46+B47,2)</f>
        <v>847640</v>
      </c>
    </row>
    <row r="45" spans="1:2" ht="12.75">
      <c r="A45" s="10" t="s">
        <v>18</v>
      </c>
      <c r="B45" s="29">
        <f>10000+18620</f>
        <v>28620</v>
      </c>
    </row>
    <row r="46" spans="1:2" ht="12.75">
      <c r="A46" s="18" t="s">
        <v>41</v>
      </c>
      <c r="B46" s="29">
        <f>276000+543020</f>
        <v>819020</v>
      </c>
    </row>
    <row r="47" spans="1:2" ht="12.75">
      <c r="A47" s="18" t="s">
        <v>42</v>
      </c>
      <c r="B47" s="29">
        <f>0</f>
        <v>0</v>
      </c>
    </row>
    <row r="48" spans="1:2" ht="21">
      <c r="A48" s="15" t="s">
        <v>28</v>
      </c>
      <c r="B48" s="30">
        <f>ROUND(B49+B50+B51,2)</f>
        <v>332970</v>
      </c>
    </row>
    <row r="49" spans="1:2" ht="22.5">
      <c r="A49" s="18" t="s">
        <v>29</v>
      </c>
      <c r="B49" s="29">
        <f>6000+6840+19000</f>
        <v>31840</v>
      </c>
    </row>
    <row r="50" spans="1:2" ht="22.5">
      <c r="A50" s="14" t="s">
        <v>30</v>
      </c>
      <c r="B50" s="29">
        <f>12000+42000+30610+60000+130000</f>
        <v>274610</v>
      </c>
    </row>
    <row r="51" spans="1:2" ht="22.5">
      <c r="A51" s="14" t="s">
        <v>43</v>
      </c>
      <c r="B51" s="29">
        <f>6500+5020+15000</f>
        <v>26520</v>
      </c>
    </row>
    <row r="52" spans="1:2" ht="21">
      <c r="A52" s="22" t="s">
        <v>19</v>
      </c>
      <c r="B52" s="28">
        <f>ROUND(B53+B54,2)</f>
        <v>466040</v>
      </c>
    </row>
    <row r="53" spans="1:2" ht="12.75">
      <c r="A53" s="13" t="s">
        <v>6</v>
      </c>
      <c r="B53" s="29">
        <f>157000+289040</f>
        <v>446040</v>
      </c>
    </row>
    <row r="54" spans="1:2" ht="13.5" thickBot="1">
      <c r="A54" s="19" t="s">
        <v>7</v>
      </c>
      <c r="B54" s="32">
        <f>20000</f>
        <v>20000</v>
      </c>
    </row>
    <row r="55" spans="1:2" ht="13.5" thickBot="1">
      <c r="A55" s="23" t="s">
        <v>8</v>
      </c>
      <c r="B55" s="33">
        <f>B7+B42</f>
        <v>34643790</v>
      </c>
    </row>
  </sheetData>
  <sheetProtection/>
  <mergeCells count="1">
    <mergeCell ref="A3:D3"/>
  </mergeCells>
  <printOptions/>
  <pageMargins left="0.75" right="0.75" top="0.19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2022-05-02T07:13:40Z</cp:lastPrinted>
  <dcterms:created xsi:type="dcterms:W3CDTF">2015-04-29T11:26:28Z</dcterms:created>
  <dcterms:modified xsi:type="dcterms:W3CDTF">2023-04-06T13:21:28Z</dcterms:modified>
  <cp:category/>
  <cp:version/>
  <cp:contentType/>
  <cp:contentStatus/>
</cp:coreProperties>
</file>