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<sst xmlns="http://schemas.openxmlformats.org/spreadsheetml/2006/main" count="63" uniqueCount="63">
  <si>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CASA DE ASIGURĂRI DE SĂNĂTATE OLT</t>
  </si>
  <si>
    <t>SITUATIA</t>
  </si>
  <si>
    <t>Nr. crt.</t>
  </si>
  <si>
    <t>Indicatori/perioadă</t>
  </si>
  <si>
    <t>5=2+3+4</t>
  </si>
  <si>
    <t>9=6+7+8</t>
  </si>
  <si>
    <t>10=5+9</t>
  </si>
  <si>
    <t>14=11+12+13</t>
  </si>
  <si>
    <t>15=10+14</t>
  </si>
  <si>
    <t>19=16+17+18</t>
  </si>
  <si>
    <t>20=5+9+14+ 19</t>
  </si>
  <si>
    <t>22=20-21</t>
  </si>
  <si>
    <t xml:space="preserve">Limite trimestriale credite aprobate - activitate curentă </t>
  </si>
  <si>
    <t>Limite trimestriale credite aprobate - 40%MS</t>
  </si>
  <si>
    <t>Limite trimestriale credite aprobate - DCI COST VOLUM</t>
  </si>
  <si>
    <t>Limite trimestriale credite aprobate - 50% COST VOLUM</t>
  </si>
  <si>
    <t>Limite trimestriale credite aprobate - 40% COST VOLUM</t>
  </si>
  <si>
    <t>TOTAL limite trimestriale credite aprobate - COST VOLUM</t>
  </si>
  <si>
    <t>DIFERENTE CONSUM RAPORTAT- CONSUM VALIDAT</t>
  </si>
  <si>
    <t>12=6+8+10</t>
  </si>
  <si>
    <t>13=7+9+11</t>
  </si>
  <si>
    <t>14=3+5+13</t>
  </si>
  <si>
    <t>16=15-14</t>
  </si>
  <si>
    <t>25=(21+ 23)/ nr. luni</t>
  </si>
  <si>
    <t>CREDITE ANGAJAMENT REALIZATE AN 2022 - ACTIVITATE CURENTA</t>
  </si>
  <si>
    <t>CREDITE ANGAJAMENT REALIZATE AN 2022 - 40% MS</t>
  </si>
  <si>
    <t>CREDITE ANGAJAMENT REALIZATE AN 2022- COST VOLUM (FARA PENS90%)</t>
  </si>
  <si>
    <t>CREDITE ANGAJAMENT REALIZATE AN 2022- COST VOLUM 50% PENS</t>
  </si>
  <si>
    <t>CREDITE ANGAJAMENT REALIZATE AN 2022 - COST VOLUM 40% PENS</t>
  </si>
  <si>
    <t>TOTAL CREDITE ANGAJAMENT REALIZATE AN 2022 - COST VOLUM</t>
  </si>
  <si>
    <t>TOTAL CONSUM VALIDAT AN 2022</t>
  </si>
  <si>
    <t>TOTAL CONSUM RAPORTAT AN 2022</t>
  </si>
  <si>
    <t>Credite angajament aprobate an 2022, din care:</t>
  </si>
  <si>
    <t>ianuarie 2022- consum realizat</t>
  </si>
  <si>
    <t>4bis</t>
  </si>
  <si>
    <t>Credite neconsumate AN 2022</t>
  </si>
  <si>
    <t xml:space="preserve">Consum mediu lunar înregistrat AN 2021 </t>
  </si>
  <si>
    <t>Consum mediu lunar înregistrat AN 2022</t>
  </si>
  <si>
    <t>februarie 2022- consum realizat</t>
  </si>
  <si>
    <t>martie 2022- consum validat in limita CA trim. I 2022</t>
  </si>
  <si>
    <t>martie 2022- art. 193(3) HG696/2021-decemb.2021 (realizat, economii =6,53 lei mutate la activ curenta)</t>
  </si>
  <si>
    <t>Trim. I 2022- consum validat in limita CA trim. I 2022</t>
  </si>
  <si>
    <t>Consum 2022 inregistrat in limita credite angajament AN 2022 (inclusiv art. 193)</t>
  </si>
  <si>
    <t>aprilie 2022- consum realizat + diferențe martie validate (CG=989.560,01; CV=65.165,55; 50%CV=433,42; 40%CV=335,18)</t>
  </si>
  <si>
    <t>mai 2022 - consum realizat</t>
  </si>
  <si>
    <t>iunie 2022- consum validat in limita CA sem. I 2022</t>
  </si>
  <si>
    <t>Trim. II 2022 - consum validat in limita CA sem. I 2022</t>
  </si>
  <si>
    <t>Total sem. I 2022- consum validat in limita CA sem. I 2022</t>
  </si>
  <si>
    <t>iulie 2022- consum validat in limita CA 9 luni 2022</t>
  </si>
  <si>
    <t>august 2022- consum realizat+ dif iulie (CV=63866,03, 50CV=36542,38, 40CV=16810,62)</t>
  </si>
  <si>
    <t>Total trim. III 2022- consum validat in limita CA 9 luni 2022</t>
  </si>
  <si>
    <t>Total 9 luni 2022- consum validat in limita CA 9 luni 2022</t>
  </si>
  <si>
    <t>CREDITELOR DE ANGAJAMENT PENTRU ELIBERARE MEDICAMENTE CU ŞI FĂRĂ CONTRIBUŢIE PERSONALĂ REALIZATE IN ANUL 2022, CA URMARE A VALIDĂRII PARTIALE A CONSUMULUI RAPORTAT PENTRU LUNA DECEMBRIE 2022, IN LIMITA CREDITELOR DE ANGAJAMENT APROBATE PENTRU ANUL 2022, CONFORM FILEI DE BUGET CNAS NR. P10035/28.12.2022</t>
  </si>
  <si>
    <t>septembrie 2022 - consum validat in limita CA 9 luni 2022</t>
  </si>
  <si>
    <t>octombrie 2022 - consum validat partial + diferențe sept. validate (CG-281961,31; CV-2554,55)</t>
  </si>
  <si>
    <t>noiembrie 2022- consum realizat + diferențe oct. 40%CV (38029,77)</t>
  </si>
  <si>
    <t>decembrie 2022 - consum validat partial</t>
  </si>
  <si>
    <t>Total trim. IV 2022 - consum validat in limita CA an 2022</t>
  </si>
  <si>
    <t>TOTAL AN 2022- consum validat in limita CA an 2022</t>
  </si>
  <si>
    <t>21=10+11+12+ 13+16+ 17+18</t>
  </si>
  <si>
    <t>Depășire la data de 31.12.2022 (consum nevalidat )</t>
  </si>
  <si>
    <t>GRAD REALIZARE CREDITE ANGAJAMENT MEDICAMENTE CU/FARA CONTRIBUTIE (CURENT + 40%MS, FARA COST VOLUM) (%)</t>
  </si>
  <si>
    <t>GRAD REALIZARE CREDITE ANGAJAMENT COST VOLUM - TOATE CELE 3 COMPONENTE (%)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</si>
</sst>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/>
    </xf>
    <xf numFmtId="4" fontId="1" fillId="33" borderId="14" xfId="0" applyNumberFormat="1" applyFont="1" applyFill="1" applyBorder="1" applyAlignment="1">
      <alignment horizontal="right" vertical="top"/>
    </xf>
    <xf numFmtId="4" fontId="1" fillId="33" borderId="14" xfId="0" applyNumberFormat="1" applyFont="1" applyFill="1" applyBorder="1" applyAlignment="1">
      <alignment vertical="top"/>
    </xf>
    <xf numFmtId="4" fontId="1" fillId="33" borderId="15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left" vertical="top"/>
    </xf>
    <xf numFmtId="4" fontId="2" fillId="0" borderId="14" xfId="0" applyNumberFormat="1" applyFont="1" applyFill="1" applyBorder="1" applyAlignment="1">
      <alignment horizontal="right" vertical="top"/>
    </xf>
    <xf numFmtId="4" fontId="2" fillId="0" borderId="14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4" fontId="1" fillId="33" borderId="15" xfId="0" applyNumberFormat="1" applyFont="1" applyFill="1" applyBorder="1" applyAlignment="1">
      <alignment horizontal="right" vertical="top"/>
    </xf>
    <xf numFmtId="49" fontId="3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4" fontId="1" fillId="0" borderId="14" xfId="0" applyNumberFormat="1" applyFont="1" applyFill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1" fillId="33" borderId="14" xfId="0" applyNumberFormat="1" applyFont="1" applyFill="1" applyBorder="1" applyAlignment="1">
      <alignment vertical="top" wrapText="1"/>
    </xf>
    <xf numFmtId="4" fontId="8" fillId="0" borderId="14" xfId="0" applyNumberFormat="1" applyFont="1" applyBorder="1" applyAlignment="1">
      <alignment vertical="top"/>
    </xf>
    <xf numFmtId="0" fontId="9" fillId="34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" fontId="1" fillId="34" borderId="14" xfId="0" applyNumberFormat="1" applyFont="1" applyFill="1" applyBorder="1" applyAlignment="1">
      <alignment vertical="top"/>
    </xf>
    <xf numFmtId="0" fontId="2" fillId="0" borderId="15" xfId="0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vertical="top"/>
    </xf>
    <xf numFmtId="4" fontId="1" fillId="33" borderId="16" xfId="0" applyNumberFormat="1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/>
    </xf>
    <xf numFmtId="4" fontId="10" fillId="33" borderId="14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4" fillId="0" borderId="1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2" fillId="0" borderId="14" xfId="0" applyNumberFormat="1" applyFont="1" applyBorder="1" applyAlignment="1">
      <alignment horizontal="left" vertical="top" wrapText="1"/>
    </xf>
    <xf numFmtId="4" fontId="46" fillId="35" borderId="14" xfId="0" applyNumberFormat="1" applyFont="1" applyFill="1" applyBorder="1" applyAlignment="1">
      <alignment horizontal="right" vertical="top"/>
    </xf>
    <xf numFmtId="4" fontId="46" fillId="35" borderId="14" xfId="0" applyNumberFormat="1" applyFont="1" applyFill="1" applyBorder="1" applyAlignment="1">
      <alignment vertical="top"/>
    </xf>
    <xf numFmtId="4" fontId="2" fillId="36" borderId="14" xfId="0" applyNumberFormat="1" applyFont="1" applyFill="1" applyBorder="1" applyAlignment="1">
      <alignment horizontal="right" vertical="top"/>
    </xf>
    <xf numFmtId="4" fontId="2" fillId="36" borderId="14" xfId="0" applyNumberFormat="1" applyFont="1" applyFill="1" applyBorder="1" applyAlignment="1">
      <alignment vertical="top"/>
    </xf>
    <xf numFmtId="4" fontId="46" fillId="36" borderId="14" xfId="0" applyNumberFormat="1" applyFont="1" applyFill="1" applyBorder="1" applyAlignment="1">
      <alignment horizontal="right" vertical="top"/>
    </xf>
    <xf numFmtId="4" fontId="2" fillId="36" borderId="14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top" wrapText="1"/>
    </xf>
    <xf numFmtId="4" fontId="47" fillId="36" borderId="14" xfId="0" applyNumberFormat="1" applyFont="1" applyFill="1" applyBorder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1" fillId="0" borderId="15" xfId="0" applyFont="1" applyBorder="1" applyAlignment="1">
      <alignment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" fontId="46" fillId="36" borderId="14" xfId="0" applyNumberFormat="1" applyFont="1" applyFill="1" applyBorder="1" applyAlignment="1">
      <alignment vertical="top"/>
    </xf>
    <xf numFmtId="4" fontId="46" fillId="0" borderId="14" xfId="0" applyNumberFormat="1" applyFont="1" applyFill="1" applyBorder="1" applyAlignment="1">
      <alignment vertical="top"/>
    </xf>
    <xf numFmtId="4" fontId="46" fillId="36" borderId="14" xfId="0" applyNumberFormat="1" applyFont="1" applyFill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4" fontId="46" fillId="33" borderId="15" xfId="0" applyNumberFormat="1" applyFont="1" applyFill="1" applyBorder="1" applyAlignment="1">
      <alignment vertical="top"/>
    </xf>
    <xf numFmtId="4" fontId="46" fillId="0" borderId="15" xfId="0" applyNumberFormat="1" applyFont="1" applyBorder="1" applyAlignment="1">
      <alignment vertical="top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" fontId="2" fillId="0" borderId="16" xfId="0" applyNumberFormat="1" applyFont="1" applyBorder="1" applyAlignment="1">
      <alignment vertical="top"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4" fontId="1" fillId="0" borderId="17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H42" sqref="H42"/>
    </sheetView>
  </sheetViews>
  <sheetFormatPr defaultColWidth="9.140625" defaultRowHeight="12.75"/>
  <cols>
    <col min="1" max="1" width="13.00390625" style="2" customWidth="1"/>
    <col min="2" max="2" width="44.00390625" style="2" customWidth="1"/>
    <col min="3" max="3" width="14.140625" style="2" customWidth="1"/>
    <col min="4" max="4" width="13.8515625" style="2" customWidth="1"/>
    <col min="5" max="5" width="11.140625" style="2" customWidth="1"/>
    <col min="6" max="6" width="13.140625" style="2" customWidth="1"/>
    <col min="7" max="7" width="11.421875" style="2" customWidth="1"/>
    <col min="8" max="8" width="13.8515625" style="2" customWidth="1"/>
    <col min="9" max="9" width="11.28125" style="2" customWidth="1"/>
    <col min="10" max="10" width="13.8515625" style="2" customWidth="1"/>
    <col min="11" max="11" width="10.57421875" style="2" customWidth="1"/>
    <col min="12" max="12" width="13.8515625" style="2" customWidth="1"/>
    <col min="13" max="14" width="12.7109375" style="2" customWidth="1"/>
    <col min="15" max="15" width="13.140625" style="2" customWidth="1"/>
    <col min="16" max="16" width="13.57421875" style="2" customWidth="1"/>
    <col min="17" max="17" width="13.28125" style="2" customWidth="1"/>
    <col min="18" max="16384" width="9.140625" style="2" customWidth="1"/>
  </cols>
  <sheetData>
    <row r="1" spans="1:17" ht="12.75">
      <c r="A1" s="1" t="s">
        <v>0</v>
      </c>
      <c r="F1" s="3"/>
      <c r="Q1" s="3"/>
    </row>
    <row r="2" spans="1:17" ht="12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4" customFormat="1" ht="42.75" customHeight="1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ht="13.5" thickBot="1"/>
    <row r="5" spans="1:17" ht="86.25" customHeight="1">
      <c r="A5" s="5" t="s">
        <v>2</v>
      </c>
      <c r="B5" s="6" t="s">
        <v>3</v>
      </c>
      <c r="C5" s="6" t="s">
        <v>12</v>
      </c>
      <c r="D5" s="40" t="s">
        <v>24</v>
      </c>
      <c r="E5" s="6" t="s">
        <v>13</v>
      </c>
      <c r="F5" s="40" t="s">
        <v>25</v>
      </c>
      <c r="G5" s="6" t="s">
        <v>14</v>
      </c>
      <c r="H5" s="40" t="s">
        <v>26</v>
      </c>
      <c r="I5" s="6" t="s">
        <v>15</v>
      </c>
      <c r="J5" s="40" t="s">
        <v>27</v>
      </c>
      <c r="K5" s="6" t="s">
        <v>16</v>
      </c>
      <c r="L5" s="40" t="s">
        <v>28</v>
      </c>
      <c r="M5" s="6" t="s">
        <v>17</v>
      </c>
      <c r="N5" s="40" t="s">
        <v>29</v>
      </c>
      <c r="O5" s="41" t="s">
        <v>30</v>
      </c>
      <c r="P5" s="6" t="s">
        <v>31</v>
      </c>
      <c r="Q5" s="7" t="s">
        <v>18</v>
      </c>
    </row>
    <row r="6" spans="1:17" ht="12.75">
      <c r="A6" s="8">
        <v>0</v>
      </c>
      <c r="B6" s="9">
        <v>1</v>
      </c>
      <c r="C6" s="9">
        <v>2</v>
      </c>
      <c r="D6" s="42">
        <v>3</v>
      </c>
      <c r="E6" s="9">
        <v>4</v>
      </c>
      <c r="F6" s="43">
        <v>5</v>
      </c>
      <c r="G6" s="9">
        <v>6</v>
      </c>
      <c r="H6" s="43">
        <v>7</v>
      </c>
      <c r="I6" s="10">
        <v>8</v>
      </c>
      <c r="J6" s="43">
        <v>9</v>
      </c>
      <c r="K6" s="9">
        <v>10</v>
      </c>
      <c r="L6" s="43">
        <v>11</v>
      </c>
      <c r="M6" s="10" t="s">
        <v>19</v>
      </c>
      <c r="N6" s="43" t="s">
        <v>20</v>
      </c>
      <c r="O6" s="44" t="s">
        <v>21</v>
      </c>
      <c r="P6" s="45">
        <v>15</v>
      </c>
      <c r="Q6" s="37" t="s">
        <v>22</v>
      </c>
    </row>
    <row r="7" spans="1:17" ht="12.75">
      <c r="A7" s="11">
        <v>1</v>
      </c>
      <c r="B7" s="12" t="s">
        <v>32</v>
      </c>
      <c r="C7" s="13">
        <f>ROUND(C12+C16+C21+C26,2)</f>
        <v>95914000</v>
      </c>
      <c r="D7" s="46">
        <f>D8+D9+D10+D13+D14+D15+D18+D19+D20+D23+D24+D25+142727.94</f>
        <v>95914000</v>
      </c>
      <c r="E7" s="13">
        <f>ROUND(E12+E16+E21+E26,2)</f>
        <v>2325000</v>
      </c>
      <c r="F7" s="46">
        <f>F8+F9+F10+F13+F14+F15+F18+F19+F20+F23+F24+F25</f>
        <v>2325000</v>
      </c>
      <c r="G7" s="13">
        <f>ROUND(G12+G16+G21+G26,2)</f>
        <v>8759330</v>
      </c>
      <c r="H7" s="46">
        <f>H8+H9+H10+H11+H13+H14+H15+H18+H19+H20+H23+H24+H25</f>
        <v>8759330</v>
      </c>
      <c r="I7" s="13">
        <f>ROUND(I12+I16+I21+I26,2)</f>
        <v>579310</v>
      </c>
      <c r="J7" s="46">
        <f>J8+J9+J10+J13+J14+J15+J18+J19+J20+J23+J24+J25</f>
        <v>579310</v>
      </c>
      <c r="K7" s="13">
        <f>ROUND(K12+K16+K21+K26,2)</f>
        <v>463420</v>
      </c>
      <c r="L7" s="46">
        <f>L8+L9+L10+L13+L14+L15+L18+L19+L20+L23+L24+L25</f>
        <v>463420</v>
      </c>
      <c r="M7" s="14">
        <f>ROUND(G7+I7+K7,2)</f>
        <v>9802060</v>
      </c>
      <c r="N7" s="46">
        <f>N8+N9+N10+N11+N13+N14+N15+N18+N19+N20+N23+N24+N25</f>
        <v>9802060</v>
      </c>
      <c r="O7" s="14">
        <f>ROUND(O12+O16+O21+O26,2)</f>
        <v>107898332.06</v>
      </c>
      <c r="P7" s="14">
        <f>ROUND(P12+P16+P21+P26,2)</f>
        <v>108010043.41</v>
      </c>
      <c r="Q7" s="15">
        <f>Q26</f>
        <v>-144074.82</v>
      </c>
    </row>
    <row r="8" spans="1:17" ht="12.75">
      <c r="A8" s="16">
        <v>2</v>
      </c>
      <c r="B8" s="61" t="s">
        <v>33</v>
      </c>
      <c r="C8" s="18"/>
      <c r="D8" s="19">
        <f>7643000+170507.24</f>
        <v>7813507.24</v>
      </c>
      <c r="E8" s="19"/>
      <c r="F8" s="20">
        <f>202000+733.93</f>
        <v>202733.93</v>
      </c>
      <c r="G8" s="19"/>
      <c r="H8" s="20">
        <f>305000+177655.01</f>
        <v>482655.01</v>
      </c>
      <c r="I8" s="20"/>
      <c r="J8" s="20">
        <f>21000+8141.75</f>
        <v>29141.75</v>
      </c>
      <c r="K8" s="19"/>
      <c r="L8" s="20">
        <f>17000+6308.95</f>
        <v>23308.95</v>
      </c>
      <c r="M8" s="20"/>
      <c r="N8" s="14">
        <f>ROUND(H8+J8+L8,2)</f>
        <v>535105.71</v>
      </c>
      <c r="O8" s="14">
        <f>ROUND(D8+F8+N8,2)</f>
        <v>8551346.88</v>
      </c>
      <c r="P8" s="49">
        <v>8551346.88</v>
      </c>
      <c r="Q8" s="21">
        <f>ROUND(O8-P8,2)</f>
        <v>0</v>
      </c>
    </row>
    <row r="9" spans="1:17" ht="12.75">
      <c r="A9" s="16">
        <v>3</v>
      </c>
      <c r="B9" s="17" t="s">
        <v>38</v>
      </c>
      <c r="C9" s="18"/>
      <c r="D9" s="19">
        <f>7643000-170507.24-35198.88</f>
        <v>7437293.88</v>
      </c>
      <c r="E9" s="19"/>
      <c r="F9" s="20">
        <f>202000-733.93-27045.13</f>
        <v>174220.94</v>
      </c>
      <c r="G9" s="19"/>
      <c r="H9" s="20">
        <f>510000-177655.01+192655.01-131.82</f>
        <v>524868.18</v>
      </c>
      <c r="I9" s="20"/>
      <c r="J9" s="20">
        <f>43000-8141.75-2745.65</f>
        <v>32112.6</v>
      </c>
      <c r="K9" s="19"/>
      <c r="L9" s="20">
        <f>34000-6308.95-2005.56</f>
        <v>25685.489999999998</v>
      </c>
      <c r="M9" s="20"/>
      <c r="N9" s="14">
        <f>ROUND(H9+J9+L9,2)</f>
        <v>582666.27</v>
      </c>
      <c r="O9" s="14">
        <f aca="true" t="shared" si="0" ref="O9:O15">ROUND(D9+F9+N9,2)</f>
        <v>8194181.09</v>
      </c>
      <c r="P9" s="49">
        <v>8194181.09</v>
      </c>
      <c r="Q9" s="21">
        <f>ROUND(O9-P9,2)</f>
        <v>0</v>
      </c>
    </row>
    <row r="10" spans="1:17" ht="12.75">
      <c r="A10" s="8">
        <v>4</v>
      </c>
      <c r="B10" s="17" t="s">
        <v>39</v>
      </c>
      <c r="C10" s="18"/>
      <c r="D10" s="62">
        <f>7500000+35198.88</f>
        <v>7535198.88</v>
      </c>
      <c r="E10" s="19"/>
      <c r="F10" s="20">
        <f>205000+27045.13+245000-267022.4</f>
        <v>210022.72999999998</v>
      </c>
      <c r="G10" s="19"/>
      <c r="H10" s="63">
        <f>529630+20374.99+131.82+6.53</f>
        <v>550143.34</v>
      </c>
      <c r="I10" s="29"/>
      <c r="J10" s="63">
        <f>20000+15140+2745.65</f>
        <v>37885.65</v>
      </c>
      <c r="K10" s="19"/>
      <c r="L10" s="63">
        <f>17000+11310+2005.56</f>
        <v>30315.56</v>
      </c>
      <c r="M10" s="29"/>
      <c r="N10" s="14">
        <f>ROUND(H10+J10+L10,2)</f>
        <v>618344.55</v>
      </c>
      <c r="O10" s="14">
        <f t="shared" si="0"/>
        <v>8363566.16</v>
      </c>
      <c r="P10" s="49">
        <v>9419060.32</v>
      </c>
      <c r="Q10" s="48">
        <f>ROUND(O10-P10,2)</f>
        <v>-1055494.16</v>
      </c>
    </row>
    <row r="11" spans="1:17" ht="25.5">
      <c r="A11" s="8" t="s">
        <v>34</v>
      </c>
      <c r="B11" s="61" t="s">
        <v>40</v>
      </c>
      <c r="C11" s="18"/>
      <c r="D11" s="19">
        <v>0</v>
      </c>
      <c r="E11" s="19"/>
      <c r="F11" s="20">
        <v>0</v>
      </c>
      <c r="G11" s="19"/>
      <c r="H11" s="29">
        <f>32370-6.53</f>
        <v>32363.47</v>
      </c>
      <c r="I11" s="29"/>
      <c r="J11" s="29">
        <v>0</v>
      </c>
      <c r="K11" s="19"/>
      <c r="L11" s="29">
        <v>0</v>
      </c>
      <c r="M11" s="29"/>
      <c r="N11" s="14">
        <f>ROUND(H11+J11+L11,2)</f>
        <v>32363.47</v>
      </c>
      <c r="O11" s="14">
        <f>ROUND(D11+F11+N11,2)</f>
        <v>32363.47</v>
      </c>
      <c r="P11" s="49"/>
      <c r="Q11" s="48"/>
    </row>
    <row r="12" spans="1:17" s="1" customFormat="1" ht="25.5">
      <c r="A12" s="22" t="s">
        <v>4</v>
      </c>
      <c r="B12" s="38" t="s">
        <v>41</v>
      </c>
      <c r="C12" s="14">
        <f>22786000</f>
        <v>22786000</v>
      </c>
      <c r="D12" s="13">
        <f>SUM(D8:D11)</f>
        <v>22786000</v>
      </c>
      <c r="E12" s="13">
        <f>609000+245000</f>
        <v>854000</v>
      </c>
      <c r="F12" s="13">
        <f>SUM(F8:F11)</f>
        <v>586977.6</v>
      </c>
      <c r="G12" s="13">
        <f>1377000+213030</f>
        <v>1590030</v>
      </c>
      <c r="H12" s="13">
        <f>SUM(H8:H11)</f>
        <v>1590030</v>
      </c>
      <c r="I12" s="13">
        <f>84000+15140</f>
        <v>99140</v>
      </c>
      <c r="J12" s="13">
        <f>SUM(J8:J11)</f>
        <v>99140</v>
      </c>
      <c r="K12" s="13">
        <f>68000+11310</f>
        <v>79310</v>
      </c>
      <c r="L12" s="13">
        <f>SUM(L8:L11)</f>
        <v>79310</v>
      </c>
      <c r="M12" s="14">
        <f>ROUND(G12+I12+K12,2)</f>
        <v>1768480</v>
      </c>
      <c r="N12" s="13">
        <f>SUM(N8:N11)</f>
        <v>1768480</v>
      </c>
      <c r="O12" s="13">
        <f>SUM(O8:O11)</f>
        <v>25141457.6</v>
      </c>
      <c r="P12" s="13">
        <f>SUM(P8:P10)</f>
        <v>26164588.29</v>
      </c>
      <c r="Q12" s="23">
        <f>SUM(Q8:Q10)</f>
        <v>-1055494.16</v>
      </c>
    </row>
    <row r="13" spans="1:17" ht="36">
      <c r="A13" s="16">
        <v>6</v>
      </c>
      <c r="B13" s="24" t="s">
        <v>43</v>
      </c>
      <c r="C13" s="18"/>
      <c r="D13" s="19">
        <f>7750000+633644.86</f>
        <v>8383644.86</v>
      </c>
      <c r="E13" s="19"/>
      <c r="F13" s="20">
        <f>203000+267022.4-286746.48</f>
        <v>183275.92000000004</v>
      </c>
      <c r="G13" s="19"/>
      <c r="H13" s="20">
        <f>550000+141699.22</f>
        <v>691699.22</v>
      </c>
      <c r="I13" s="20"/>
      <c r="J13" s="20">
        <f>31000+10108.61</f>
        <v>41108.61</v>
      </c>
      <c r="K13" s="19"/>
      <c r="L13" s="20">
        <f>24000+8870.85</f>
        <v>32870.85</v>
      </c>
      <c r="M13" s="20"/>
      <c r="N13" s="14">
        <f>ROUND(H13+J13+L13,2)</f>
        <v>765678.68</v>
      </c>
      <c r="O13" s="14">
        <f t="shared" si="0"/>
        <v>9332599.46</v>
      </c>
      <c r="P13" s="49">
        <v>8277105.3</v>
      </c>
      <c r="Q13" s="48">
        <f>ROUND(O13-P13,2)</f>
        <v>1055494.16</v>
      </c>
    </row>
    <row r="14" spans="1:17" ht="12.75">
      <c r="A14" s="16">
        <v>7</v>
      </c>
      <c r="B14" s="17" t="s">
        <v>44</v>
      </c>
      <c r="C14" s="18"/>
      <c r="D14" s="19">
        <f>6021000-633644.86+2006730+718052.77</f>
        <v>8112137.91</v>
      </c>
      <c r="E14" s="19"/>
      <c r="F14" s="20">
        <f>140000+286746.48-229128.01</f>
        <v>197618.46999999997</v>
      </c>
      <c r="G14" s="19"/>
      <c r="H14" s="20">
        <f>550000-141699.22+298278.68</f>
        <v>706579.46</v>
      </c>
      <c r="I14" s="20"/>
      <c r="J14" s="20">
        <f>38000-10108.61+19207</f>
        <v>47098.39</v>
      </c>
      <c r="K14" s="19"/>
      <c r="L14" s="20">
        <f>31000-8870.85+15548.38</f>
        <v>37677.53</v>
      </c>
      <c r="M14" s="20"/>
      <c r="N14" s="14">
        <f>ROUND(H14+J14+L14,2)</f>
        <v>791355.38</v>
      </c>
      <c r="O14" s="14">
        <f t="shared" si="0"/>
        <v>9101111.76</v>
      </c>
      <c r="P14" s="49">
        <v>9101111.76</v>
      </c>
      <c r="Q14" s="48">
        <f>ROUND(O14-P14,2)</f>
        <v>0</v>
      </c>
    </row>
    <row r="15" spans="1:17" s="4" customFormat="1" ht="12.75">
      <c r="A15" s="16">
        <v>8</v>
      </c>
      <c r="B15" s="25" t="s">
        <v>45</v>
      </c>
      <c r="C15" s="26"/>
      <c r="D15" s="64">
        <f>7722270+483730-718052.77+522370-381142.17</f>
        <v>7629175.0600000005</v>
      </c>
      <c r="E15" s="64"/>
      <c r="F15" s="65">
        <f>261000+229128.01-12450-288135.07</f>
        <v>189542.94</v>
      </c>
      <c r="G15" s="64"/>
      <c r="H15" s="63">
        <f>550000-298278.68+456710</f>
        <v>708431.3200000001</v>
      </c>
      <c r="I15" s="65"/>
      <c r="J15" s="65">
        <f>23530-19207+45580-1981.01</f>
        <v>47921.99</v>
      </c>
      <c r="K15" s="64"/>
      <c r="L15" s="65">
        <f>17320-15548.38+38550-1988.84</f>
        <v>38332.780000000006</v>
      </c>
      <c r="M15" s="29"/>
      <c r="N15" s="14">
        <f>ROUND(H15+J15+L15,2)</f>
        <v>794686.09</v>
      </c>
      <c r="O15" s="14">
        <f t="shared" si="0"/>
        <v>8613404.09</v>
      </c>
      <c r="P15" s="49">
        <v>8627704.86</v>
      </c>
      <c r="Q15" s="48">
        <f>ROUND(O15-P15,2)</f>
        <v>-14300.77</v>
      </c>
    </row>
    <row r="16" spans="1:17" ht="25.5">
      <c r="A16" s="27" t="s">
        <v>5</v>
      </c>
      <c r="B16" s="28" t="s">
        <v>46</v>
      </c>
      <c r="C16" s="14">
        <f>13771000+2006730+8206000+522370</f>
        <v>24506100</v>
      </c>
      <c r="D16" s="13">
        <f>SUM(D13:D15)</f>
        <v>24124957.83</v>
      </c>
      <c r="E16" s="13">
        <f>604000-12450</f>
        <v>591550</v>
      </c>
      <c r="F16" s="13">
        <f>SUM(F13:F15)</f>
        <v>570437.3300000001</v>
      </c>
      <c r="G16" s="13">
        <f>1650000+456710</f>
        <v>2106710</v>
      </c>
      <c r="H16" s="13">
        <f>SUM(H13:H15)</f>
        <v>2106710</v>
      </c>
      <c r="I16" s="13">
        <f>92530+45580</f>
        <v>138110</v>
      </c>
      <c r="J16" s="13">
        <f>SUM(J13:J15)</f>
        <v>136128.99</v>
      </c>
      <c r="K16" s="13">
        <f>72320+38550</f>
        <v>110870</v>
      </c>
      <c r="L16" s="13">
        <f>SUM(L13:L15)</f>
        <v>108881.16</v>
      </c>
      <c r="M16" s="14">
        <f>ROUND(G16+I16+K16,2)</f>
        <v>2355690</v>
      </c>
      <c r="N16" s="13">
        <f>SUM(N13:N15)</f>
        <v>2351720.15</v>
      </c>
      <c r="O16" s="13">
        <f>SUM(O13:O15)</f>
        <v>27047115.31</v>
      </c>
      <c r="P16" s="13">
        <f>SUM(P13:P15)</f>
        <v>26005921.919999998</v>
      </c>
      <c r="Q16" s="23">
        <f>SUM(Q13:Q15)</f>
        <v>1041193.3899999999</v>
      </c>
    </row>
    <row r="17" spans="1:17" s="1" customFormat="1" ht="25.5">
      <c r="A17" s="22" t="s">
        <v>6</v>
      </c>
      <c r="B17" s="28" t="s">
        <v>47</v>
      </c>
      <c r="C17" s="14">
        <f aca="true" t="shared" si="1" ref="C17:P17">C12+C16</f>
        <v>47292100</v>
      </c>
      <c r="D17" s="13">
        <f t="shared" si="1"/>
        <v>46910957.83</v>
      </c>
      <c r="E17" s="14">
        <f>E12+E16</f>
        <v>1445550</v>
      </c>
      <c r="F17" s="13">
        <f t="shared" si="1"/>
        <v>1157414.9300000002</v>
      </c>
      <c r="G17" s="14">
        <f t="shared" si="1"/>
        <v>3696740</v>
      </c>
      <c r="H17" s="13">
        <f t="shared" si="1"/>
        <v>3696740</v>
      </c>
      <c r="I17" s="14">
        <f t="shared" si="1"/>
        <v>237250</v>
      </c>
      <c r="J17" s="13">
        <f t="shared" si="1"/>
        <v>235268.99</v>
      </c>
      <c r="K17" s="14">
        <f t="shared" si="1"/>
        <v>190180</v>
      </c>
      <c r="L17" s="13">
        <f t="shared" si="1"/>
        <v>188191.16</v>
      </c>
      <c r="M17" s="13">
        <f t="shared" si="1"/>
        <v>4124170</v>
      </c>
      <c r="N17" s="13">
        <f t="shared" si="1"/>
        <v>4120200.15</v>
      </c>
      <c r="O17" s="13">
        <f>ROUND(O12+O16,2)</f>
        <v>52188572.91</v>
      </c>
      <c r="P17" s="13">
        <f t="shared" si="1"/>
        <v>52170510.20999999</v>
      </c>
      <c r="Q17" s="23">
        <f>ROUND(Q12+Q16,2)</f>
        <v>-14300.77</v>
      </c>
    </row>
    <row r="18" spans="1:17" ht="12.75">
      <c r="A18" s="16">
        <v>11</v>
      </c>
      <c r="B18" s="25" t="s">
        <v>48</v>
      </c>
      <c r="C18" s="18"/>
      <c r="D18" s="64">
        <f>7750000+381142.17-234357.88</f>
        <v>7896784.29</v>
      </c>
      <c r="E18" s="64"/>
      <c r="F18" s="65">
        <f>203000+288135.07-296000-963.46</f>
        <v>194171.61000000002</v>
      </c>
      <c r="G18" s="64"/>
      <c r="H18" s="62">
        <f>575500+118790</f>
        <v>694290</v>
      </c>
      <c r="I18" s="65"/>
      <c r="J18" s="62">
        <f>44000-30110+1981.01</f>
        <v>15871.01</v>
      </c>
      <c r="K18" s="64"/>
      <c r="L18" s="62">
        <f>35000-11870+1988.84</f>
        <v>25118.84</v>
      </c>
      <c r="M18" s="66"/>
      <c r="N18" s="14">
        <f>ROUND(H18+J18+L18,2)</f>
        <v>735279.85</v>
      </c>
      <c r="O18" s="14">
        <f>ROUND(D18+F18+N18,2)</f>
        <v>8826235.75</v>
      </c>
      <c r="P18" s="49">
        <v>8929154.01</v>
      </c>
      <c r="Q18" s="48">
        <f>ROUND(O18-P18,2)</f>
        <v>-102918.26</v>
      </c>
    </row>
    <row r="19" spans="1:17" ht="25.5">
      <c r="A19" s="16">
        <v>12</v>
      </c>
      <c r="B19" s="25" t="s">
        <v>49</v>
      </c>
      <c r="C19" s="18"/>
      <c r="D19" s="64">
        <f>7750000+234357.88-234365.58</f>
        <v>7749992.3</v>
      </c>
      <c r="E19" s="65"/>
      <c r="F19" s="65">
        <f>203000+963.46-10200.29</f>
        <v>193763.16999999998</v>
      </c>
      <c r="G19" s="65"/>
      <c r="H19" s="67">
        <f>63866.03+796877.72</f>
        <v>860743.75</v>
      </c>
      <c r="I19" s="67"/>
      <c r="J19" s="67">
        <f>36542.38+56197.98</f>
        <v>92740.36</v>
      </c>
      <c r="K19" s="67"/>
      <c r="L19" s="67">
        <v>61769.6</v>
      </c>
      <c r="M19" s="20"/>
      <c r="N19" s="14">
        <f>ROUND(H19+J19+L19,2)</f>
        <v>1015253.71</v>
      </c>
      <c r="O19" s="14">
        <f>ROUND(D19+F19+N19,2)</f>
        <v>8959009.18</v>
      </c>
      <c r="P19" s="49">
        <v>8841790.15</v>
      </c>
      <c r="Q19" s="48">
        <f>ROUND(O19-P19,2)</f>
        <v>117219.03</v>
      </c>
    </row>
    <row r="20" spans="1:17" ht="25.5">
      <c r="A20" s="16">
        <v>13</v>
      </c>
      <c r="B20" s="68" t="s">
        <v>53</v>
      </c>
      <c r="C20" s="20"/>
      <c r="D20" s="62">
        <f>7715000-483730-522370+1065480+234365.58</f>
        <v>8008745.58</v>
      </c>
      <c r="E20" s="67"/>
      <c r="F20" s="67">
        <f>268000+12450-49000-40000+287000+10200.29+40000-334880.23</f>
        <v>193770.06000000006</v>
      </c>
      <c r="G20" s="65"/>
      <c r="H20" s="63">
        <f>743256.25+93750</f>
        <v>837006.25</v>
      </c>
      <c r="I20" s="69"/>
      <c r="J20" s="67">
        <f>56259.64+2740-3573.88</f>
        <v>55425.76</v>
      </c>
      <c r="K20" s="67"/>
      <c r="L20" s="67">
        <f>38230.4+8970-2859.27</f>
        <v>44341.130000000005</v>
      </c>
      <c r="M20" s="20"/>
      <c r="N20" s="14">
        <f>ROUND(H20+J20+L20,2)</f>
        <v>936773.14</v>
      </c>
      <c r="O20" s="14">
        <f>ROUND(D20+F20+N20,2)</f>
        <v>9139288.78</v>
      </c>
      <c r="P20" s="49">
        <v>9423804.64</v>
      </c>
      <c r="Q20" s="48">
        <f>ROUND(O20-P20,2)</f>
        <v>-284515.86</v>
      </c>
    </row>
    <row r="21" spans="1:17" s="1" customFormat="1" ht="25.5">
      <c r="A21" s="22" t="s">
        <v>7</v>
      </c>
      <c r="B21" s="28" t="s">
        <v>50</v>
      </c>
      <c r="C21" s="14">
        <f>23215000-483730-522370+1065480</f>
        <v>23274380</v>
      </c>
      <c r="D21" s="13">
        <f>ROUND(D18+D19+D20,2)</f>
        <v>23655522.17</v>
      </c>
      <c r="E21" s="14">
        <f>674000+12450-345000+287000</f>
        <v>628450</v>
      </c>
      <c r="F21" s="13">
        <f>ROUND(F18+F19+F20,2)</f>
        <v>581704.84</v>
      </c>
      <c r="G21" s="14">
        <f>1151000-456710+1604000+93750</f>
        <v>2392040</v>
      </c>
      <c r="H21" s="13">
        <f>ROUND(H18+H19+H20,2)</f>
        <v>2392040</v>
      </c>
      <c r="I21" s="13">
        <f>59470-45580+149000+2740</f>
        <v>165630</v>
      </c>
      <c r="J21" s="13">
        <f>ROUND(J18+J19+J20,2)</f>
        <v>164037.13</v>
      </c>
      <c r="K21" s="14">
        <f>61680-38550+100000+8970</f>
        <v>132100</v>
      </c>
      <c r="L21" s="13">
        <f>ROUND(L18+L19+L20,2)</f>
        <v>131229.57</v>
      </c>
      <c r="M21" s="14">
        <f>ROUND(G21+I21+K21,2)</f>
        <v>2689770</v>
      </c>
      <c r="N21" s="13">
        <f>ROUND(N18+N19+N20,2)</f>
        <v>2687306.7</v>
      </c>
      <c r="O21" s="13">
        <f>ROUND(O18+O19+O20,2)</f>
        <v>26924533.71</v>
      </c>
      <c r="P21" s="13">
        <f>ROUND(P18+P19+P20,2)</f>
        <v>27194748.8</v>
      </c>
      <c r="Q21" s="23">
        <f>ROUND(Q17+Q18+Q19+Q20,2)</f>
        <v>-284515.86</v>
      </c>
    </row>
    <row r="22" spans="1:17" s="1" customFormat="1" ht="25.5">
      <c r="A22" s="22" t="s">
        <v>8</v>
      </c>
      <c r="B22" s="28" t="s">
        <v>51</v>
      </c>
      <c r="C22" s="14">
        <f>C17+C21</f>
        <v>70566480</v>
      </c>
      <c r="D22" s="13">
        <f>ROUND(D17+D21,2)</f>
        <v>70566480</v>
      </c>
      <c r="E22" s="14">
        <f>E17+E21</f>
        <v>2074000</v>
      </c>
      <c r="F22" s="13">
        <f>ROUND(F17+F21,2)</f>
        <v>1739119.77</v>
      </c>
      <c r="G22" s="14">
        <f>G17+G21</f>
        <v>6088780</v>
      </c>
      <c r="H22" s="13">
        <f>ROUND(H17+H21,2)</f>
        <v>6088780</v>
      </c>
      <c r="I22" s="14">
        <f>I17+I21</f>
        <v>402880</v>
      </c>
      <c r="J22" s="13">
        <f>ROUND(J17+J21,2)</f>
        <v>399306.12</v>
      </c>
      <c r="K22" s="14">
        <f>K17+K21</f>
        <v>322280</v>
      </c>
      <c r="L22" s="13">
        <f>ROUND(L17+L21,2)</f>
        <v>319420.73</v>
      </c>
      <c r="M22" s="13">
        <f>ROUND(M17+M21,2)</f>
        <v>6813940</v>
      </c>
      <c r="N22" s="13">
        <f>ROUND(N17+N21,2)</f>
        <v>6807506.85</v>
      </c>
      <c r="O22" s="13">
        <f>ROUND(O17+O21,2)</f>
        <v>79113106.62</v>
      </c>
      <c r="P22" s="13">
        <f>ROUND(P17+P21,2)</f>
        <v>79365259.01</v>
      </c>
      <c r="Q22" s="23">
        <f>Q21</f>
        <v>-284515.86</v>
      </c>
    </row>
    <row r="23" spans="1:17" ht="25.5">
      <c r="A23" s="16">
        <v>16</v>
      </c>
      <c r="B23" s="50" t="s">
        <v>54</v>
      </c>
      <c r="C23" s="20"/>
      <c r="D23" s="70">
        <f>8400000+169573.94</f>
        <v>8569573.94</v>
      </c>
      <c r="E23" s="71"/>
      <c r="F23" s="71">
        <f>334880.23-138918.84</f>
        <v>195961.38999999998</v>
      </c>
      <c r="G23" s="71"/>
      <c r="H23" s="70">
        <f>112750+757794.08</f>
        <v>870544.08</v>
      </c>
      <c r="I23" s="70"/>
      <c r="J23" s="70">
        <f>6050+3573.88+47974.13</f>
        <v>57598.009999999995</v>
      </c>
      <c r="K23" s="70"/>
      <c r="L23" s="75">
        <f>5190+2859.27</f>
        <v>8049.27</v>
      </c>
      <c r="M23" s="39"/>
      <c r="N23" s="14">
        <f>ROUND(H23+J23+L23,2)</f>
        <v>936191.36</v>
      </c>
      <c r="O23" s="14">
        <f>ROUND(D23+F23+N23,2)</f>
        <v>9701726.69</v>
      </c>
      <c r="P23" s="49">
        <v>9455240.6</v>
      </c>
      <c r="Q23" s="48">
        <f>ROUND(O23-P23,2)</f>
        <v>246486.09</v>
      </c>
    </row>
    <row r="24" spans="1:17" ht="25.5">
      <c r="A24" s="16">
        <v>17</v>
      </c>
      <c r="B24" s="50" t="s">
        <v>55</v>
      </c>
      <c r="C24" s="20"/>
      <c r="D24" s="67">
        <f>7739520-169573.94+730053.94+264649.67</f>
        <v>8564649.67</v>
      </c>
      <c r="E24" s="70"/>
      <c r="F24" s="71">
        <f>138918.84+53000+13027.55</f>
        <v>204946.38999999998</v>
      </c>
      <c r="G24" s="70"/>
      <c r="H24" s="70">
        <f>902025.92+64602.53</f>
        <v>966628.4500000001</v>
      </c>
      <c r="I24" s="70"/>
      <c r="J24" s="70">
        <f>62405.87+1199.82</f>
        <v>63605.69</v>
      </c>
      <c r="K24" s="70"/>
      <c r="L24" s="67">
        <f>38029.77+48000+2885.27</f>
        <v>88915.04</v>
      </c>
      <c r="M24" s="39"/>
      <c r="N24" s="14">
        <f>ROUND(H24+J24+L24,2)</f>
        <v>1119149.18</v>
      </c>
      <c r="O24" s="14">
        <f>ROUND(D24+F24+N24,2)</f>
        <v>9888745.24</v>
      </c>
      <c r="P24" s="49">
        <v>9850715.47</v>
      </c>
      <c r="Q24" s="48">
        <f>ROUND(O24-P24,2)</f>
        <v>38029.77</v>
      </c>
    </row>
    <row r="25" spans="1:17" ht="12.75">
      <c r="A25" s="16">
        <v>18</v>
      </c>
      <c r="B25" s="50" t="s">
        <v>56</v>
      </c>
      <c r="C25" s="20"/>
      <c r="D25" s="67">
        <f>8262946.06-264649.67+215000-142727.94</f>
        <v>8070568.449999999</v>
      </c>
      <c r="E25" s="71"/>
      <c r="F25" s="76">
        <f>194000-13027.55+4000</f>
        <v>184972.45</v>
      </c>
      <c r="G25" s="71"/>
      <c r="H25" s="77">
        <f>885000-64602.53+12980</f>
        <v>833377.47</v>
      </c>
      <c r="I25" s="76"/>
      <c r="J25" s="77">
        <f>60000-1199.82</f>
        <v>58800.18</v>
      </c>
      <c r="K25" s="76"/>
      <c r="L25" s="77">
        <f>49920.23-2885.27</f>
        <v>47034.96000000001</v>
      </c>
      <c r="M25" s="39"/>
      <c r="N25" s="14">
        <f>ROUND(H25+J25+L25,2)</f>
        <v>939212.61</v>
      </c>
      <c r="O25" s="14">
        <f>ROUND(D25+F25+N25,2)</f>
        <v>9194753.51</v>
      </c>
      <c r="P25" s="78">
        <v>9338828.33</v>
      </c>
      <c r="Q25" s="48">
        <f>ROUND(O25-P25,2)</f>
        <v>-144074.82</v>
      </c>
    </row>
    <row r="26" spans="1:17" ht="25.5">
      <c r="A26" s="22" t="s">
        <v>9</v>
      </c>
      <c r="B26" s="38" t="s">
        <v>57</v>
      </c>
      <c r="C26" s="14">
        <f>16139520+8993000+215000</f>
        <v>25347520</v>
      </c>
      <c r="D26" s="14">
        <f>D23+D24+D25</f>
        <v>25204792.06</v>
      </c>
      <c r="E26" s="14">
        <f>247000+4000</f>
        <v>251000</v>
      </c>
      <c r="F26" s="14">
        <f>F23+F24+F25</f>
        <v>585880.23</v>
      </c>
      <c r="G26" s="14">
        <f>112750+1659820+885000+12980</f>
        <v>2670550</v>
      </c>
      <c r="H26" s="14">
        <f>H23+H24+H25</f>
        <v>2670550</v>
      </c>
      <c r="I26" s="14">
        <f>6050+110380+60000</f>
        <v>176430</v>
      </c>
      <c r="J26" s="14">
        <f>J23+J24+J25</f>
        <v>180003.88</v>
      </c>
      <c r="K26" s="14">
        <f>5190+135950</f>
        <v>141140</v>
      </c>
      <c r="L26" s="14">
        <f>L23+L24+L25</f>
        <v>143999.27000000002</v>
      </c>
      <c r="M26" s="14">
        <f>ROUND(G26+I26+K26,2)</f>
        <v>2988120</v>
      </c>
      <c r="N26" s="14">
        <f>N23+N24+N25</f>
        <v>2994553.15</v>
      </c>
      <c r="O26" s="14">
        <f>ROUND(O23+O24+O25,2)</f>
        <v>28785225.44</v>
      </c>
      <c r="P26" s="14">
        <f>P23+P24+P25</f>
        <v>28644784.4</v>
      </c>
      <c r="Q26" s="15">
        <f>Q22+Q23+Q24+Q25</f>
        <v>-144074.82</v>
      </c>
    </row>
    <row r="27" spans="1:17" ht="25.5">
      <c r="A27" s="22" t="s">
        <v>10</v>
      </c>
      <c r="B27" s="38" t="s">
        <v>58</v>
      </c>
      <c r="C27" s="14">
        <f aca="true" t="shared" si="2" ref="C27:P27">ROUND(C12+C16+C21+C26,2)</f>
        <v>95914000</v>
      </c>
      <c r="D27" s="14">
        <f t="shared" si="2"/>
        <v>95771272.06</v>
      </c>
      <c r="E27" s="14">
        <f t="shared" si="2"/>
        <v>2325000</v>
      </c>
      <c r="F27" s="14">
        <f t="shared" si="2"/>
        <v>2325000</v>
      </c>
      <c r="G27" s="14">
        <f t="shared" si="2"/>
        <v>8759330</v>
      </c>
      <c r="H27" s="14">
        <f t="shared" si="2"/>
        <v>8759330</v>
      </c>
      <c r="I27" s="14">
        <f t="shared" si="2"/>
        <v>579310</v>
      </c>
      <c r="J27" s="14">
        <f t="shared" si="2"/>
        <v>579310</v>
      </c>
      <c r="K27" s="14">
        <f t="shared" si="2"/>
        <v>463420</v>
      </c>
      <c r="L27" s="14">
        <f t="shared" si="2"/>
        <v>463420</v>
      </c>
      <c r="M27" s="14">
        <f t="shared" si="2"/>
        <v>9802060</v>
      </c>
      <c r="N27" s="14">
        <f t="shared" si="2"/>
        <v>9802060</v>
      </c>
      <c r="O27" s="14">
        <f t="shared" si="2"/>
        <v>107898332.06</v>
      </c>
      <c r="P27" s="14">
        <f t="shared" si="2"/>
        <v>108010043.41</v>
      </c>
      <c r="Q27" s="79">
        <f>Q26</f>
        <v>-144074.82</v>
      </c>
    </row>
    <row r="28" spans="1:17" ht="25.5">
      <c r="A28" s="30" t="s">
        <v>59</v>
      </c>
      <c r="B28" s="31" t="s">
        <v>42</v>
      </c>
      <c r="C28" s="31"/>
      <c r="D28" s="36">
        <f>ROUND(D8+D9+D10+D11+D13+D14+D15+D18+D19+D20+D23+D24+D25,2)</f>
        <v>95771272.06</v>
      </c>
      <c r="E28" s="36"/>
      <c r="F28" s="36">
        <f>ROUND(F8+F9+F10+F11+F13+F14+F15+F18+F19+F20+F23+F24+F25,2)</f>
        <v>2325000</v>
      </c>
      <c r="G28" s="29"/>
      <c r="H28" s="36">
        <f>ROUND(H8+H9+H10+H11+H13+H14+H15+H18+H19+H20+H23+H24+H25,2)</f>
        <v>8759330</v>
      </c>
      <c r="I28" s="36"/>
      <c r="J28" s="36">
        <f>ROUND(J8+J9+J10+J11+J13+J14+J15+J18+J19+J20+J23+J24+J25,2)</f>
        <v>579310</v>
      </c>
      <c r="K28" s="29"/>
      <c r="L28" s="36">
        <f>ROUND(L8+L9+L10+L11+L13+L14+L15+L18+L19+L20+L23+L24+L25,2)</f>
        <v>463420</v>
      </c>
      <c r="M28" s="36"/>
      <c r="N28" s="14">
        <f>ROUND(H28+J28+L28,2)</f>
        <v>9802060</v>
      </c>
      <c r="O28" s="14">
        <f>ROUND(D28+F28+N28,2)</f>
        <v>107898332.06</v>
      </c>
      <c r="P28" s="36">
        <f>ROUND(P8+P9+P10+P13+P14+P15+P18+P19+P20+P23+P24+P25,2)</f>
        <v>108010043.41</v>
      </c>
      <c r="Q28" s="80">
        <f>O28-P28-O11</f>
        <v>-144074.81999999404</v>
      </c>
    </row>
    <row r="29" spans="1:17" ht="12.75">
      <c r="A29" s="16" t="s">
        <v>11</v>
      </c>
      <c r="B29" s="32" t="s">
        <v>35</v>
      </c>
      <c r="C29" s="32"/>
      <c r="D29" s="36">
        <f>ROUND(D7-D28,2)</f>
        <v>142727.94</v>
      </c>
      <c r="E29" s="36"/>
      <c r="F29" s="36">
        <f>ROUND(F7-F28,2)</f>
        <v>0</v>
      </c>
      <c r="G29" s="29"/>
      <c r="H29" s="36">
        <f>ROUND(H7-H28,2)</f>
        <v>0</v>
      </c>
      <c r="I29" s="36"/>
      <c r="J29" s="36">
        <f>ROUND(J7-J28,2)</f>
        <v>0</v>
      </c>
      <c r="K29" s="29"/>
      <c r="L29" s="36">
        <f>ROUND(L7-L28,2)</f>
        <v>0</v>
      </c>
      <c r="M29" s="36"/>
      <c r="N29" s="14">
        <f>ROUND(H29+J29+L29,2)</f>
        <v>0</v>
      </c>
      <c r="O29" s="14">
        <f>ROUND(D29+F29+N29,2)</f>
        <v>142727.94</v>
      </c>
      <c r="P29" s="36"/>
      <c r="Q29" s="47"/>
    </row>
    <row r="30" spans="1:17" s="58" customFormat="1" ht="12.75">
      <c r="A30" s="54">
        <v>23</v>
      </c>
      <c r="B30" s="55" t="s">
        <v>60</v>
      </c>
      <c r="C30" s="55"/>
      <c r="D30" s="56">
        <v>0</v>
      </c>
      <c r="E30" s="56"/>
      <c r="F30" s="56">
        <v>684.04</v>
      </c>
      <c r="G30" s="56"/>
      <c r="H30" s="56">
        <v>131404.65</v>
      </c>
      <c r="I30" s="56"/>
      <c r="J30" s="56">
        <v>6655.55</v>
      </c>
      <c r="K30" s="56"/>
      <c r="L30" s="56">
        <v>5330.58</v>
      </c>
      <c r="M30" s="56"/>
      <c r="N30" s="57">
        <f>ROUND(H30+J30+L30,2)</f>
        <v>143390.78</v>
      </c>
      <c r="O30" s="57">
        <f>ROUND(D30+F30+N30,2)</f>
        <v>144074.82</v>
      </c>
      <c r="P30" s="56"/>
      <c r="Q30" s="72"/>
    </row>
    <row r="31" spans="1:17" ht="12.75">
      <c r="A31" s="16">
        <v>24</v>
      </c>
      <c r="B31" s="31" t="s">
        <v>36</v>
      </c>
      <c r="C31" s="31"/>
      <c r="D31" s="49">
        <v>7354416.25</v>
      </c>
      <c r="E31" s="49"/>
      <c r="F31" s="49">
        <v>201022.74</v>
      </c>
      <c r="G31" s="20"/>
      <c r="H31" s="49">
        <v>304375.83</v>
      </c>
      <c r="I31" s="20"/>
      <c r="J31" s="49">
        <v>19925.92</v>
      </c>
      <c r="K31" s="20"/>
      <c r="L31" s="49">
        <v>15940.29</v>
      </c>
      <c r="M31" s="20"/>
      <c r="N31" s="14">
        <f>ROUND(H31+J31+L31,2)</f>
        <v>340242.04</v>
      </c>
      <c r="O31" s="14">
        <f>ROUND(D31+F31+N31,2)</f>
        <v>7895681.03</v>
      </c>
      <c r="P31" s="36"/>
      <c r="Q31" s="47"/>
    </row>
    <row r="32" spans="1:17" ht="26.25" thickBot="1">
      <c r="A32" s="81" t="s">
        <v>23</v>
      </c>
      <c r="B32" s="82" t="s">
        <v>37</v>
      </c>
      <c r="C32" s="82"/>
      <c r="D32" s="51">
        <f>ROUND((D28+D30)/12,2)</f>
        <v>7980939.34</v>
      </c>
      <c r="E32" s="51"/>
      <c r="F32" s="51">
        <f>ROUND((F28+F30)/12,2)</f>
        <v>193807</v>
      </c>
      <c r="G32" s="83"/>
      <c r="H32" s="51">
        <f>ROUND((H28+H30)/12,2)</f>
        <v>740894.55</v>
      </c>
      <c r="I32" s="83"/>
      <c r="J32" s="51">
        <f>ROUND((J28+J30)/12,2)</f>
        <v>48830.46</v>
      </c>
      <c r="K32" s="83"/>
      <c r="L32" s="51">
        <f>ROUND((L28+L30)/12,2)</f>
        <v>39062.55</v>
      </c>
      <c r="M32" s="83"/>
      <c r="N32" s="52">
        <f>ROUND(H32+J32+L32,2)</f>
        <v>828787.56</v>
      </c>
      <c r="O32" s="52">
        <f>ROUND(D32+F32+N32,2)</f>
        <v>9003533.9</v>
      </c>
      <c r="P32" s="51"/>
      <c r="Q32" s="53"/>
    </row>
    <row r="33" spans="1:14" ht="27.75" customHeight="1">
      <c r="A33" s="84" t="s">
        <v>61</v>
      </c>
      <c r="B33" s="85"/>
      <c r="C33" s="86"/>
      <c r="D33" s="87">
        <f>ROUND(((D27+F27)/(D7+F7))*100,2)</f>
        <v>99.85</v>
      </c>
      <c r="E33" s="88"/>
      <c r="G33" s="89"/>
      <c r="H33" s="90"/>
      <c r="I33" s="90"/>
      <c r="J33" s="90"/>
      <c r="K33" s="89"/>
      <c r="L33" s="90"/>
      <c r="M33" s="34"/>
      <c r="N33" s="34"/>
    </row>
    <row r="34" spans="1:14" ht="27.75" customHeight="1" thickBot="1">
      <c r="A34" s="91" t="s">
        <v>62</v>
      </c>
      <c r="B34" s="92"/>
      <c r="C34" s="59"/>
      <c r="D34" s="93">
        <f>ROUND(((H27+J27+L27)/(H7+J7+L7))*100,2)</f>
        <v>100</v>
      </c>
      <c r="E34" s="33"/>
      <c r="F34" s="34"/>
      <c r="G34" s="33"/>
      <c r="H34" s="34"/>
      <c r="I34" s="34"/>
      <c r="J34" s="34"/>
      <c r="K34" s="33"/>
      <c r="L34" s="34"/>
      <c r="M34" s="34"/>
      <c r="N34" s="34"/>
    </row>
    <row r="35" spans="4:7" ht="15.75">
      <c r="D35" s="60"/>
      <c r="E35" s="60"/>
      <c r="F35" s="34"/>
      <c r="G35" s="33"/>
    </row>
    <row r="36" spans="3:13" ht="12.75">
      <c r="C36" s="60"/>
      <c r="D36" s="60"/>
      <c r="E36" s="94"/>
      <c r="M36" s="33"/>
    </row>
    <row r="37" spans="3:13" ht="12.75">
      <c r="C37" s="1"/>
      <c r="D37" s="60"/>
      <c r="E37" s="94"/>
      <c r="M37" s="33"/>
    </row>
    <row r="38" spans="3:5" ht="14.25">
      <c r="C38" s="35"/>
      <c r="D38" s="60"/>
      <c r="E38" s="94"/>
    </row>
    <row r="39" spans="3:5" ht="14.25">
      <c r="C39" s="35"/>
      <c r="D39" s="60"/>
      <c r="E39" s="94"/>
    </row>
    <row r="40" spans="3:5" ht="14.25">
      <c r="C40" s="35"/>
      <c r="D40" s="60"/>
      <c r="E40" s="94"/>
    </row>
    <row r="41" spans="4:5" ht="12.75">
      <c r="D41" s="60"/>
      <c r="E41" s="94"/>
    </row>
    <row r="42" spans="4:5" ht="12.75">
      <c r="D42" s="60"/>
      <c r="E42" s="94"/>
    </row>
    <row r="43" spans="4:5" ht="12.75">
      <c r="D43" s="60"/>
      <c r="E43" s="94"/>
    </row>
    <row r="44" spans="4:5" ht="12.75">
      <c r="D44" s="60"/>
      <c r="E44" s="94"/>
    </row>
    <row r="45" spans="4:5" ht="12.75">
      <c r="D45" s="60"/>
      <c r="E45" s="94"/>
    </row>
    <row r="46" spans="4:5" ht="12.75">
      <c r="D46" s="60"/>
      <c r="E46" s="94"/>
    </row>
    <row r="47" spans="4:5" ht="12.75">
      <c r="D47" s="60"/>
      <c r="E47" s="94"/>
    </row>
    <row r="48" spans="4:5" ht="12.75">
      <c r="D48" s="60"/>
      <c r="E48" s="94"/>
    </row>
    <row r="49" spans="4:5" ht="12.75">
      <c r="D49" s="60"/>
      <c r="E49" s="94"/>
    </row>
    <row r="50" spans="4:5" ht="12.75">
      <c r="D50" s="60"/>
      <c r="E50" s="94"/>
    </row>
    <row r="51" spans="4:5" ht="12.75">
      <c r="D51" s="60"/>
      <c r="E51" s="94"/>
    </row>
    <row r="52" spans="4:5" ht="12.75">
      <c r="D52" s="60"/>
      <c r="E52" s="94"/>
    </row>
    <row r="53" spans="4:5" ht="12.75">
      <c r="D53" s="60"/>
      <c r="E53" s="94"/>
    </row>
    <row r="54" spans="4:5" ht="12.75">
      <c r="D54" s="60"/>
      <c r="E54" s="94"/>
    </row>
    <row r="55" spans="4:5" ht="12.75">
      <c r="D55" s="60"/>
      <c r="E55" s="94"/>
    </row>
    <row r="56" spans="4:5" ht="12.75">
      <c r="D56" s="60"/>
      <c r="E56" s="94"/>
    </row>
    <row r="57" spans="4:5" ht="12.75">
      <c r="D57" s="60"/>
      <c r="E57" s="94"/>
    </row>
    <row r="58" spans="4:5" ht="12.75">
      <c r="D58" s="60"/>
      <c r="E58" s="94"/>
    </row>
  </sheetData>
  <sheetProtection/>
  <mergeCells count="4">
    <mergeCell ref="A2:Q2"/>
    <mergeCell ref="A3:Q3"/>
    <mergeCell ref="A33:B33"/>
    <mergeCell ref="A34:B34"/>
  </mergeCells>
  <printOptions/>
  <pageMargins left="0.17" right="0.17" top="0.5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2022-10-28T10:44:19Z</cp:lastPrinted>
  <dcterms:created xsi:type="dcterms:W3CDTF">2019-01-29T08:52:26Z</dcterms:created>
  <dcterms:modified xsi:type="dcterms:W3CDTF">2023-02-01T13:47:29Z</dcterms:modified>
  <cp:category/>
  <cp:version/>
  <cp:contentType/>
  <cp:contentStatus/>
</cp:coreProperties>
</file>