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<sst xmlns="http://schemas.openxmlformats.org/spreadsheetml/2006/main" count="67" uniqueCount="67">
  <si>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CASA DE ASIGURĂRI DE SĂNĂTATE OLT</t>
  </si>
  <si>
    <t>SITUATIA</t>
  </si>
  <si>
    <t>Nr. crt.</t>
  </si>
  <si>
    <t>Indicatori/perioadă</t>
  </si>
  <si>
    <t>5=2+3+4</t>
  </si>
  <si>
    <t>9=6+7+8</t>
  </si>
  <si>
    <t>10=5+9</t>
  </si>
  <si>
    <t>14=11+12+13</t>
  </si>
  <si>
    <t>15=10+14</t>
  </si>
  <si>
    <t>19=16+17+18</t>
  </si>
  <si>
    <t>20=5+9+14+ 19</t>
  </si>
  <si>
    <t>22=20-21</t>
  </si>
  <si>
    <t xml:space="preserve">Limite trimestriale credite aprobate - activitate curentă </t>
  </si>
  <si>
    <t>Limite trimestriale credite aprobate - 40%MS</t>
  </si>
  <si>
    <t>Limite trimestriale credite aprobate - DCI COST VOLUM</t>
  </si>
  <si>
    <t>Limite trimestriale credite aprobate - 50% COST VOLUM</t>
  </si>
  <si>
    <t>Limite trimestriale credite aprobate - 40% COST VOLUM</t>
  </si>
  <si>
    <t>TOTAL limite trimestriale credite aprobate - COST VOLUM</t>
  </si>
  <si>
    <t>DIFERENTE CONSUM RAPORTAT- CONSUM VALIDAT</t>
  </si>
  <si>
    <t>12=6+8+10</t>
  </si>
  <si>
    <t>13=7+9+11</t>
  </si>
  <si>
    <t>14=3+5+13</t>
  </si>
  <si>
    <t>16=15-14</t>
  </si>
  <si>
    <t>4bis</t>
  </si>
  <si>
    <t>CREDITE ANGAJAMENT REALIZATE AN 2023 - ACTIVITATE CURENTA</t>
  </si>
  <si>
    <t>CREDITE ANGAJAMENT REALIZATE AN 2023 - 40% MS</t>
  </si>
  <si>
    <t>CREDITE ANGAJAMENT REALIZATE AN 2023- COST VOLUM 50% PENS</t>
  </si>
  <si>
    <t>CREDITE ANGAJAMENT REALIZATE AN 2023 - COST VOLUM 40% PENS</t>
  </si>
  <si>
    <t>TOTAL CONSUM VALIDAT AN 2023</t>
  </si>
  <si>
    <t>Credite angajament aprobate an 2023, din care:</t>
  </si>
  <si>
    <t>martie 2023</t>
  </si>
  <si>
    <t>Trim. I 2023</t>
  </si>
  <si>
    <t>aprilie 2023</t>
  </si>
  <si>
    <t>mai 2023</t>
  </si>
  <si>
    <t>iunie 2023</t>
  </si>
  <si>
    <t>Trim. II 2023</t>
  </si>
  <si>
    <t>Total sem. I 2023</t>
  </si>
  <si>
    <t>iulie 2023</t>
  </si>
  <si>
    <t>august 2023</t>
  </si>
  <si>
    <t>septembrie 2023</t>
  </si>
  <si>
    <t>Total trim. III 2023</t>
  </si>
  <si>
    <t>Total 9 luni 2023</t>
  </si>
  <si>
    <t>octombrie 2023</t>
  </si>
  <si>
    <t>noiembrie 2023</t>
  </si>
  <si>
    <t>decembrie 2023</t>
  </si>
  <si>
    <t xml:space="preserve">Total trim. IV 2023 </t>
  </si>
  <si>
    <t xml:space="preserve">TOTAL AN 2023 </t>
  </si>
  <si>
    <t>Consum 2023 inregistrat in limita credite angajament AN 2023 (inclusiv art. 193)</t>
  </si>
  <si>
    <t>Credite neconsumate AN 2023</t>
  </si>
  <si>
    <t xml:space="preserve">Consum mediu lunar înregistrat AN 2022 </t>
  </si>
  <si>
    <t>Consum mediu lunar înregistrat AN 2023</t>
  </si>
  <si>
    <t>Necesar suplimentar 2023 stabilit la nivelul consumului mediu lunar/2023</t>
  </si>
  <si>
    <t>TOTAL CREDITE ANGAJAMENT NECESARE AN 2023</t>
  </si>
  <si>
    <t>REPARTIZARII LUNARE A CREDITELOR DE ANGAJAMENT PENTRU ELIBERARE MEDICAMENTE CU ŞI FĂRĂ CONTRIBUŢIE PERSONALĂ PENTRU SEM I 2023, CONFORM ADRESELOR CNAS NR. P2903-P2904/30.03.2023</t>
  </si>
  <si>
    <t>CREDITE ANGAJAM. REALIZATE AN 2023- COST VOLUM (FARA PENS90%)</t>
  </si>
  <si>
    <t>TOTAL CREDITE ANGAJAM. REALIZATE AN 2023 - COST VOLUM</t>
  </si>
  <si>
    <t>TOTAL CONSUM RAPORTAT SIUI AN 2023</t>
  </si>
  <si>
    <t>ianuarie 2023- consum realizat</t>
  </si>
  <si>
    <t>februarie 2023- consum realizat</t>
  </si>
  <si>
    <t>Validat art. 193(3) HG696/2021-decemb.2022</t>
  </si>
  <si>
    <t>21=2+3+4bis</t>
  </si>
  <si>
    <t>23=1-10</t>
  </si>
  <si>
    <t>CREDITE RAMASE DE ANGAJAT (TRIM. II):</t>
  </si>
  <si>
    <t>Depășire la data de 28.02.2023 (consum nevalidat )</t>
  </si>
  <si>
    <t>26=(21+ 24)/ nr. luni</t>
  </si>
  <si>
    <t>27=26  x 12 luni - 1</t>
  </si>
  <si>
    <t>28=1+ 27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</si>
</sst>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5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/>
    </xf>
    <xf numFmtId="4" fontId="1" fillId="33" borderId="13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 vertical="top"/>
    </xf>
    <xf numFmtId="4" fontId="1" fillId="33" borderId="14" xfId="0" applyNumberFormat="1" applyFont="1" applyFill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1" fillId="33" borderId="12" xfId="0" applyFont="1" applyFill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/>
    </xf>
    <xf numFmtId="4" fontId="1" fillId="0" borderId="13" xfId="0" applyNumberFormat="1" applyFont="1" applyFill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1" fillId="33" borderId="13" xfId="0" applyNumberFormat="1" applyFont="1" applyFill="1" applyBorder="1" applyAlignment="1">
      <alignment vertical="top" wrapText="1"/>
    </xf>
    <xf numFmtId="4" fontId="8" fillId="0" borderId="13" xfId="0" applyNumberFormat="1" applyFont="1" applyBorder="1" applyAlignment="1">
      <alignment vertical="top"/>
    </xf>
    <xf numFmtId="0" fontId="9" fillId="34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1" fontId="2" fillId="34" borderId="13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" fontId="1" fillId="34" borderId="13" xfId="0" applyNumberFormat="1" applyFont="1" applyFill="1" applyBorder="1" applyAlignment="1">
      <alignment vertical="top"/>
    </xf>
    <xf numFmtId="0" fontId="2" fillId="0" borderId="14" xfId="0" applyFont="1" applyBorder="1" applyAlignment="1">
      <alignment vertical="top"/>
    </xf>
    <xf numFmtId="4" fontId="1" fillId="0" borderId="14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 wrapText="1"/>
    </xf>
    <xf numFmtId="4" fontId="1" fillId="0" borderId="15" xfId="0" applyNumberFormat="1" applyFont="1" applyBorder="1" applyAlignment="1">
      <alignment vertical="top"/>
    </xf>
    <xf numFmtId="4" fontId="1" fillId="33" borderId="15" xfId="0" applyNumberFormat="1" applyFont="1" applyFill="1" applyBorder="1" applyAlignment="1">
      <alignment vertical="top"/>
    </xf>
    <xf numFmtId="0" fontId="2" fillId="0" borderId="16" xfId="0" applyFont="1" applyBorder="1" applyAlignment="1">
      <alignment vertical="top"/>
    </xf>
    <xf numFmtId="0" fontId="10" fillId="0" borderId="13" xfId="0" applyFont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/>
    </xf>
    <xf numFmtId="4" fontId="10" fillId="33" borderId="13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4" fillId="0" borderId="1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2" fillId="0" borderId="13" xfId="0" applyNumberFormat="1" applyFont="1" applyBorder="1" applyAlignment="1">
      <alignment horizontal="left" vertical="top" wrapText="1"/>
    </xf>
    <xf numFmtId="4" fontId="2" fillId="35" borderId="13" xfId="0" applyNumberFormat="1" applyFont="1" applyFill="1" applyBorder="1" applyAlignment="1">
      <alignment horizontal="right" vertical="top"/>
    </xf>
    <xf numFmtId="4" fontId="2" fillId="35" borderId="13" xfId="0" applyNumberFormat="1" applyFont="1" applyFill="1" applyBorder="1" applyAlignment="1">
      <alignment vertical="top"/>
    </xf>
    <xf numFmtId="4" fontId="49" fillId="35" borderId="13" xfId="0" applyNumberFormat="1" applyFont="1" applyFill="1" applyBorder="1" applyAlignment="1">
      <alignment horizontal="right" vertical="top"/>
    </xf>
    <xf numFmtId="4" fontId="2" fillId="35" borderId="13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horizontal="left" vertical="top" wrapText="1"/>
    </xf>
    <xf numFmtId="4" fontId="50" fillId="35" borderId="13" xfId="0" applyNumberFormat="1" applyFont="1" applyFill="1" applyBorder="1" applyAlignment="1">
      <alignment vertical="top"/>
    </xf>
    <xf numFmtId="4" fontId="2" fillId="0" borderId="13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top"/>
    </xf>
    <xf numFmtId="4" fontId="49" fillId="35" borderId="13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1" fillId="33" borderId="13" xfId="0" applyNumberFormat="1" applyFont="1" applyFill="1" applyBorder="1" applyAlignment="1">
      <alignment vertical="top"/>
    </xf>
    <xf numFmtId="0" fontId="1" fillId="0" borderId="13" xfId="0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4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4" fontId="12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vertical="top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2" fillId="35" borderId="13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 horizontal="right" vertical="top"/>
    </xf>
    <xf numFmtId="16" fontId="2" fillId="0" borderId="12" xfId="0" applyNumberFormat="1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vertical="top" wrapText="1"/>
    </xf>
    <xf numFmtId="4" fontId="49" fillId="0" borderId="13" xfId="0" applyNumberFormat="1" applyFont="1" applyFill="1" applyBorder="1" applyAlignment="1">
      <alignment vertical="top"/>
    </xf>
    <xf numFmtId="4" fontId="49" fillId="33" borderId="13" xfId="0" applyNumberFormat="1" applyFont="1" applyFill="1" applyBorder="1" applyAlignment="1">
      <alignment vertical="top"/>
    </xf>
    <xf numFmtId="0" fontId="49" fillId="0" borderId="14" xfId="0" applyFont="1" applyBorder="1" applyAlignment="1">
      <alignment vertical="top"/>
    </xf>
    <xf numFmtId="0" fontId="49" fillId="0" borderId="0" xfId="0" applyFont="1" applyAlignment="1">
      <alignment vertical="top"/>
    </xf>
    <xf numFmtId="0" fontId="10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13.00390625" style="2" customWidth="1"/>
    <col min="2" max="2" width="42.421875" style="2" customWidth="1"/>
    <col min="3" max="3" width="15.00390625" style="2" customWidth="1"/>
    <col min="4" max="4" width="13.8515625" style="2" customWidth="1"/>
    <col min="5" max="5" width="11.140625" style="2" customWidth="1"/>
    <col min="6" max="6" width="13.140625" style="2" customWidth="1"/>
    <col min="7" max="7" width="11.421875" style="2" customWidth="1"/>
    <col min="8" max="8" width="12.421875" style="2" customWidth="1"/>
    <col min="9" max="9" width="11.28125" style="2" customWidth="1"/>
    <col min="10" max="10" width="12.57421875" style="2" customWidth="1"/>
    <col min="11" max="11" width="10.57421875" style="2" customWidth="1"/>
    <col min="12" max="13" width="12.7109375" style="2" customWidth="1"/>
    <col min="14" max="14" width="12.28125" style="2" customWidth="1"/>
    <col min="15" max="15" width="13.140625" style="2" customWidth="1"/>
    <col min="16" max="16" width="12.140625" style="2" customWidth="1"/>
    <col min="17" max="17" width="10.421875" style="2" customWidth="1"/>
    <col min="18" max="16384" width="9.140625" style="2" customWidth="1"/>
  </cols>
  <sheetData>
    <row r="1" spans="1:17" ht="12.75">
      <c r="A1" s="1" t="s">
        <v>0</v>
      </c>
      <c r="F1" s="3"/>
      <c r="Q1" s="3"/>
    </row>
    <row r="2" spans="1:17" ht="12.7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s="4" customFormat="1" ht="42.75" customHeight="1">
      <c r="A3" s="89" t="s">
        <v>53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ht="13.5" thickBot="1"/>
    <row r="5" spans="1:17" ht="86.25" customHeight="1">
      <c r="A5" s="5" t="s">
        <v>2</v>
      </c>
      <c r="B5" s="6" t="s">
        <v>3</v>
      </c>
      <c r="C5" s="6" t="s">
        <v>12</v>
      </c>
      <c r="D5" s="37" t="s">
        <v>24</v>
      </c>
      <c r="E5" s="6" t="s">
        <v>13</v>
      </c>
      <c r="F5" s="37" t="s">
        <v>25</v>
      </c>
      <c r="G5" s="6" t="s">
        <v>14</v>
      </c>
      <c r="H5" s="37" t="s">
        <v>54</v>
      </c>
      <c r="I5" s="6" t="s">
        <v>15</v>
      </c>
      <c r="J5" s="37" t="s">
        <v>26</v>
      </c>
      <c r="K5" s="6" t="s">
        <v>16</v>
      </c>
      <c r="L5" s="37" t="s">
        <v>27</v>
      </c>
      <c r="M5" s="6" t="s">
        <v>17</v>
      </c>
      <c r="N5" s="37" t="s">
        <v>55</v>
      </c>
      <c r="O5" s="38" t="s">
        <v>28</v>
      </c>
      <c r="P5" s="6" t="s">
        <v>56</v>
      </c>
      <c r="Q5" s="90" t="s">
        <v>18</v>
      </c>
    </row>
    <row r="6" spans="1:17" ht="12.75">
      <c r="A6" s="7">
        <v>0</v>
      </c>
      <c r="B6" s="8">
        <v>1</v>
      </c>
      <c r="C6" s="8">
        <v>2</v>
      </c>
      <c r="D6" s="39">
        <v>3</v>
      </c>
      <c r="E6" s="8">
        <v>4</v>
      </c>
      <c r="F6" s="40">
        <v>5</v>
      </c>
      <c r="G6" s="8">
        <v>6</v>
      </c>
      <c r="H6" s="40">
        <v>7</v>
      </c>
      <c r="I6" s="9">
        <v>8</v>
      </c>
      <c r="J6" s="40">
        <v>9</v>
      </c>
      <c r="K6" s="8">
        <v>10</v>
      </c>
      <c r="L6" s="40">
        <v>11</v>
      </c>
      <c r="M6" s="9" t="s">
        <v>19</v>
      </c>
      <c r="N6" s="40" t="s">
        <v>20</v>
      </c>
      <c r="O6" s="41" t="s">
        <v>21</v>
      </c>
      <c r="P6" s="42">
        <v>15</v>
      </c>
      <c r="Q6" s="34" t="s">
        <v>22</v>
      </c>
    </row>
    <row r="7" spans="1:17" ht="12.75">
      <c r="A7" s="10">
        <v>1</v>
      </c>
      <c r="B7" s="11" t="s">
        <v>29</v>
      </c>
      <c r="C7" s="12">
        <f>ROUND(C12+C16+C21+C26,2)</f>
        <v>50360000</v>
      </c>
      <c r="D7" s="43">
        <f>D8+D9+D10+D11+D13+D14+D15+D18+D19+D20+D23+D24+D25</f>
        <v>50360000</v>
      </c>
      <c r="E7" s="12">
        <f>ROUND(E12+E16+E21+E26,2)</f>
        <v>1230000</v>
      </c>
      <c r="F7" s="43">
        <f>F8+F9+F10+F11+F13+F14+F15+F18+F19+F20+F23+F24+F25</f>
        <v>1230000</v>
      </c>
      <c r="G7" s="12">
        <f>ROUND(G12+G16+G21+G26,2)</f>
        <v>5784330</v>
      </c>
      <c r="H7" s="43">
        <f>H8+H9+H10+H11+H13+H14+H15+H18+H19+H20+H23+H24+H25</f>
        <v>5784330</v>
      </c>
      <c r="I7" s="12">
        <f>ROUND(I12+I16+I21+I26,2)</f>
        <v>380790</v>
      </c>
      <c r="J7" s="43">
        <f>J8+J9+J10+J11+J13+J14+J15+J18+J19+J20+J23+J24+J25</f>
        <v>380790</v>
      </c>
      <c r="K7" s="12">
        <f>ROUND(K12+K16+K21+K26,2)</f>
        <v>283890</v>
      </c>
      <c r="L7" s="43">
        <f>L8+L9+L10+L11+L13+L14+L15+L18+L19+L20+L23+L24+L25</f>
        <v>283890</v>
      </c>
      <c r="M7" s="13">
        <f>ROUND(G7+I7+K7,2)</f>
        <v>6449010</v>
      </c>
      <c r="N7" s="43">
        <f>N8+N9+N10+N11+N13+N14+N15+N18+N19+N20+N23+N24+N25</f>
        <v>6449010</v>
      </c>
      <c r="O7" s="13">
        <f>ROUND(O12+O16+O21+O26,2)</f>
        <v>58039010</v>
      </c>
      <c r="P7" s="13">
        <f>ROUND(P12+P16+P21+P26,2)</f>
        <v>19688574.41</v>
      </c>
      <c r="Q7" s="14">
        <f>Q26</f>
        <v>20.32</v>
      </c>
    </row>
    <row r="8" spans="1:17" ht="12.75">
      <c r="A8" s="15">
        <v>2</v>
      </c>
      <c r="B8" s="57" t="s">
        <v>57</v>
      </c>
      <c r="C8" s="17"/>
      <c r="D8" s="58">
        <f>8565000+244714.28</f>
        <v>8809714.28</v>
      </c>
      <c r="E8" s="58"/>
      <c r="F8" s="59">
        <f>205000-4486.19</f>
        <v>200513.81</v>
      </c>
      <c r="G8" s="58"/>
      <c r="H8" s="59">
        <f>970000+28382.63</f>
        <v>998382.63</v>
      </c>
      <c r="I8" s="59"/>
      <c r="J8" s="59">
        <f>65000+2590.27</f>
        <v>67590.27</v>
      </c>
      <c r="K8" s="58"/>
      <c r="L8" s="59">
        <f>52000+2073.05</f>
        <v>54073.05</v>
      </c>
      <c r="M8" s="18"/>
      <c r="N8" s="13">
        <f>ROUND(H8+J8+L8,2)</f>
        <v>1120045.95</v>
      </c>
      <c r="O8" s="13">
        <f>ROUND(D8+F8+N8,2)</f>
        <v>10130274.04</v>
      </c>
      <c r="P8" s="46">
        <v>10130274.04</v>
      </c>
      <c r="Q8" s="91">
        <f>P8-O8</f>
        <v>0</v>
      </c>
    </row>
    <row r="9" spans="1:19" ht="28.5" customHeight="1">
      <c r="A9" s="15">
        <v>3</v>
      </c>
      <c r="B9" s="16" t="s">
        <v>58</v>
      </c>
      <c r="C9" s="17"/>
      <c r="D9" s="58">
        <f>8565000-244714.28-110718.45</f>
        <v>8209567.27</v>
      </c>
      <c r="E9" s="58"/>
      <c r="F9" s="59">
        <f>205000+4486.19-24669.03</f>
        <v>184817.16</v>
      </c>
      <c r="G9" s="58"/>
      <c r="H9" s="59">
        <f>589000-28382.63+484332.8</f>
        <v>1044950.1699999999</v>
      </c>
      <c r="I9" s="59"/>
      <c r="J9" s="59">
        <f>43000-2590.27+25670.49</f>
        <v>66080.22</v>
      </c>
      <c r="K9" s="58"/>
      <c r="L9" s="59">
        <f>42000-2073.05+12938.28</f>
        <v>52865.229999999996</v>
      </c>
      <c r="M9" s="18"/>
      <c r="N9" s="13">
        <f>ROUND(H9+J9+L9,2)</f>
        <v>1163895.62</v>
      </c>
      <c r="O9" s="13">
        <f aca="true" t="shared" si="0" ref="O9:O15">ROUND(D9+F9+N9,2)</f>
        <v>9558280.05</v>
      </c>
      <c r="P9" s="46">
        <v>9558300.37</v>
      </c>
      <c r="Q9" s="91">
        <f>P9-O9</f>
        <v>20.319999998435378</v>
      </c>
      <c r="R9" s="92"/>
      <c r="S9" s="93"/>
    </row>
    <row r="10" spans="1:17" ht="12.75">
      <c r="A10" s="7">
        <v>4</v>
      </c>
      <c r="B10" s="16" t="s">
        <v>30</v>
      </c>
      <c r="C10" s="17"/>
      <c r="D10" s="94">
        <f>8575000+200000-467000+110718.45</f>
        <v>8418718.45</v>
      </c>
      <c r="E10" s="94"/>
      <c r="F10" s="61">
        <f>200000+24669.03+5.96</f>
        <v>224674.99</v>
      </c>
      <c r="G10" s="94"/>
      <c r="H10" s="61">
        <f>1000000+440000-199600-484332.8+5.35+249000</f>
        <v>1005072.5499999999</v>
      </c>
      <c r="I10" s="61"/>
      <c r="J10" s="61">
        <f>70000+30000-21530-25670.49+4.45+21130</f>
        <v>73933.95999999999</v>
      </c>
      <c r="K10" s="94"/>
      <c r="L10" s="61">
        <f>56000+16000+10-21050-12938.28-0.58</f>
        <v>38021.14</v>
      </c>
      <c r="M10" s="27"/>
      <c r="N10" s="13">
        <f>ROUND(H10+J10+L10,2)</f>
        <v>1117027.65</v>
      </c>
      <c r="O10" s="13">
        <f t="shared" si="0"/>
        <v>9760421.09</v>
      </c>
      <c r="P10" s="46"/>
      <c r="Q10" s="19"/>
    </row>
    <row r="11" spans="1:17" ht="12.75">
      <c r="A11" s="7" t="s">
        <v>23</v>
      </c>
      <c r="B11" s="57" t="s">
        <v>59</v>
      </c>
      <c r="C11" s="17"/>
      <c r="D11" s="94">
        <v>0</v>
      </c>
      <c r="E11" s="94">
        <v>690</v>
      </c>
      <c r="F11" s="61">
        <f>690-5.96</f>
        <v>684.04</v>
      </c>
      <c r="G11" s="94">
        <v>131410</v>
      </c>
      <c r="H11" s="61">
        <f>131410-5.35</f>
        <v>131404.65</v>
      </c>
      <c r="I11" s="61">
        <v>6660</v>
      </c>
      <c r="J11" s="61">
        <f>6660-4.45</f>
        <v>6655.55</v>
      </c>
      <c r="K11" s="94">
        <v>5330</v>
      </c>
      <c r="L11" s="61">
        <f>5330+0.58</f>
        <v>5330.58</v>
      </c>
      <c r="M11" s="27"/>
      <c r="N11" s="13">
        <f>ROUND(H11+J11+L11,2)</f>
        <v>143390.78</v>
      </c>
      <c r="O11" s="13">
        <f>ROUND(D11+F11+N11,2)</f>
        <v>144074.82</v>
      </c>
      <c r="P11" s="46"/>
      <c r="Q11" s="19"/>
    </row>
    <row r="12" spans="1:17" s="1" customFormat="1" ht="12.75">
      <c r="A12" s="20" t="s">
        <v>4</v>
      </c>
      <c r="B12" s="35" t="s">
        <v>31</v>
      </c>
      <c r="C12" s="13">
        <f>17130000+8308000</f>
        <v>25438000</v>
      </c>
      <c r="D12" s="95">
        <f>SUM(D8:D11)</f>
        <v>25437999.999999996</v>
      </c>
      <c r="E12" s="95">
        <f>410000+200690</f>
        <v>610690</v>
      </c>
      <c r="F12" s="95">
        <f>SUM(F8:F11)</f>
        <v>610690</v>
      </c>
      <c r="G12" s="95">
        <f>1559000+1371810+249000</f>
        <v>3179810</v>
      </c>
      <c r="H12" s="95">
        <f>SUM(H8:H11)</f>
        <v>3179809.9999999995</v>
      </c>
      <c r="I12" s="95">
        <f>108000+85130+21130</f>
        <v>214260</v>
      </c>
      <c r="J12" s="95">
        <f>SUM(J8:J11)</f>
        <v>214259.99999999997</v>
      </c>
      <c r="K12" s="95">
        <f>94000+56290</f>
        <v>150290</v>
      </c>
      <c r="L12" s="95">
        <f>SUM(L8:L11)</f>
        <v>150289.99999999997</v>
      </c>
      <c r="M12" s="13">
        <f>ROUND(G12+I12+K12,2)</f>
        <v>3544360</v>
      </c>
      <c r="N12" s="12">
        <f>SUM(N8:N11)</f>
        <v>3544360</v>
      </c>
      <c r="O12" s="12">
        <f>SUM(O8:O11)</f>
        <v>29593050</v>
      </c>
      <c r="P12" s="12">
        <f>SUM(P8:P10)</f>
        <v>19688574.409999996</v>
      </c>
      <c r="Q12" s="21">
        <f>SUM(Q8:Q10)</f>
        <v>20.319999998435378</v>
      </c>
    </row>
    <row r="13" spans="1:17" ht="12.75">
      <c r="A13" s="15">
        <v>6</v>
      </c>
      <c r="B13" s="22" t="s">
        <v>32</v>
      </c>
      <c r="C13" s="17"/>
      <c r="D13" s="94">
        <v>8575000</v>
      </c>
      <c r="E13" s="94"/>
      <c r="F13" s="61">
        <f>205000+4310</f>
        <v>209310</v>
      </c>
      <c r="G13" s="94"/>
      <c r="H13" s="61">
        <v>1000000</v>
      </c>
      <c r="I13" s="61"/>
      <c r="J13" s="61">
        <v>70000</v>
      </c>
      <c r="K13" s="94"/>
      <c r="L13" s="61">
        <v>56000</v>
      </c>
      <c r="M13" s="18"/>
      <c r="N13" s="13">
        <f>ROUND(H13+J13+L13,2)</f>
        <v>1126000</v>
      </c>
      <c r="O13" s="13">
        <f t="shared" si="0"/>
        <v>9910310</v>
      </c>
      <c r="P13" s="46"/>
      <c r="Q13" s="45"/>
    </row>
    <row r="14" spans="1:17" ht="12.75">
      <c r="A14" s="15">
        <v>7</v>
      </c>
      <c r="B14" s="16" t="s">
        <v>33</v>
      </c>
      <c r="C14" s="17"/>
      <c r="D14" s="94">
        <v>8575000</v>
      </c>
      <c r="E14" s="94"/>
      <c r="F14" s="61">
        <v>205000</v>
      </c>
      <c r="G14" s="94"/>
      <c r="H14" s="61">
        <v>1000000</v>
      </c>
      <c r="I14" s="61"/>
      <c r="J14" s="61">
        <v>70000</v>
      </c>
      <c r="K14" s="94"/>
      <c r="L14" s="61">
        <v>56000</v>
      </c>
      <c r="M14" s="18"/>
      <c r="N14" s="13">
        <f>ROUND(H14+J14+L14,2)</f>
        <v>1126000</v>
      </c>
      <c r="O14" s="13">
        <f t="shared" si="0"/>
        <v>9906000</v>
      </c>
      <c r="P14" s="46"/>
      <c r="Q14" s="45"/>
    </row>
    <row r="15" spans="1:17" s="4" customFormat="1" ht="12.75">
      <c r="A15" s="15">
        <v>8</v>
      </c>
      <c r="B15" s="23" t="s">
        <v>34</v>
      </c>
      <c r="C15" s="24"/>
      <c r="D15" s="94">
        <f>7305000+467000</f>
        <v>7772000</v>
      </c>
      <c r="E15" s="94"/>
      <c r="F15" s="61">
        <v>205000</v>
      </c>
      <c r="G15" s="94"/>
      <c r="H15" s="61">
        <f>404920+199600</f>
        <v>604520</v>
      </c>
      <c r="I15" s="61"/>
      <c r="J15" s="61">
        <f>5000+21530</f>
        <v>26530</v>
      </c>
      <c r="K15" s="94"/>
      <c r="L15" s="61">
        <f>550+21050</f>
        <v>21600</v>
      </c>
      <c r="M15" s="27"/>
      <c r="N15" s="13">
        <f>ROUND(H15+J15+L15,2)</f>
        <v>652650</v>
      </c>
      <c r="O15" s="13">
        <f t="shared" si="0"/>
        <v>8629650</v>
      </c>
      <c r="P15" s="46"/>
      <c r="Q15" s="45"/>
    </row>
    <row r="16" spans="1:17" ht="12.75">
      <c r="A16" s="25" t="s">
        <v>5</v>
      </c>
      <c r="B16" s="26" t="s">
        <v>35</v>
      </c>
      <c r="C16" s="13">
        <v>24922000</v>
      </c>
      <c r="D16" s="12">
        <f>SUM(D13:D15)</f>
        <v>24922000</v>
      </c>
      <c r="E16" s="12">
        <v>619310</v>
      </c>
      <c r="F16" s="12">
        <f>SUM(F13:F15)</f>
        <v>619310</v>
      </c>
      <c r="G16" s="12">
        <v>2604520</v>
      </c>
      <c r="H16" s="12">
        <f>SUM(H13:H15)</f>
        <v>2604520</v>
      </c>
      <c r="I16" s="12">
        <v>166530</v>
      </c>
      <c r="J16" s="12">
        <f>SUM(J13:J15)</f>
        <v>166530</v>
      </c>
      <c r="K16" s="12">
        <v>133600</v>
      </c>
      <c r="L16" s="12">
        <f>SUM(L13:L15)</f>
        <v>133600</v>
      </c>
      <c r="M16" s="13">
        <f>ROUND(G16+I16+K16,2)</f>
        <v>2904650</v>
      </c>
      <c r="N16" s="12">
        <f>SUM(N13:N15)</f>
        <v>2904650</v>
      </c>
      <c r="O16" s="12">
        <f>SUM(O13:O15)</f>
        <v>28445960</v>
      </c>
      <c r="P16" s="12">
        <f>SUM(P13:P15)</f>
        <v>0</v>
      </c>
      <c r="Q16" s="21">
        <f>SUM(Q12:Q15)</f>
        <v>20.319999998435378</v>
      </c>
    </row>
    <row r="17" spans="1:17" s="1" customFormat="1" ht="12.75">
      <c r="A17" s="20" t="s">
        <v>6</v>
      </c>
      <c r="B17" s="26" t="s">
        <v>36</v>
      </c>
      <c r="C17" s="13">
        <f aca="true" t="shared" si="1" ref="C17:P17">C12+C16</f>
        <v>50360000</v>
      </c>
      <c r="D17" s="12">
        <f t="shared" si="1"/>
        <v>50360000</v>
      </c>
      <c r="E17" s="13">
        <f>E12+E16</f>
        <v>1230000</v>
      </c>
      <c r="F17" s="12">
        <f t="shared" si="1"/>
        <v>1230000</v>
      </c>
      <c r="G17" s="13">
        <f t="shared" si="1"/>
        <v>5784330</v>
      </c>
      <c r="H17" s="12">
        <f t="shared" si="1"/>
        <v>5784330</v>
      </c>
      <c r="I17" s="13">
        <f t="shared" si="1"/>
        <v>380790</v>
      </c>
      <c r="J17" s="12">
        <f t="shared" si="1"/>
        <v>380790</v>
      </c>
      <c r="K17" s="13">
        <f t="shared" si="1"/>
        <v>283890</v>
      </c>
      <c r="L17" s="12">
        <f t="shared" si="1"/>
        <v>283890</v>
      </c>
      <c r="M17" s="12">
        <f t="shared" si="1"/>
        <v>6449010</v>
      </c>
      <c r="N17" s="12">
        <f t="shared" si="1"/>
        <v>6449010</v>
      </c>
      <c r="O17" s="12">
        <f>ROUND(O12+O16,2)</f>
        <v>58039010</v>
      </c>
      <c r="P17" s="12">
        <f t="shared" si="1"/>
        <v>19688574.409999996</v>
      </c>
      <c r="Q17" s="21">
        <f>ROUND(Q16,2)</f>
        <v>20.32</v>
      </c>
    </row>
    <row r="18" spans="1:18" ht="12.75">
      <c r="A18" s="15">
        <v>11</v>
      </c>
      <c r="B18" s="23" t="s">
        <v>37</v>
      </c>
      <c r="C18" s="17"/>
      <c r="D18" s="58"/>
      <c r="E18" s="58"/>
      <c r="F18" s="59"/>
      <c r="G18" s="58"/>
      <c r="H18" s="60"/>
      <c r="I18" s="59"/>
      <c r="J18" s="60"/>
      <c r="K18" s="58"/>
      <c r="L18" s="60"/>
      <c r="M18" s="60"/>
      <c r="N18" s="13">
        <f>ROUND(H18+J18+L18,2)</f>
        <v>0</v>
      </c>
      <c r="O18" s="13">
        <f>ROUND(D18+F18+N18,2)</f>
        <v>0</v>
      </c>
      <c r="P18" s="46"/>
      <c r="Q18" s="45"/>
      <c r="R18" s="68"/>
    </row>
    <row r="19" spans="1:17" ht="12.75">
      <c r="A19" s="15">
        <v>12</v>
      </c>
      <c r="B19" s="23" t="s">
        <v>38</v>
      </c>
      <c r="C19" s="17"/>
      <c r="D19" s="58"/>
      <c r="E19" s="59"/>
      <c r="F19" s="59"/>
      <c r="G19" s="59"/>
      <c r="H19" s="61"/>
      <c r="I19" s="61"/>
      <c r="J19" s="61"/>
      <c r="K19" s="61"/>
      <c r="L19" s="61"/>
      <c r="M19" s="18"/>
      <c r="N19" s="13">
        <f>ROUND(H19+J19+L19,2)</f>
        <v>0</v>
      </c>
      <c r="O19" s="13">
        <f>ROUND(D19+F19+N19,2)</f>
        <v>0</v>
      </c>
      <c r="P19" s="46"/>
      <c r="Q19" s="45"/>
    </row>
    <row r="20" spans="1:17" ht="12.75">
      <c r="A20" s="15">
        <v>13</v>
      </c>
      <c r="B20" s="62" t="s">
        <v>39</v>
      </c>
      <c r="C20" s="18"/>
      <c r="D20" s="60"/>
      <c r="E20" s="61"/>
      <c r="F20" s="61"/>
      <c r="G20" s="59"/>
      <c r="H20" s="67"/>
      <c r="I20" s="63"/>
      <c r="J20" s="61"/>
      <c r="K20" s="61"/>
      <c r="L20" s="61"/>
      <c r="M20" s="18"/>
      <c r="N20" s="13">
        <f>ROUND(H20+J20+L20,2)</f>
        <v>0</v>
      </c>
      <c r="O20" s="13">
        <f>ROUND(D20+F20+N20,2)</f>
        <v>0</v>
      </c>
      <c r="P20" s="46"/>
      <c r="Q20" s="45"/>
    </row>
    <row r="21" spans="1:17" s="1" customFormat="1" ht="12.75">
      <c r="A21" s="20" t="s">
        <v>7</v>
      </c>
      <c r="B21" s="26" t="s">
        <v>40</v>
      </c>
      <c r="C21" s="13">
        <v>0</v>
      </c>
      <c r="D21" s="12">
        <f>ROUND(D18+D19+D20,2)</f>
        <v>0</v>
      </c>
      <c r="E21" s="13"/>
      <c r="F21" s="12">
        <f>ROUND(F18+F19+F20,2)</f>
        <v>0</v>
      </c>
      <c r="G21" s="13"/>
      <c r="H21" s="12">
        <f>ROUND(H18+H19+H20,2)</f>
        <v>0</v>
      </c>
      <c r="I21" s="12"/>
      <c r="J21" s="12">
        <f>ROUND(J18+J19+J20,2)</f>
        <v>0</v>
      </c>
      <c r="K21" s="13"/>
      <c r="L21" s="12">
        <f>ROUND(L18+L19+L20,2)</f>
        <v>0</v>
      </c>
      <c r="M21" s="13">
        <f>ROUND(G21+I21+K21,2)</f>
        <v>0</v>
      </c>
      <c r="N21" s="12">
        <f>ROUND(N18+N19+N20,2)</f>
        <v>0</v>
      </c>
      <c r="O21" s="12">
        <f>ROUND(O18+O19+O20,2)</f>
        <v>0</v>
      </c>
      <c r="P21" s="12">
        <f>ROUND(P18+P19+P20,2)</f>
        <v>0</v>
      </c>
      <c r="Q21" s="21">
        <f>SUM(Q17:Q20)</f>
        <v>20.32</v>
      </c>
    </row>
    <row r="22" spans="1:17" s="1" customFormat="1" ht="12.75">
      <c r="A22" s="20" t="s">
        <v>8</v>
      </c>
      <c r="B22" s="26" t="s">
        <v>41</v>
      </c>
      <c r="C22" s="13">
        <f>C17+C21</f>
        <v>50360000</v>
      </c>
      <c r="D22" s="12">
        <f>ROUND(D17+D21,2)</f>
        <v>50360000</v>
      </c>
      <c r="E22" s="13">
        <f>E17+E21</f>
        <v>1230000</v>
      </c>
      <c r="F22" s="12">
        <f>ROUND(F17+F21,2)</f>
        <v>1230000</v>
      </c>
      <c r="G22" s="13">
        <f>G17+G21</f>
        <v>5784330</v>
      </c>
      <c r="H22" s="12">
        <f>ROUND(H17+H21,2)</f>
        <v>5784330</v>
      </c>
      <c r="I22" s="13">
        <f>I17+I21</f>
        <v>380790</v>
      </c>
      <c r="J22" s="12">
        <f>ROUND(J17+J21,2)</f>
        <v>380790</v>
      </c>
      <c r="K22" s="13">
        <f>K17+K21</f>
        <v>283890</v>
      </c>
      <c r="L22" s="12">
        <f>ROUND(L17+L21,2)</f>
        <v>283890</v>
      </c>
      <c r="M22" s="12">
        <f>ROUND(M17+M21,2)</f>
        <v>6449010</v>
      </c>
      <c r="N22" s="12">
        <f>ROUND(N17+N21,2)</f>
        <v>6449010</v>
      </c>
      <c r="O22" s="12">
        <f>ROUND(O17+O21,2)</f>
        <v>58039010</v>
      </c>
      <c r="P22" s="12">
        <f>ROUND(P17+P21,2)</f>
        <v>19688574.41</v>
      </c>
      <c r="Q22" s="21">
        <f>Q21</f>
        <v>20.32</v>
      </c>
    </row>
    <row r="23" spans="1:17" ht="12.75">
      <c r="A23" s="15">
        <v>16</v>
      </c>
      <c r="B23" s="47" t="s">
        <v>42</v>
      </c>
      <c r="C23" s="18"/>
      <c r="D23" s="64"/>
      <c r="E23" s="65"/>
      <c r="F23" s="65"/>
      <c r="G23" s="65"/>
      <c r="H23" s="64"/>
      <c r="I23" s="64"/>
      <c r="J23" s="64"/>
      <c r="K23" s="64"/>
      <c r="L23" s="67"/>
      <c r="M23" s="36"/>
      <c r="N23" s="13">
        <f>ROUND(H23+J23+L23,2)</f>
        <v>0</v>
      </c>
      <c r="O23" s="13">
        <f>ROUND(D23+F23+N23,2)</f>
        <v>0</v>
      </c>
      <c r="P23" s="46"/>
      <c r="Q23" s="45"/>
    </row>
    <row r="24" spans="1:18" ht="12.75">
      <c r="A24" s="15">
        <v>17</v>
      </c>
      <c r="B24" s="47" t="s">
        <v>43</v>
      </c>
      <c r="C24" s="18"/>
      <c r="D24" s="61"/>
      <c r="E24" s="64"/>
      <c r="F24" s="65"/>
      <c r="G24" s="64"/>
      <c r="H24" s="64"/>
      <c r="I24" s="64"/>
      <c r="J24" s="64"/>
      <c r="K24" s="64"/>
      <c r="L24" s="61"/>
      <c r="M24" s="36"/>
      <c r="N24" s="13">
        <f>ROUND(H24+J24+L24,2)</f>
        <v>0</v>
      </c>
      <c r="O24" s="13">
        <f>ROUND(D24+F24+N24,2)</f>
        <v>0</v>
      </c>
      <c r="P24" s="46"/>
      <c r="Q24" s="45"/>
      <c r="R24" s="68"/>
    </row>
    <row r="25" spans="1:17" ht="12.75">
      <c r="A25" s="15">
        <v>18</v>
      </c>
      <c r="B25" s="47" t="s">
        <v>44</v>
      </c>
      <c r="C25" s="18"/>
      <c r="D25" s="61"/>
      <c r="E25" s="65"/>
      <c r="F25" s="64"/>
      <c r="G25" s="65"/>
      <c r="H25" s="61"/>
      <c r="I25" s="64"/>
      <c r="J25" s="61"/>
      <c r="K25" s="64"/>
      <c r="L25" s="61"/>
      <c r="M25" s="36"/>
      <c r="N25" s="13">
        <f>ROUND(H25+J25+L25,2)</f>
        <v>0</v>
      </c>
      <c r="O25" s="13">
        <f>ROUND(D25+F25+N25,2)</f>
        <v>0</v>
      </c>
      <c r="P25" s="18"/>
      <c r="Q25" s="45"/>
    </row>
    <row r="26" spans="1:17" ht="12.75">
      <c r="A26" s="20" t="s">
        <v>9</v>
      </c>
      <c r="B26" s="69" t="s">
        <v>45</v>
      </c>
      <c r="C26" s="13">
        <v>0</v>
      </c>
      <c r="D26" s="13">
        <f>D23+D24+D25</f>
        <v>0</v>
      </c>
      <c r="E26" s="13"/>
      <c r="F26" s="13">
        <f>F23+F24+F25</f>
        <v>0</v>
      </c>
      <c r="G26" s="13"/>
      <c r="H26" s="13">
        <f>H23+H24+H25</f>
        <v>0</v>
      </c>
      <c r="I26" s="13"/>
      <c r="J26" s="13">
        <f>J23+J24+J25</f>
        <v>0</v>
      </c>
      <c r="K26" s="13"/>
      <c r="L26" s="13">
        <f>L23+L24+L25</f>
        <v>0</v>
      </c>
      <c r="M26" s="13">
        <f>ROUND(G26+I26+K26,2)</f>
        <v>0</v>
      </c>
      <c r="N26" s="13">
        <f>N23+N24+N25</f>
        <v>0</v>
      </c>
      <c r="O26" s="13">
        <f>ROUND(O23+O24+O25,2)</f>
        <v>0</v>
      </c>
      <c r="P26" s="13">
        <f>P23+P24+P25</f>
        <v>0</v>
      </c>
      <c r="Q26" s="14">
        <f>Q22+Q23+Q24+Q25</f>
        <v>20.32</v>
      </c>
    </row>
    <row r="27" spans="1:17" ht="25.5">
      <c r="A27" s="20" t="s">
        <v>10</v>
      </c>
      <c r="B27" s="69" t="s">
        <v>46</v>
      </c>
      <c r="C27" s="13">
        <f aca="true" t="shared" si="2" ref="C27:P27">ROUND(C12+C16+C21+C26,2)</f>
        <v>50360000</v>
      </c>
      <c r="D27" s="13">
        <f t="shared" si="2"/>
        <v>50360000</v>
      </c>
      <c r="E27" s="13">
        <f t="shared" si="2"/>
        <v>1230000</v>
      </c>
      <c r="F27" s="13">
        <f t="shared" si="2"/>
        <v>1230000</v>
      </c>
      <c r="G27" s="13">
        <f t="shared" si="2"/>
        <v>5784330</v>
      </c>
      <c r="H27" s="13">
        <f t="shared" si="2"/>
        <v>5784330</v>
      </c>
      <c r="I27" s="13">
        <f t="shared" si="2"/>
        <v>380790</v>
      </c>
      <c r="J27" s="13">
        <f t="shared" si="2"/>
        <v>380790</v>
      </c>
      <c r="K27" s="13">
        <f t="shared" si="2"/>
        <v>283890</v>
      </c>
      <c r="L27" s="13">
        <f t="shared" si="2"/>
        <v>283890</v>
      </c>
      <c r="M27" s="13">
        <f t="shared" si="2"/>
        <v>6449010</v>
      </c>
      <c r="N27" s="13">
        <f t="shared" si="2"/>
        <v>6449010</v>
      </c>
      <c r="O27" s="13">
        <f t="shared" si="2"/>
        <v>58039010</v>
      </c>
      <c r="P27" s="13">
        <f t="shared" si="2"/>
        <v>19688574.41</v>
      </c>
      <c r="Q27" s="14">
        <f>Q26</f>
        <v>20.32</v>
      </c>
    </row>
    <row r="28" spans="1:18" ht="25.5">
      <c r="A28" s="96" t="s">
        <v>60</v>
      </c>
      <c r="B28" s="28" t="s">
        <v>47</v>
      </c>
      <c r="C28" s="28"/>
      <c r="D28" s="33">
        <f>ROUND(D8+D9+D11,2)</f>
        <v>17019281.55</v>
      </c>
      <c r="E28" s="33"/>
      <c r="F28" s="33">
        <f>ROUND(F8+F9+F11,2)</f>
        <v>386015.01</v>
      </c>
      <c r="G28" s="27"/>
      <c r="H28" s="33">
        <f>ROUND(H8+H9+H11,2)</f>
        <v>2174737.45</v>
      </c>
      <c r="I28" s="33"/>
      <c r="J28" s="33">
        <f>ROUND(J8+J9+J11,2)</f>
        <v>140326.04</v>
      </c>
      <c r="K28" s="27"/>
      <c r="L28" s="33">
        <f>ROUND(L8+L9+L11,2)</f>
        <v>112268.86</v>
      </c>
      <c r="M28" s="33"/>
      <c r="N28" s="13">
        <f aca="true" t="shared" si="3" ref="N28:N35">ROUND(H28+J28+L28,2)</f>
        <v>2427332.35</v>
      </c>
      <c r="O28" s="13">
        <f aca="true" t="shared" si="4" ref="O28:O35">ROUND(D28+F28+N28,2)</f>
        <v>19832628.91</v>
      </c>
      <c r="P28" s="33">
        <f>ROUND(P8+P9+P10+P13+P14+P15+P18+P19+P20+P23+P24+P25,2)</f>
        <v>19688574.41</v>
      </c>
      <c r="Q28" s="45"/>
      <c r="R28" s="68"/>
    </row>
    <row r="29" spans="1:17" ht="12.75">
      <c r="A29" s="15" t="s">
        <v>11</v>
      </c>
      <c r="B29" s="29" t="s">
        <v>48</v>
      </c>
      <c r="C29" s="29"/>
      <c r="D29" s="33">
        <f>ROUND(D7-D28,2)</f>
        <v>33340718.45</v>
      </c>
      <c r="E29" s="33"/>
      <c r="F29" s="33">
        <f>ROUND(F7-F28,2)</f>
        <v>843984.99</v>
      </c>
      <c r="G29" s="27"/>
      <c r="H29" s="33">
        <f>ROUND(H7-H28,2)</f>
        <v>3609592.55</v>
      </c>
      <c r="I29" s="33"/>
      <c r="J29" s="33">
        <f>ROUND(J7-J28,2)</f>
        <v>240463.96</v>
      </c>
      <c r="K29" s="27"/>
      <c r="L29" s="33">
        <f>ROUND(L7-L28,2)</f>
        <v>171621.14</v>
      </c>
      <c r="M29" s="33"/>
      <c r="N29" s="13">
        <f t="shared" si="3"/>
        <v>4021677.65</v>
      </c>
      <c r="O29" s="13">
        <f t="shared" si="4"/>
        <v>38206381.09</v>
      </c>
      <c r="P29" s="33"/>
      <c r="Q29" s="44"/>
    </row>
    <row r="30" spans="1:17" s="102" customFormat="1" ht="12.75">
      <c r="A30" s="97" t="s">
        <v>61</v>
      </c>
      <c r="B30" s="98" t="s">
        <v>62</v>
      </c>
      <c r="C30" s="98"/>
      <c r="D30" s="99">
        <f>D7-D17</f>
        <v>0</v>
      </c>
      <c r="E30" s="99"/>
      <c r="F30" s="99">
        <f>F7-F17</f>
        <v>0</v>
      </c>
      <c r="G30" s="99"/>
      <c r="H30" s="99">
        <f>H7-H17</f>
        <v>0</v>
      </c>
      <c r="I30" s="99"/>
      <c r="J30" s="99">
        <f>J7-J17</f>
        <v>0</v>
      </c>
      <c r="K30" s="99"/>
      <c r="L30" s="99">
        <f>L7-L17</f>
        <v>0</v>
      </c>
      <c r="M30" s="99"/>
      <c r="N30" s="100">
        <f t="shared" si="3"/>
        <v>0</v>
      </c>
      <c r="O30" s="100">
        <f t="shared" si="4"/>
        <v>0</v>
      </c>
      <c r="P30" s="99"/>
      <c r="Q30" s="101"/>
    </row>
    <row r="31" spans="1:17" s="54" customFormat="1" ht="12.75">
      <c r="A31" s="103">
        <v>24</v>
      </c>
      <c r="B31" s="51" t="s">
        <v>63</v>
      </c>
      <c r="C31" s="51"/>
      <c r="D31" s="52">
        <v>0</v>
      </c>
      <c r="E31" s="52"/>
      <c r="F31" s="52">
        <v>0</v>
      </c>
      <c r="G31" s="52"/>
      <c r="H31" s="52">
        <v>0</v>
      </c>
      <c r="I31" s="52"/>
      <c r="J31" s="52">
        <v>0</v>
      </c>
      <c r="K31" s="52"/>
      <c r="L31" s="52">
        <v>0</v>
      </c>
      <c r="M31" s="52"/>
      <c r="N31" s="53">
        <f t="shared" si="3"/>
        <v>0</v>
      </c>
      <c r="O31" s="53">
        <f t="shared" si="4"/>
        <v>0</v>
      </c>
      <c r="P31" s="52"/>
      <c r="Q31" s="66"/>
    </row>
    <row r="32" spans="1:17" ht="12.75">
      <c r="A32" s="104">
        <v>25</v>
      </c>
      <c r="B32" s="28" t="s">
        <v>49</v>
      </c>
      <c r="C32" s="28"/>
      <c r="D32" s="46">
        <v>7980939.34</v>
      </c>
      <c r="E32" s="46"/>
      <c r="F32" s="46">
        <v>193807</v>
      </c>
      <c r="G32" s="18"/>
      <c r="H32" s="46">
        <v>740894.55</v>
      </c>
      <c r="I32" s="18"/>
      <c r="J32" s="46">
        <v>48830.46</v>
      </c>
      <c r="K32" s="18"/>
      <c r="L32" s="46">
        <v>39062.55</v>
      </c>
      <c r="M32" s="18"/>
      <c r="N32" s="13">
        <f t="shared" si="3"/>
        <v>828787.56</v>
      </c>
      <c r="O32" s="13">
        <f t="shared" si="4"/>
        <v>9003533.9</v>
      </c>
      <c r="P32" s="33"/>
      <c r="Q32" s="44"/>
    </row>
    <row r="33" spans="1:17" ht="25.5">
      <c r="A33" s="104" t="s">
        <v>64</v>
      </c>
      <c r="B33" s="28" t="s">
        <v>50</v>
      </c>
      <c r="C33" s="28"/>
      <c r="D33" s="46">
        <f>ROUND((D28+D31-D11)/2,2)</f>
        <v>8509640.78</v>
      </c>
      <c r="E33" s="46"/>
      <c r="F33" s="46">
        <f>ROUND((F28+F31-F11)/2,2)</f>
        <v>192665.49</v>
      </c>
      <c r="G33" s="18"/>
      <c r="H33" s="46">
        <f>ROUND((H28+H31-H11)/2,2)</f>
        <v>1021666.4</v>
      </c>
      <c r="I33" s="18"/>
      <c r="J33" s="46">
        <f>ROUND((J28+J31-J11)/2,2)</f>
        <v>66835.25</v>
      </c>
      <c r="K33" s="18"/>
      <c r="L33" s="46">
        <f>ROUND((L28+L31-L11)/2,2)</f>
        <v>53469.14</v>
      </c>
      <c r="M33" s="18"/>
      <c r="N33" s="13">
        <f t="shared" si="3"/>
        <v>1141970.79</v>
      </c>
      <c r="O33" s="13">
        <f t="shared" si="4"/>
        <v>9844277.06</v>
      </c>
      <c r="P33" s="46"/>
      <c r="Q33" s="44"/>
    </row>
    <row r="34" spans="1:17" ht="25.5">
      <c r="A34" s="104" t="s">
        <v>65</v>
      </c>
      <c r="B34" s="28" t="s">
        <v>51</v>
      </c>
      <c r="C34" s="70"/>
      <c r="D34" s="71">
        <f>ROUND(D33*12-D7,2)</f>
        <v>51755689.36</v>
      </c>
      <c r="E34" s="70"/>
      <c r="F34" s="71">
        <f>ROUND(F33*12-F7,2)</f>
        <v>1081985.88</v>
      </c>
      <c r="G34" s="70"/>
      <c r="H34" s="71">
        <f>ROUND(H33*12-H7,2)</f>
        <v>6475666.8</v>
      </c>
      <c r="I34" s="70"/>
      <c r="J34" s="71">
        <f>ROUND(J33*12-J7,2)</f>
        <v>421233</v>
      </c>
      <c r="K34" s="70"/>
      <c r="L34" s="71">
        <f>ROUND(L33*12-L7,2)</f>
        <v>357739.68</v>
      </c>
      <c r="M34" s="70"/>
      <c r="N34" s="13">
        <f t="shared" si="3"/>
        <v>7254639.48</v>
      </c>
      <c r="O34" s="13">
        <f t="shared" si="4"/>
        <v>60092314.72</v>
      </c>
      <c r="P34" s="72"/>
      <c r="Q34" s="44"/>
    </row>
    <row r="35" spans="1:17" ht="25.5" customHeight="1" thickBot="1">
      <c r="A35" s="73" t="s">
        <v>66</v>
      </c>
      <c r="B35" s="74" t="s">
        <v>52</v>
      </c>
      <c r="C35" s="55"/>
      <c r="D35" s="48">
        <f>ROUND(D7+D34,2)</f>
        <v>102115689.36</v>
      </c>
      <c r="E35" s="75"/>
      <c r="F35" s="48">
        <f>ROUND(F7+F34,2)</f>
        <v>2311985.88</v>
      </c>
      <c r="G35" s="75"/>
      <c r="H35" s="48">
        <f>ROUND(H7+H34,2)</f>
        <v>12259996.8</v>
      </c>
      <c r="I35" s="76"/>
      <c r="J35" s="48">
        <f>ROUND(J7+J34,2)</f>
        <v>802023</v>
      </c>
      <c r="K35" s="75"/>
      <c r="L35" s="48">
        <f>ROUND(L7+L34,2)</f>
        <v>641629.68</v>
      </c>
      <c r="M35" s="76"/>
      <c r="N35" s="49">
        <f t="shared" si="3"/>
        <v>13703649.48</v>
      </c>
      <c r="O35" s="49">
        <f t="shared" si="4"/>
        <v>118131324.72</v>
      </c>
      <c r="P35" s="77"/>
      <c r="Q35" s="50"/>
    </row>
    <row r="36" spans="1:14" ht="14.25" customHeight="1">
      <c r="A36" s="78"/>
      <c r="B36" s="79"/>
      <c r="C36" s="80"/>
      <c r="D36" s="81"/>
      <c r="E36" s="82"/>
      <c r="F36" s="83"/>
      <c r="G36" s="81"/>
      <c r="H36" s="83"/>
      <c r="I36" s="83"/>
      <c r="J36" s="83"/>
      <c r="K36" s="81"/>
      <c r="L36" s="83"/>
      <c r="M36" s="31"/>
      <c r="N36" s="31"/>
    </row>
    <row r="37" spans="1:14" ht="14.25" customHeight="1">
      <c r="A37" s="84"/>
      <c r="B37" s="85"/>
      <c r="C37" s="80"/>
      <c r="E37" s="30"/>
      <c r="F37" s="31"/>
      <c r="G37" s="30"/>
      <c r="H37" s="31"/>
      <c r="I37" s="31"/>
      <c r="J37" s="31"/>
      <c r="K37" s="30"/>
      <c r="L37" s="31"/>
      <c r="M37" s="31"/>
      <c r="N37" s="31"/>
    </row>
    <row r="38" spans="5:7" ht="15.75">
      <c r="E38" s="30"/>
      <c r="F38" s="31"/>
      <c r="G38" s="30"/>
    </row>
    <row r="39" spans="5:7" ht="15.75">
      <c r="E39" s="30"/>
      <c r="F39" s="86"/>
      <c r="G39" s="30"/>
    </row>
    <row r="40" spans="3:13" ht="14.25">
      <c r="C40" s="32"/>
      <c r="D40" s="56"/>
      <c r="M40" s="30"/>
    </row>
    <row r="41" spans="3:13" ht="14.25">
      <c r="C41" s="32"/>
      <c r="D41" s="87"/>
      <c r="M41" s="30"/>
    </row>
    <row r="42" ht="14.25">
      <c r="C42" s="32"/>
    </row>
    <row r="43" ht="14.25">
      <c r="C43" s="32"/>
    </row>
    <row r="44" ht="14.25">
      <c r="C44" s="32"/>
    </row>
  </sheetData>
  <sheetProtection/>
  <mergeCells count="3">
    <mergeCell ref="A2:Q2"/>
    <mergeCell ref="A3:Q3"/>
    <mergeCell ref="R9:S9"/>
  </mergeCells>
  <printOptions/>
  <pageMargins left="0.17" right="0.17" top="0.5" bottom="1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2023-04-06T13:22:15Z</cp:lastPrinted>
  <dcterms:created xsi:type="dcterms:W3CDTF">2019-01-29T08:52:26Z</dcterms:created>
  <dcterms:modified xsi:type="dcterms:W3CDTF">2023-04-06T13:22:36Z</dcterms:modified>
  <cp:category/>
  <cp:version/>
  <cp:contentType/>
  <cp:contentStatus/>
</cp:coreProperties>
</file>