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8520"/>
  </bookViews>
  <sheets>
    <sheet name="Foaie1" sheetId="1" r:id="rId1"/>
    <sheet name="Foaie2" sheetId="2" r:id="rId2"/>
    <sheet name="Foaie3" sheetId="3" r:id="rId3"/>
  </sheets>
  <definedNames>
    <definedName name="_xlnm.Print_Titles" localSheetId="0">Foaie1!$A:$B,Foaie1!$5:$6</definedName>
  </definedNames>
  <calcPr calcId="145621"/>
</workbook>
</file>

<file path=xl/calcChain.xml><?xml version="1.0" encoding="utf-8"?>
<calcChain xmlns="http://schemas.openxmlformats.org/spreadsheetml/2006/main">
  <c r="T31" i="1" l="1"/>
  <c r="W31" i="1" s="1"/>
  <c r="L31" i="1"/>
  <c r="F31" i="1"/>
  <c r="W30" i="1"/>
  <c r="X30" i="1" s="1"/>
  <c r="T30" i="1"/>
  <c r="L30" i="1"/>
  <c r="F30" i="1"/>
  <c r="J28" i="1"/>
  <c r="J32" i="1" s="1"/>
  <c r="J27" i="1"/>
  <c r="R26" i="1"/>
  <c r="J26" i="1"/>
  <c r="Y25" i="1"/>
  <c r="V25" i="1"/>
  <c r="V26" i="1" s="1"/>
  <c r="U25" i="1"/>
  <c r="U26" i="1" s="1"/>
  <c r="S25" i="1"/>
  <c r="R25" i="1"/>
  <c r="Q25" i="1"/>
  <c r="P25" i="1"/>
  <c r="O25" i="1"/>
  <c r="N25" i="1"/>
  <c r="N26" i="1" s="1"/>
  <c r="M25" i="1"/>
  <c r="M26" i="1" s="1"/>
  <c r="K25" i="1"/>
  <c r="I25" i="1"/>
  <c r="L25" i="1" s="1"/>
  <c r="H25" i="1"/>
  <c r="H26" i="1" s="1"/>
  <c r="G25" i="1"/>
  <c r="E25" i="1"/>
  <c r="D25" i="1"/>
  <c r="F25" i="1" s="1"/>
  <c r="C25" i="1"/>
  <c r="Y24" i="1"/>
  <c r="V24" i="1"/>
  <c r="U24" i="1"/>
  <c r="S24" i="1"/>
  <c r="R24" i="1"/>
  <c r="Q24" i="1"/>
  <c r="T24" i="1" s="1"/>
  <c r="P24" i="1"/>
  <c r="O24" i="1"/>
  <c r="N24" i="1"/>
  <c r="M24" i="1"/>
  <c r="L24" i="1"/>
  <c r="K24" i="1"/>
  <c r="I24" i="1"/>
  <c r="G24" i="1"/>
  <c r="G26" i="1" s="1"/>
  <c r="E24" i="1"/>
  <c r="D24" i="1"/>
  <c r="F24" i="1" s="1"/>
  <c r="C24" i="1"/>
  <c r="Y23" i="1"/>
  <c r="Y26" i="1" s="1"/>
  <c r="V23" i="1"/>
  <c r="U23" i="1"/>
  <c r="S23" i="1"/>
  <c r="S26" i="1" s="1"/>
  <c r="R23" i="1"/>
  <c r="Q23" i="1"/>
  <c r="P23" i="1"/>
  <c r="P26" i="1" s="1"/>
  <c r="O23" i="1"/>
  <c r="O26" i="1" s="1"/>
  <c r="N23" i="1"/>
  <c r="M23" i="1"/>
  <c r="K23" i="1"/>
  <c r="K26" i="1" s="1"/>
  <c r="I23" i="1"/>
  <c r="I26" i="1" s="1"/>
  <c r="G23" i="1"/>
  <c r="E23" i="1"/>
  <c r="E26" i="1" s="1"/>
  <c r="D23" i="1"/>
  <c r="D26" i="1" s="1"/>
  <c r="C23" i="1"/>
  <c r="Y21" i="1"/>
  <c r="V21" i="1"/>
  <c r="U21" i="1"/>
  <c r="Q21" i="1"/>
  <c r="P21" i="1"/>
  <c r="J21" i="1"/>
  <c r="H21" i="1"/>
  <c r="E21" i="1"/>
  <c r="V20" i="1"/>
  <c r="U20" i="1"/>
  <c r="S20" i="1"/>
  <c r="R20" i="1"/>
  <c r="Q20" i="1"/>
  <c r="P20" i="1"/>
  <c r="O20" i="1"/>
  <c r="T20" i="1" s="1"/>
  <c r="N20" i="1"/>
  <c r="M20" i="1"/>
  <c r="L20" i="1"/>
  <c r="K20" i="1"/>
  <c r="I20" i="1"/>
  <c r="H20" i="1"/>
  <c r="G20" i="1"/>
  <c r="F20" i="1"/>
  <c r="E20" i="1"/>
  <c r="D20" i="1"/>
  <c r="C20" i="1"/>
  <c r="V19" i="1"/>
  <c r="U19" i="1"/>
  <c r="S19" i="1"/>
  <c r="R19" i="1"/>
  <c r="R21" i="1" s="1"/>
  <c r="Q19" i="1"/>
  <c r="P19" i="1"/>
  <c r="O19" i="1"/>
  <c r="N19" i="1"/>
  <c r="N21" i="1" s="1"/>
  <c r="M19" i="1"/>
  <c r="M21" i="1" s="1"/>
  <c r="K19" i="1"/>
  <c r="I19" i="1"/>
  <c r="L19" i="1" s="1"/>
  <c r="H19" i="1"/>
  <c r="G19" i="1"/>
  <c r="E19" i="1"/>
  <c r="D19" i="1"/>
  <c r="F19" i="1" s="1"/>
  <c r="C19" i="1"/>
  <c r="V18" i="1"/>
  <c r="U18" i="1"/>
  <c r="S18" i="1"/>
  <c r="S21" i="1" s="1"/>
  <c r="R18" i="1"/>
  <c r="Q18" i="1"/>
  <c r="P18" i="1"/>
  <c r="T18" i="1" s="1"/>
  <c r="O18" i="1"/>
  <c r="O21" i="1" s="1"/>
  <c r="N18" i="1"/>
  <c r="M18" i="1"/>
  <c r="K18" i="1"/>
  <c r="K21" i="1" s="1"/>
  <c r="I18" i="1"/>
  <c r="H18" i="1"/>
  <c r="H28" i="1" s="1"/>
  <c r="G18" i="1"/>
  <c r="G21" i="1" s="1"/>
  <c r="F18" i="1"/>
  <c r="E18" i="1"/>
  <c r="D18" i="1"/>
  <c r="C18" i="1"/>
  <c r="C21" i="1" s="1"/>
  <c r="O17" i="1"/>
  <c r="Y16" i="1"/>
  <c r="S16" i="1"/>
  <c r="O16" i="1"/>
  <c r="K16" i="1"/>
  <c r="J16" i="1"/>
  <c r="J17" i="1" s="1"/>
  <c r="J22" i="1" s="1"/>
  <c r="H16" i="1"/>
  <c r="G16" i="1"/>
  <c r="V15" i="1"/>
  <c r="U15" i="1"/>
  <c r="R15" i="1"/>
  <c r="Q15" i="1"/>
  <c r="P15" i="1"/>
  <c r="P16" i="1" s="1"/>
  <c r="O15" i="1"/>
  <c r="N15" i="1"/>
  <c r="M15" i="1"/>
  <c r="T15" i="1" s="1"/>
  <c r="L15" i="1"/>
  <c r="K15" i="1"/>
  <c r="I15" i="1"/>
  <c r="G15" i="1"/>
  <c r="F15" i="1"/>
  <c r="E15" i="1"/>
  <c r="D15" i="1"/>
  <c r="C15" i="1"/>
  <c r="W15" i="1" s="1"/>
  <c r="Y14" i="1"/>
  <c r="V14" i="1"/>
  <c r="U14" i="1"/>
  <c r="R14" i="1"/>
  <c r="R28" i="1" s="1"/>
  <c r="R32" i="1" s="1"/>
  <c r="Q14" i="1"/>
  <c r="P14" i="1"/>
  <c r="O14" i="1"/>
  <c r="N14" i="1"/>
  <c r="M14" i="1"/>
  <c r="T14" i="1" s="1"/>
  <c r="K14" i="1"/>
  <c r="I14" i="1"/>
  <c r="L14" i="1" s="1"/>
  <c r="G14" i="1"/>
  <c r="E14" i="1"/>
  <c r="D14" i="1"/>
  <c r="F14" i="1" s="1"/>
  <c r="C14" i="1"/>
  <c r="W14" i="1" s="1"/>
  <c r="V13" i="1"/>
  <c r="V28" i="1" s="1"/>
  <c r="V32" i="1" s="1"/>
  <c r="U13" i="1"/>
  <c r="U16" i="1" s="1"/>
  <c r="R13" i="1"/>
  <c r="Q13" i="1"/>
  <c r="Q16" i="1" s="1"/>
  <c r="P13" i="1"/>
  <c r="O13" i="1"/>
  <c r="N13" i="1"/>
  <c r="T13" i="1" s="1"/>
  <c r="M13" i="1"/>
  <c r="M16" i="1" s="1"/>
  <c r="K13" i="1"/>
  <c r="I13" i="1"/>
  <c r="L13" i="1" s="1"/>
  <c r="G13" i="1"/>
  <c r="E13" i="1"/>
  <c r="E16" i="1" s="1"/>
  <c r="E27" i="1" s="1"/>
  <c r="D13" i="1"/>
  <c r="D16" i="1" s="1"/>
  <c r="C13" i="1"/>
  <c r="Y12" i="1"/>
  <c r="Y17" i="1" s="1"/>
  <c r="Y22" i="1" s="1"/>
  <c r="V12" i="1"/>
  <c r="S12" i="1"/>
  <c r="O12" i="1"/>
  <c r="O27" i="1" s="1"/>
  <c r="J12" i="1"/>
  <c r="H12" i="1"/>
  <c r="E12" i="1"/>
  <c r="D12" i="1"/>
  <c r="T11" i="1"/>
  <c r="L11" i="1"/>
  <c r="G11" i="1"/>
  <c r="F11" i="1"/>
  <c r="W11" i="1" s="1"/>
  <c r="C11" i="1"/>
  <c r="U10" i="1"/>
  <c r="U28" i="1" s="1"/>
  <c r="U32" i="1" s="1"/>
  <c r="R10" i="1"/>
  <c r="Q10" i="1"/>
  <c r="P10" i="1"/>
  <c r="O10" i="1"/>
  <c r="N10" i="1"/>
  <c r="M10" i="1"/>
  <c r="T10" i="1" s="1"/>
  <c r="L10" i="1"/>
  <c r="K10" i="1"/>
  <c r="I10" i="1"/>
  <c r="G10" i="1"/>
  <c r="G12" i="1" s="1"/>
  <c r="F10" i="1"/>
  <c r="D10" i="1"/>
  <c r="C10" i="1"/>
  <c r="U9" i="1"/>
  <c r="U12" i="1" s="1"/>
  <c r="R9" i="1"/>
  <c r="Q9" i="1"/>
  <c r="P9" i="1"/>
  <c r="O9" i="1"/>
  <c r="N9" i="1"/>
  <c r="T9" i="1" s="1"/>
  <c r="M9" i="1"/>
  <c r="K9" i="1"/>
  <c r="K28" i="1" s="1"/>
  <c r="K32" i="1" s="1"/>
  <c r="I9" i="1"/>
  <c r="G9" i="1"/>
  <c r="D9" i="1"/>
  <c r="F9" i="1" s="1"/>
  <c r="C9" i="1"/>
  <c r="U8" i="1"/>
  <c r="R8" i="1"/>
  <c r="R12" i="1" s="1"/>
  <c r="Q8" i="1"/>
  <c r="Q12" i="1" s="1"/>
  <c r="P8" i="1"/>
  <c r="P28" i="1" s="1"/>
  <c r="P32" i="1" s="1"/>
  <c r="O8" i="1"/>
  <c r="O28" i="1" s="1"/>
  <c r="N8" i="1"/>
  <c r="N28" i="1" s="1"/>
  <c r="M8" i="1"/>
  <c r="T8" i="1" s="1"/>
  <c r="L8" i="1"/>
  <c r="K8" i="1"/>
  <c r="I8" i="1"/>
  <c r="I12" i="1" s="1"/>
  <c r="G8" i="1"/>
  <c r="G28" i="1" s="1"/>
  <c r="F8" i="1"/>
  <c r="F12" i="1" s="1"/>
  <c r="D8" i="1"/>
  <c r="C8" i="1"/>
  <c r="C12" i="1" s="1"/>
  <c r="V7" i="1"/>
  <c r="U7" i="1"/>
  <c r="S7" i="1"/>
  <c r="R7" i="1"/>
  <c r="R29" i="1" s="1"/>
  <c r="Q7" i="1"/>
  <c r="P7" i="1"/>
  <c r="O7" i="1"/>
  <c r="N7" i="1"/>
  <c r="M7" i="1"/>
  <c r="K7" i="1"/>
  <c r="I7" i="1"/>
  <c r="G7" i="1"/>
  <c r="F7" i="1"/>
  <c r="E7" i="1"/>
  <c r="D7" i="1"/>
  <c r="C7" i="1"/>
  <c r="T21" i="1" l="1"/>
  <c r="W24" i="1"/>
  <c r="X24" i="1" s="1"/>
  <c r="Z24" i="1" s="1"/>
  <c r="T12" i="1"/>
  <c r="S27" i="1"/>
  <c r="K29" i="1"/>
  <c r="X14" i="1"/>
  <c r="Z14" i="1" s="1"/>
  <c r="N32" i="1"/>
  <c r="N29" i="1"/>
  <c r="O22" i="1"/>
  <c r="G29" i="1"/>
  <c r="G32" i="1"/>
  <c r="X20" i="1"/>
  <c r="Z20" i="1" s="1"/>
  <c r="Z21" i="1" s="1"/>
  <c r="Z22" i="1" s="1"/>
  <c r="X15" i="1"/>
  <c r="Z15" i="1" s="1"/>
  <c r="Q27" i="1"/>
  <c r="Q17" i="1"/>
  <c r="Q22" i="1" s="1"/>
  <c r="T16" i="1"/>
  <c r="F21" i="1"/>
  <c r="G27" i="1"/>
  <c r="G17" i="1"/>
  <c r="G22" i="1" s="1"/>
  <c r="L16" i="1"/>
  <c r="P29" i="1"/>
  <c r="X11" i="1"/>
  <c r="Z11" i="1" s="1"/>
  <c r="U29" i="1"/>
  <c r="W9" i="1"/>
  <c r="E17" i="1"/>
  <c r="E22" i="1" s="1"/>
  <c r="W20" i="1"/>
  <c r="H27" i="1"/>
  <c r="H32" i="1"/>
  <c r="H29" i="1"/>
  <c r="X8" i="1"/>
  <c r="O32" i="1"/>
  <c r="O29" i="1"/>
  <c r="U27" i="1"/>
  <c r="U17" i="1"/>
  <c r="U22" i="1" s="1"/>
  <c r="Q29" i="1"/>
  <c r="V29" i="1"/>
  <c r="X31" i="1"/>
  <c r="R16" i="1"/>
  <c r="R27" i="1" s="1"/>
  <c r="M28" i="1"/>
  <c r="L7" i="1"/>
  <c r="W10" i="1"/>
  <c r="X10" i="1" s="1"/>
  <c r="Z10" i="1" s="1"/>
  <c r="C16" i="1"/>
  <c r="C27" i="1" s="1"/>
  <c r="K12" i="1"/>
  <c r="V16" i="1"/>
  <c r="W18" i="1"/>
  <c r="D21" i="1"/>
  <c r="D27" i="1" s="1"/>
  <c r="Q26" i="1"/>
  <c r="Y27" i="1"/>
  <c r="Q28" i="1"/>
  <c r="Q32" i="1" s="1"/>
  <c r="L9" i="1"/>
  <c r="M12" i="1"/>
  <c r="F23" i="1"/>
  <c r="C26" i="1"/>
  <c r="C28" i="1"/>
  <c r="C29" i="1" s="1"/>
  <c r="S28" i="1"/>
  <c r="S32" i="1" s="1"/>
  <c r="N12" i="1"/>
  <c r="F13" i="1"/>
  <c r="I16" i="1"/>
  <c r="I17" i="1" s="1"/>
  <c r="I22" i="1" s="1"/>
  <c r="T19" i="1"/>
  <c r="W19" i="1" s="1"/>
  <c r="X19" i="1" s="1"/>
  <c r="Z19" i="1" s="1"/>
  <c r="D28" i="1"/>
  <c r="E28" i="1"/>
  <c r="E32" i="1" s="1"/>
  <c r="P12" i="1"/>
  <c r="L18" i="1"/>
  <c r="D17" i="1"/>
  <c r="L23" i="1"/>
  <c r="T7" i="1"/>
  <c r="S17" i="1"/>
  <c r="S22" i="1" s="1"/>
  <c r="I21" i="1"/>
  <c r="W7" i="1"/>
  <c r="N16" i="1"/>
  <c r="I28" i="1"/>
  <c r="W8" i="1"/>
  <c r="H17" i="1"/>
  <c r="H22" i="1" s="1"/>
  <c r="T25" i="1"/>
  <c r="W25" i="1" s="1"/>
  <c r="X25" i="1" s="1"/>
  <c r="Z25" i="1" s="1"/>
  <c r="T23" i="1"/>
  <c r="T26" i="1" s="1"/>
  <c r="J29" i="1"/>
  <c r="K17" i="1" l="1"/>
  <c r="K22" i="1" s="1"/>
  <c r="K27" i="1"/>
  <c r="Z8" i="1"/>
  <c r="W12" i="1"/>
  <c r="N27" i="1"/>
  <c r="N17" i="1"/>
  <c r="N22" i="1" s="1"/>
  <c r="X7" i="1"/>
  <c r="I27" i="1"/>
  <c r="T28" i="1"/>
  <c r="M32" i="1"/>
  <c r="T32" i="1" s="1"/>
  <c r="M29" i="1"/>
  <c r="P27" i="1"/>
  <c r="P17" i="1"/>
  <c r="P22" i="1" s="1"/>
  <c r="I32" i="1"/>
  <c r="L32" i="1" s="1"/>
  <c r="I29" i="1"/>
  <c r="L29" i="1" s="1"/>
  <c r="L28" i="1"/>
  <c r="W21" i="1"/>
  <c r="V27" i="1"/>
  <c r="V17" i="1"/>
  <c r="V22" i="1" s="1"/>
  <c r="D32" i="1"/>
  <c r="F32" i="1" s="1"/>
  <c r="D29" i="1"/>
  <c r="F29" i="1" s="1"/>
  <c r="F28" i="1"/>
  <c r="W13" i="1"/>
  <c r="F16" i="1"/>
  <c r="W23" i="1"/>
  <c r="W26" i="1" s="1"/>
  <c r="F26" i="1"/>
  <c r="M17" i="1"/>
  <c r="M22" i="1" s="1"/>
  <c r="M27" i="1"/>
  <c r="L12" i="1"/>
  <c r="X9" i="1"/>
  <c r="Z9" i="1" s="1"/>
  <c r="C17" i="1"/>
  <c r="C22" i="1" s="1"/>
  <c r="R17" i="1"/>
  <c r="R22" i="1" s="1"/>
  <c r="E29" i="1"/>
  <c r="S29" i="1"/>
  <c r="D22" i="1"/>
  <c r="T27" i="1"/>
  <c r="T17" i="1"/>
  <c r="T22" i="1" s="1"/>
  <c r="C32" i="1"/>
  <c r="W28" i="1"/>
  <c r="L26" i="1"/>
  <c r="X23" i="1"/>
  <c r="L21" i="1"/>
  <c r="X18" i="1"/>
  <c r="L17" i="1" l="1"/>
  <c r="L22" i="1" s="1"/>
  <c r="L27" i="1"/>
  <c r="X21" i="1"/>
  <c r="Z18" i="1"/>
  <c r="T29" i="1"/>
  <c r="W29" i="1" s="1"/>
  <c r="X29" i="1" s="1"/>
  <c r="X26" i="1"/>
  <c r="Z23" i="1"/>
  <c r="Z26" i="1" s="1"/>
  <c r="F27" i="1"/>
  <c r="C33" i="1" s="1"/>
  <c r="F17" i="1"/>
  <c r="F22" i="1" s="1"/>
  <c r="X12" i="1"/>
  <c r="W16" i="1"/>
  <c r="W27" i="1" s="1"/>
  <c r="X13" i="1"/>
  <c r="W32" i="1"/>
  <c r="X32" i="1" s="1"/>
  <c r="Z12" i="1"/>
  <c r="X28" i="1"/>
  <c r="Z13" i="1" l="1"/>
  <c r="Z16" i="1" s="1"/>
  <c r="Z17" i="1" s="1"/>
  <c r="X16" i="1"/>
  <c r="X27" i="1"/>
  <c r="X17" i="1"/>
  <c r="X22" i="1" s="1"/>
  <c r="W17" i="1"/>
  <c r="W22" i="1" s="1"/>
  <c r="C34" i="1" l="1"/>
  <c r="Z27" i="1"/>
</calcChain>
</file>

<file path=xl/sharedStrings.xml><?xml version="1.0" encoding="utf-8"?>
<sst xmlns="http://schemas.openxmlformats.org/spreadsheetml/2006/main" count="74" uniqueCount="74">
  <si>
    <t>CASA DE ASIGURARI DE SANATATE OLT</t>
  </si>
  <si>
    <t>SITUATIA</t>
  </si>
  <si>
    <t>Nr. crt.</t>
  </si>
  <si>
    <t>P3 - ONCOLOGIE COST VOLUM</t>
  </si>
  <si>
    <t>P5 - DIABET TESTE COPII</t>
  </si>
  <si>
    <t>P5 - TOTAL TESTE</t>
  </si>
  <si>
    <t>P6.4 - MUCOV. COPII</t>
  </si>
  <si>
    <t>P6.4 - MUCOV. ADULTI</t>
  </si>
  <si>
    <t>P6.20 - FIBROZA PULMONARA IDIOPATICA</t>
  </si>
  <si>
    <t>P6.22 - ANGIOEDEM EREDITAR</t>
  </si>
  <si>
    <t>9=6+7+8</t>
  </si>
  <si>
    <t>10=5+9</t>
  </si>
  <si>
    <t>14=11+12+13</t>
  </si>
  <si>
    <t>15=10+14</t>
  </si>
  <si>
    <t>19=16+17+18</t>
  </si>
  <si>
    <t>20=5+9+14+ 19</t>
  </si>
  <si>
    <t>P6.28- LIMFANGIOLEIOMIOMATOZA</t>
  </si>
  <si>
    <t>22=1-21</t>
  </si>
  <si>
    <t>Luna/an 2022</t>
  </si>
  <si>
    <t>Credite angajament aprobate an 2022, din care:</t>
  </si>
  <si>
    <t>4bis</t>
  </si>
  <si>
    <t>Credite neconsumate AN 2022</t>
  </si>
  <si>
    <t xml:space="preserve">P3 - ONCOLOGIE ACTIVITATE CURENTA </t>
  </si>
  <si>
    <t>P6.4 - MUCOVISC. ADULTI COST VOLUM</t>
  </si>
  <si>
    <t>P6.5.2 - SCLEROZĂ LATERALĂ AMIOTROFICA</t>
  </si>
  <si>
    <t>P9.7 - STARE POSTTRANSPLANT</t>
  </si>
  <si>
    <t>TOTAL MEDICAMENTE 2022</t>
  </si>
  <si>
    <t>TOTAL PNS AN 2022</t>
  </si>
  <si>
    <t>ianuarie 2022- consum realizat</t>
  </si>
  <si>
    <t>februarie 2022- consum realizat</t>
  </si>
  <si>
    <t>martie 2022- consum validat in limita CA trim. I 2022</t>
  </si>
  <si>
    <t>martie 2022- art. 8(5) HG155/2017-decemb.2021 (aprobat P3=88210 lei, P5=129350 lei; economii P3=6,10 lei, P5= 3,40 lei)</t>
  </si>
  <si>
    <t>5=2+3+4+ 4bis</t>
  </si>
  <si>
    <t>Trim. I 2022- consum validat in limita CA trim. I 2022</t>
  </si>
  <si>
    <t>Consum 2022 inregistrat in limita credite angajament AN 2022</t>
  </si>
  <si>
    <t xml:space="preserve">Consum mediu lunar AN 2021 </t>
  </si>
  <si>
    <t>Consum mediu lunar AN 2022</t>
  </si>
  <si>
    <t>TOTAL SUME COST VOLUM</t>
  </si>
  <si>
    <t>P5 - DIABET ZAHARAT (medicamente)- activitate curenta</t>
  </si>
  <si>
    <t>P5 - DIABET ZAHARAT (medicamente, inclusiv coplata)- OUG 15/2022</t>
  </si>
  <si>
    <t>P5 - DIABET TESTE ADULŢI- activitate curenta</t>
  </si>
  <si>
    <t>P5 - DIABET TESTE ADULŢI- OUG 15/2022</t>
  </si>
  <si>
    <t>P6.24 - ATROFIE MUSCULARA SPINALA (de la 01.07.2022)</t>
  </si>
  <si>
    <t>TOTAL BOLI RARE</t>
  </si>
  <si>
    <t>TOTAL CONSUM SIUI PNS</t>
  </si>
  <si>
    <t>DIFERENTE CONSUM VALIDAT - CONSUM SIUI</t>
  </si>
  <si>
    <t>5=3+4</t>
  </si>
  <si>
    <t>11=8+9+10</t>
  </si>
  <si>
    <t>19=12+...+18</t>
  </si>
  <si>
    <t>22=2+5+6+7+ 19+20+21</t>
  </si>
  <si>
    <t>23=11+22</t>
  </si>
  <si>
    <t>25=23-24</t>
  </si>
  <si>
    <t>aprilie 2022- consum realizat + diferente martie validate (P3=221.027,41; P9.7=1.297,64)</t>
  </si>
  <si>
    <t>mai 2022 - consum realizat</t>
  </si>
  <si>
    <t>iunie 2022- consum validat in limita CA sem. I 2022</t>
  </si>
  <si>
    <t>Trim. II 2022- consum validat in limita CA sem. I 2022</t>
  </si>
  <si>
    <t>Total sem. I 2022- consum validat in limita CA sem. I 2022</t>
  </si>
  <si>
    <t>iulie 2022 - consum realizat validat (inclusiv dif. Iunie P5 = 23237,20 lei)</t>
  </si>
  <si>
    <t>august 2022 - consum realizat validat</t>
  </si>
  <si>
    <t>septembrie 2022- consum validat in limita CA 9 luni 2022</t>
  </si>
  <si>
    <t>Total trim. III 2022- consum validat in limita CA 9 luni 2022</t>
  </si>
  <si>
    <t>Total 9 luni 2022- consum validat in limita CA 9 luni 2022</t>
  </si>
  <si>
    <t>25=(21+ 23)/ nr. luni</t>
  </si>
  <si>
    <t>REPARTIZĂRII LUNARE A CREDITELOR DE ANGAJAMENT REALIZATE PENTRU PROGRAME NATIONALE DE SANATATE DERULATE PRIN FARMACII CU CIRCUIT DESCHIS IN ANUL 2022, CA URMARE A VALIDĂRII PARTIALE A CONSUMULUI RAPORTAT PENTRU LUNA DECEMBRIE 2022, IN LIMITA CREDITELOR DE ANGAJAMENT APROBATE PENTRU ANUL 2022, CONFORM FILEI DE BUGET CNAS NR. P10035/28.12.2022</t>
  </si>
  <si>
    <t>P6.1 -TALASAMIE (orale - de la 01.07.2022)</t>
  </si>
  <si>
    <t>octombrie 2022 - consum realizat validat (inclusiv dif. Sept: P3=191078,30 lei si P5 = 11640,78 lei)</t>
  </si>
  <si>
    <t>noiembrie 2022- consum realizat</t>
  </si>
  <si>
    <t>decembrie 2022 - consum validat partial</t>
  </si>
  <si>
    <t>Total trim. IV 2022 - consum validat in limita CA an 2022</t>
  </si>
  <si>
    <t>TOTAL AN 2022- consum validat in limita CA an 2022</t>
  </si>
  <si>
    <t>21=15+ 16+17+ 18</t>
  </si>
  <si>
    <t>Depășire la data de 31.12.2022 (consum nevalidat )</t>
  </si>
  <si>
    <t>GRAD REALIZARE CREDITE ANGAJAMENT COST VOLUM (%)</t>
  </si>
  <si>
    <t>GRAD REALIZARE CREDITE ANGAJAMENT PNS FARA COST VOLUM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</si>
</sst>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right" vertical="top"/>
    </xf>
    <xf numFmtId="0" fontId="11" fillId="0" borderId="0" xfId="0" applyFont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left" vertical="top"/>
    </xf>
    <xf numFmtId="0" fontId="11" fillId="0" borderId="0" xfId="0" applyFont="1" applyAlignment="1">
      <alignment vertical="top"/>
    </xf>
    <xf numFmtId="4" fontId="11" fillId="0" borderId="4" xfId="0" applyNumberFormat="1" applyFont="1" applyBorder="1" applyAlignment="1">
      <alignment vertical="top"/>
    </xf>
    <xf numFmtId="0" fontId="5" fillId="2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11" fillId="0" borderId="4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11" fillId="0" borderId="4" xfId="0" applyNumberFormat="1" applyFont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4" fontId="5" fillId="3" borderId="4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2" borderId="4" xfId="0" applyFont="1" applyFill="1" applyBorder="1" applyAlignment="1">
      <alignment vertical="top"/>
    </xf>
    <xf numFmtId="4" fontId="3" fillId="2" borderId="6" xfId="0" applyNumberFormat="1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5" fillId="2" borderId="4" xfId="0" applyNumberFormat="1" applyFont="1" applyFill="1" applyBorder="1" applyAlignment="1">
      <alignment vertical="top" wrapText="1"/>
    </xf>
    <xf numFmtId="4" fontId="5" fillId="2" borderId="6" xfId="0" applyNumberFormat="1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10" fillId="2" borderId="4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49" fontId="11" fillId="0" borderId="4" xfId="0" applyNumberFormat="1" applyFont="1" applyBorder="1" applyAlignment="1">
      <alignment horizontal="left" vertical="top" wrapText="1"/>
    </xf>
    <xf numFmtId="4" fontId="11" fillId="0" borderId="4" xfId="0" applyNumberFormat="1" applyFont="1" applyFill="1" applyBorder="1" applyAlignment="1">
      <alignment horizontal="right" vertical="top"/>
    </xf>
    <xf numFmtId="4" fontId="5" fillId="2" borderId="4" xfId="0" applyNumberFormat="1" applyFont="1" applyFill="1" applyBorder="1" applyAlignment="1">
      <alignment vertical="top"/>
    </xf>
    <xf numFmtId="4" fontId="11" fillId="0" borderId="0" xfId="0" applyNumberFormat="1" applyFont="1" applyAlignment="1">
      <alignment vertical="top"/>
    </xf>
    <xf numFmtId="4" fontId="11" fillId="0" borderId="4" xfId="0" applyNumberFormat="1" applyFont="1" applyFill="1" applyBorder="1" applyAlignment="1">
      <alignment vertical="top"/>
    </xf>
    <xf numFmtId="4" fontId="5" fillId="2" borderId="5" xfId="0" applyNumberFormat="1" applyFont="1" applyFill="1" applyBorder="1" applyAlignment="1">
      <alignment vertical="top"/>
    </xf>
    <xf numFmtId="4" fontId="11" fillId="0" borderId="4" xfId="0" applyNumberFormat="1" applyFont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4" fontId="5" fillId="2" borderId="5" xfId="0" applyNumberFormat="1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6" fillId="0" borderId="4" xfId="0" applyFont="1" applyBorder="1" applyAlignment="1">
      <alignment vertical="top" wrapText="1"/>
    </xf>
    <xf numFmtId="4" fontId="16" fillId="0" borderId="4" xfId="0" applyNumberFormat="1" applyFont="1" applyBorder="1" applyAlignment="1">
      <alignment vertical="top"/>
    </xf>
    <xf numFmtId="4" fontId="16" fillId="2" borderId="4" xfId="0" applyNumberFormat="1" applyFont="1" applyFill="1" applyBorder="1" applyAlignment="1">
      <alignment horizontal="right" vertical="top"/>
    </xf>
    <xf numFmtId="0" fontId="16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7" fillId="0" borderId="2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vertical="top" wrapText="1"/>
    </xf>
    <xf numFmtId="4" fontId="11" fillId="0" borderId="5" xfId="0" applyNumberFormat="1" applyFont="1" applyBorder="1" applyAlignment="1">
      <alignment vertical="top"/>
    </xf>
    <xf numFmtId="4" fontId="12" fillId="0" borderId="4" xfId="0" applyNumberFormat="1" applyFont="1" applyBorder="1" applyAlignment="1">
      <alignment vertical="top"/>
    </xf>
    <xf numFmtId="4" fontId="5" fillId="0" borderId="0" xfId="0" applyNumberFormat="1" applyFont="1" applyAlignment="1">
      <alignment vertical="top"/>
    </xf>
    <xf numFmtId="4" fontId="11" fillId="4" borderId="4" xfId="0" applyNumberFormat="1" applyFont="1" applyFill="1" applyBorder="1" applyAlignment="1">
      <alignment vertical="top"/>
    </xf>
    <xf numFmtId="4" fontId="15" fillId="0" borderId="5" xfId="0" applyNumberFormat="1" applyFont="1" applyBorder="1" applyAlignment="1">
      <alignment vertical="top"/>
    </xf>
    <xf numFmtId="4" fontId="16" fillId="2" borderId="4" xfId="0" applyNumberFormat="1" applyFont="1" applyFill="1" applyBorder="1" applyAlignment="1">
      <alignment vertical="top"/>
    </xf>
    <xf numFmtId="4" fontId="16" fillId="0" borderId="5" xfId="0" applyNumberFormat="1" applyFont="1" applyBorder="1" applyAlignment="1">
      <alignment vertical="top"/>
    </xf>
    <xf numFmtId="4" fontId="5" fillId="2" borderId="6" xfId="0" applyNumberFormat="1" applyFont="1" applyFill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" fontId="19" fillId="4" borderId="4" xfId="0" applyNumberFormat="1" applyFont="1" applyFill="1" applyBorder="1" applyAlignment="1">
      <alignment vertical="top"/>
    </xf>
    <xf numFmtId="4" fontId="12" fillId="4" borderId="4" xfId="0" applyNumberFormat="1" applyFont="1" applyFill="1" applyBorder="1" applyAlignment="1">
      <alignment vertical="top"/>
    </xf>
    <xf numFmtId="4" fontId="16" fillId="2" borderId="5" xfId="0" applyNumberFormat="1" applyFont="1" applyFill="1" applyBorder="1" applyAlignment="1">
      <alignment vertical="top" wrapText="1"/>
    </xf>
    <xf numFmtId="4" fontId="16" fillId="3" borderId="5" xfId="0" applyNumberFormat="1" applyFont="1" applyFill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4" fontId="11" fillId="0" borderId="9" xfId="0" applyNumberFormat="1" applyFont="1" applyBorder="1" applyAlignment="1">
      <alignment vertical="top" wrapText="1"/>
    </xf>
    <xf numFmtId="0" fontId="5" fillId="2" borderId="10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2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22" workbookViewId="0">
      <selection activeCell="H42" sqref="H42"/>
    </sheetView>
  </sheetViews>
  <sheetFormatPr defaultRowHeight="15.75" x14ac:dyDescent="0.2"/>
  <cols>
    <col min="1" max="1" width="7.140625" style="40" customWidth="1"/>
    <col min="2" max="2" width="43.42578125" style="40" customWidth="1"/>
    <col min="3" max="3" width="13.28515625" style="40" customWidth="1"/>
    <col min="4" max="4" width="13.28515625" style="40" bestFit="1" customWidth="1"/>
    <col min="5" max="5" width="11.5703125" style="40" customWidth="1"/>
    <col min="6" max="6" width="11.5703125" style="63" customWidth="1"/>
    <col min="7" max="7" width="15.7109375" style="40" customWidth="1"/>
    <col min="8" max="8" width="13.140625" style="40" customWidth="1"/>
    <col min="9" max="10" width="12.140625" style="40" customWidth="1"/>
    <col min="11" max="11" width="10.5703125" style="40" customWidth="1"/>
    <col min="12" max="12" width="13.28515625" style="40" bestFit="1" customWidth="1"/>
    <col min="13" max="14" width="11.28515625" style="40" bestFit="1" customWidth="1"/>
    <col min="15" max="15" width="12.42578125" style="40" customWidth="1"/>
    <col min="16" max="16" width="11.5703125" style="40" customWidth="1"/>
    <col min="17" max="18" width="11.7109375" style="40" customWidth="1"/>
    <col min="19" max="20" width="12.85546875" style="40" customWidth="1"/>
    <col min="21" max="22" width="11.85546875" style="40" customWidth="1"/>
    <col min="23" max="23" width="13.7109375" style="40" customWidth="1"/>
    <col min="24" max="24" width="12.28515625" style="40" customWidth="1"/>
    <col min="25" max="25" width="15.28515625" style="40" customWidth="1"/>
    <col min="26" max="26" width="12.5703125" style="40" customWidth="1"/>
    <col min="27" max="28" width="10.28515625" style="40" bestFit="1" customWidth="1"/>
    <col min="29" max="16384" width="9.140625" style="40"/>
  </cols>
  <sheetData>
    <row r="1" spans="1:27" x14ac:dyDescent="0.2">
      <c r="A1" s="39" t="s">
        <v>0</v>
      </c>
      <c r="C1" s="41"/>
      <c r="D1" s="41"/>
      <c r="E1" s="41"/>
      <c r="F1" s="61"/>
      <c r="L1" s="60"/>
      <c r="P1" s="42"/>
      <c r="U1" s="42"/>
      <c r="V1" s="42"/>
      <c r="W1" s="42"/>
    </row>
    <row r="2" spans="1:27" ht="14.25" customHeight="1" x14ac:dyDescent="0.2">
      <c r="B2" s="29"/>
      <c r="C2" s="76" t="s">
        <v>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9"/>
      <c r="S2" s="29"/>
      <c r="T2" s="29"/>
      <c r="U2" s="29"/>
      <c r="V2" s="29"/>
      <c r="W2" s="29"/>
      <c r="X2" s="29"/>
      <c r="Y2" s="1"/>
    </row>
    <row r="3" spans="1:27" s="3" customFormat="1" ht="45.75" customHeight="1" x14ac:dyDescent="0.2">
      <c r="B3" s="62"/>
      <c r="C3" s="77" t="s">
        <v>63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62"/>
      <c r="R3" s="62"/>
      <c r="S3" s="62"/>
      <c r="T3" s="62"/>
      <c r="U3" s="62"/>
      <c r="V3" s="62"/>
      <c r="W3" s="62"/>
      <c r="X3" s="62"/>
      <c r="Y3" s="2"/>
    </row>
    <row r="4" spans="1:27" ht="14.25" customHeight="1" thickBot="1" x14ac:dyDescent="0.25"/>
    <row r="5" spans="1:27" s="43" customFormat="1" ht="72" x14ac:dyDescent="0.2">
      <c r="A5" s="4" t="s">
        <v>2</v>
      </c>
      <c r="B5" s="5" t="s">
        <v>18</v>
      </c>
      <c r="C5" s="5" t="s">
        <v>22</v>
      </c>
      <c r="D5" s="5" t="s">
        <v>3</v>
      </c>
      <c r="E5" s="5" t="s">
        <v>23</v>
      </c>
      <c r="F5" s="34" t="s">
        <v>37</v>
      </c>
      <c r="G5" s="5" t="s">
        <v>38</v>
      </c>
      <c r="H5" s="64" t="s">
        <v>39</v>
      </c>
      <c r="I5" s="5" t="s">
        <v>40</v>
      </c>
      <c r="J5" s="64" t="s">
        <v>41</v>
      </c>
      <c r="K5" s="5" t="s">
        <v>4</v>
      </c>
      <c r="L5" s="34" t="s">
        <v>5</v>
      </c>
      <c r="M5" s="5" t="s">
        <v>6</v>
      </c>
      <c r="N5" s="5" t="s">
        <v>7</v>
      </c>
      <c r="O5" s="5" t="s">
        <v>24</v>
      </c>
      <c r="P5" s="6" t="s">
        <v>8</v>
      </c>
      <c r="Q5" s="5" t="s">
        <v>9</v>
      </c>
      <c r="R5" s="5" t="s">
        <v>16</v>
      </c>
      <c r="S5" s="5" t="s">
        <v>42</v>
      </c>
      <c r="T5" s="34" t="s">
        <v>43</v>
      </c>
      <c r="U5" s="5" t="s">
        <v>25</v>
      </c>
      <c r="V5" s="5" t="s">
        <v>64</v>
      </c>
      <c r="W5" s="34" t="s">
        <v>26</v>
      </c>
      <c r="X5" s="34" t="s">
        <v>27</v>
      </c>
      <c r="Y5" s="34" t="s">
        <v>44</v>
      </c>
      <c r="Z5" s="35" t="s">
        <v>45</v>
      </c>
    </row>
    <row r="6" spans="1:27" s="45" customFormat="1" ht="22.5" x14ac:dyDescent="0.2">
      <c r="A6" s="7">
        <v>0</v>
      </c>
      <c r="B6" s="8">
        <v>1</v>
      </c>
      <c r="C6" s="8">
        <v>2</v>
      </c>
      <c r="D6" s="8">
        <v>3</v>
      </c>
      <c r="E6" s="8">
        <v>4</v>
      </c>
      <c r="F6" s="44" t="s">
        <v>46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44" t="s">
        <v>47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44" t="s">
        <v>48</v>
      </c>
      <c r="U6" s="8">
        <v>20</v>
      </c>
      <c r="V6" s="8">
        <v>21</v>
      </c>
      <c r="W6" s="44" t="s">
        <v>49</v>
      </c>
      <c r="X6" s="44" t="s">
        <v>50</v>
      </c>
      <c r="Y6" s="8">
        <v>24</v>
      </c>
      <c r="Z6" s="65" t="s">
        <v>51</v>
      </c>
    </row>
    <row r="7" spans="1:27" s="11" customFormat="1" ht="12.75" x14ac:dyDescent="0.2">
      <c r="A7" s="9">
        <v>1</v>
      </c>
      <c r="B7" s="32" t="s">
        <v>19</v>
      </c>
      <c r="C7" s="10">
        <f>574000+644000+839000+4784560+1100000+1298000+822800+425770+935380</f>
        <v>11423510</v>
      </c>
      <c r="D7" s="10">
        <f>200000+270000+200000+750000+632600+250000+150000+105960+344000+325000-70000</f>
        <v>3157560</v>
      </c>
      <c r="E7" s="10">
        <f>27000+2590+6450</f>
        <v>36040</v>
      </c>
      <c r="F7" s="10">
        <f>ROUND(D7+E7,2)</f>
        <v>3193600</v>
      </c>
      <c r="G7" s="10">
        <f>2872000+2872000+2989000+23110970+2217000+1151950+189390</f>
        <v>35402310</v>
      </c>
      <c r="H7" s="10">
        <v>830</v>
      </c>
      <c r="I7" s="10">
        <f>141000+141000+140000+1197000+17000+8000</f>
        <v>1644000</v>
      </c>
      <c r="J7" s="10">
        <v>120</v>
      </c>
      <c r="K7" s="10">
        <f>6000+6000+6000+51300-8000</f>
        <v>61300</v>
      </c>
      <c r="L7" s="10">
        <f>ROUND(I7+J7+K7,2)</f>
        <v>1705420</v>
      </c>
      <c r="M7" s="10">
        <f>15000+15000+15000+99000+122500+107800-82000</f>
        <v>292300</v>
      </c>
      <c r="N7" s="10">
        <f>11000+11000+11000+87000+246000+180000</f>
        <v>546000</v>
      </c>
      <c r="O7" s="10">
        <f>2000+2000+3000+27000</f>
        <v>34000</v>
      </c>
      <c r="P7" s="10">
        <f>11000+11000+11000+91560-2000</f>
        <v>122560</v>
      </c>
      <c r="Q7" s="10">
        <f>172000+172000+172000+1440000-325000</f>
        <v>1631000</v>
      </c>
      <c r="R7" s="10">
        <f>3000+3000+3000+17280-1000</f>
        <v>25280</v>
      </c>
      <c r="S7" s="10">
        <f>132380+132380+132380+132380+132380+132380+132380+132380</f>
        <v>1059040</v>
      </c>
      <c r="T7" s="10">
        <f>ROUND(M7+N7+O7+P7+Q7+R7+S7,2)</f>
        <v>3710180</v>
      </c>
      <c r="U7" s="10">
        <f>59000+59000+60000+399950+87000+7600</f>
        <v>672550</v>
      </c>
      <c r="V7" s="10">
        <f>456000-192000</f>
        <v>264000</v>
      </c>
      <c r="W7" s="10">
        <f>ROUND(C7+F7+G7+H7+T7+U7+V7,2)</f>
        <v>54666980</v>
      </c>
      <c r="X7" s="10">
        <f t="shared" ref="X7:X32" si="0">ROUND(L7+W7,2)</f>
        <v>56372400</v>
      </c>
      <c r="Y7" s="52"/>
      <c r="Z7" s="66"/>
    </row>
    <row r="8" spans="1:27" s="14" customFormat="1" ht="12.75" x14ac:dyDescent="0.2">
      <c r="A8" s="12">
        <v>2</v>
      </c>
      <c r="B8" s="46" t="s">
        <v>28</v>
      </c>
      <c r="C8" s="47">
        <f>574000+83175.1</f>
        <v>657175.1</v>
      </c>
      <c r="D8" s="47">
        <f>200000+43265.36</f>
        <v>243265.36</v>
      </c>
      <c r="E8" s="47">
        <v>0</v>
      </c>
      <c r="F8" s="48">
        <f t="shared" ref="F8:F15" si="1">ROUND(D8+E8,2)</f>
        <v>243265.36</v>
      </c>
      <c r="G8" s="47">
        <f>2872000+74432.95</f>
        <v>2946432.95</v>
      </c>
      <c r="H8" s="47">
        <v>0</v>
      </c>
      <c r="I8" s="47">
        <f>141000-5484</f>
        <v>135516</v>
      </c>
      <c r="J8" s="47">
        <v>0</v>
      </c>
      <c r="K8" s="47">
        <f>6000-3720</f>
        <v>2280</v>
      </c>
      <c r="L8" s="10">
        <f t="shared" ref="L8:L25" si="2">ROUND(I8+J8+K8,2)</f>
        <v>137796</v>
      </c>
      <c r="M8" s="47">
        <f>15000-12050.79</f>
        <v>2949.2099999999991</v>
      </c>
      <c r="N8" s="47">
        <f>11000-7601.44</f>
        <v>3398.5600000000004</v>
      </c>
      <c r="O8" s="47">
        <f>2000+1099.02</f>
        <v>3099.02</v>
      </c>
      <c r="P8" s="47">
        <f>11000-623.65</f>
        <v>10376.35</v>
      </c>
      <c r="Q8" s="47">
        <f>172000-27879.38</f>
        <v>144120.62</v>
      </c>
      <c r="R8" s="47">
        <f>3000-816.96</f>
        <v>2183.04</v>
      </c>
      <c r="S8" s="47">
        <v>0</v>
      </c>
      <c r="T8" s="10">
        <f t="shared" ref="T8:T11" si="3">ROUND(M8+N8+O8+P8+Q8+R8+S8,2)</f>
        <v>166126.79999999999</v>
      </c>
      <c r="U8" s="47">
        <f>59000+8880.35</f>
        <v>67880.350000000006</v>
      </c>
      <c r="V8" s="47">
        <v>0</v>
      </c>
      <c r="W8" s="10">
        <f t="shared" ref="W8:W15" si="4">ROUND(C8+F8+G8+H8+T8+U8+V8,2)</f>
        <v>4080880.56</v>
      </c>
      <c r="X8" s="10">
        <f t="shared" si="0"/>
        <v>4218676.5599999996</v>
      </c>
      <c r="Y8" s="15">
        <v>4218676.5599999996</v>
      </c>
      <c r="Z8" s="67">
        <f>ROUND(X8-Y8,2)</f>
        <v>0</v>
      </c>
    </row>
    <row r="9" spans="1:27" s="14" customFormat="1" ht="12.75" x14ac:dyDescent="0.2">
      <c r="A9" s="12">
        <v>3</v>
      </c>
      <c r="B9" s="13" t="s">
        <v>29</v>
      </c>
      <c r="C9" s="50">
        <f>644000-83175.1+144454.37</f>
        <v>705279.27</v>
      </c>
      <c r="D9" s="50">
        <f>270000-43265.36-52762.59</f>
        <v>173972.05000000002</v>
      </c>
      <c r="E9" s="50">
        <v>0</v>
      </c>
      <c r="F9" s="48">
        <f t="shared" si="1"/>
        <v>173972.05</v>
      </c>
      <c r="G9" s="50">
        <f>2872000-74432.95-303937.28</f>
        <v>2493629.7699999996</v>
      </c>
      <c r="H9" s="50">
        <v>0</v>
      </c>
      <c r="I9" s="50">
        <f>141000+5484-14805.6</f>
        <v>131678.39999999999</v>
      </c>
      <c r="J9" s="50">
        <v>0</v>
      </c>
      <c r="K9" s="50">
        <f>6000+3720-2040</f>
        <v>7680</v>
      </c>
      <c r="L9" s="10">
        <f t="shared" si="2"/>
        <v>139358.39999999999</v>
      </c>
      <c r="M9" s="50">
        <f>15000+12050.79-11812.53</f>
        <v>15238.26</v>
      </c>
      <c r="N9" s="50">
        <f>11000+7601.44-7178.04</f>
        <v>11423.399999999998</v>
      </c>
      <c r="O9" s="50">
        <f>2000-1099.02+861.06</f>
        <v>1762.04</v>
      </c>
      <c r="P9" s="50">
        <f>11000+623.65-1247.3</f>
        <v>10376.35</v>
      </c>
      <c r="Q9" s="50">
        <f>172000+27879.38-38171.14</f>
        <v>161708.24</v>
      </c>
      <c r="R9" s="50">
        <f>3000+816.96-1633.92</f>
        <v>2183.04</v>
      </c>
      <c r="S9" s="50">
        <v>0</v>
      </c>
      <c r="T9" s="10">
        <f t="shared" si="3"/>
        <v>202691.33</v>
      </c>
      <c r="U9" s="50">
        <f>59000-8880.35+239.47</f>
        <v>50359.12</v>
      </c>
      <c r="V9" s="50">
        <v>0</v>
      </c>
      <c r="W9" s="10">
        <f t="shared" si="4"/>
        <v>3625931.54</v>
      </c>
      <c r="X9" s="10">
        <f t="shared" si="0"/>
        <v>3765289.94</v>
      </c>
      <c r="Y9" s="15">
        <v>3765289.94</v>
      </c>
      <c r="Z9" s="67">
        <f t="shared" ref="Z9:Z15" si="5">ROUND(X9-Y9,2)</f>
        <v>0</v>
      </c>
    </row>
    <row r="10" spans="1:27" s="14" customFormat="1" ht="12.75" x14ac:dyDescent="0.2">
      <c r="A10" s="36">
        <v>4</v>
      </c>
      <c r="B10" s="13" t="s">
        <v>30</v>
      </c>
      <c r="C10" s="78">
        <f>750790-144454.37+6.1</f>
        <v>606341.73</v>
      </c>
      <c r="D10" s="50">
        <f>200000+52762.59-106559.53</f>
        <v>146203.06</v>
      </c>
      <c r="E10" s="50">
        <v>4411.91</v>
      </c>
      <c r="F10" s="48">
        <f t="shared" si="1"/>
        <v>150614.97</v>
      </c>
      <c r="G10" s="50">
        <f>2859650+303937.28+3.4-164595.31</f>
        <v>2998995.37</v>
      </c>
      <c r="H10" s="50">
        <v>0</v>
      </c>
      <c r="I10" s="50">
        <f>140000+14805.6-8609.6</f>
        <v>146196</v>
      </c>
      <c r="J10" s="50">
        <v>0</v>
      </c>
      <c r="K10" s="50">
        <f>6000+2040-1440</f>
        <v>6600</v>
      </c>
      <c r="L10" s="10">
        <f t="shared" si="2"/>
        <v>152796</v>
      </c>
      <c r="M10" s="15">
        <f>15000+11812.53-23643.09</f>
        <v>3169.4399999999987</v>
      </c>
      <c r="N10" s="50">
        <f>11000+7178.04+74.84</f>
        <v>18252.88</v>
      </c>
      <c r="O10" s="50">
        <f>3000-861.06+694.5</f>
        <v>2833.44</v>
      </c>
      <c r="P10" s="15">
        <f>11000+1247.3-2110.65</f>
        <v>10136.65</v>
      </c>
      <c r="Q10" s="50">
        <f>172000+38171.14-44016.5</f>
        <v>166154.64000000001</v>
      </c>
      <c r="R10" s="50">
        <f>3000+1633.92-2553.32</f>
        <v>2080.6</v>
      </c>
      <c r="S10" s="50">
        <v>0</v>
      </c>
      <c r="T10" s="10">
        <f t="shared" si="3"/>
        <v>202627.65</v>
      </c>
      <c r="U10" s="78">
        <f>60000-239.47</f>
        <v>59760.53</v>
      </c>
      <c r="V10" s="15">
        <v>0</v>
      </c>
      <c r="W10" s="10">
        <f t="shared" si="4"/>
        <v>4018340.25</v>
      </c>
      <c r="X10" s="10">
        <f t="shared" si="0"/>
        <v>4171136.25</v>
      </c>
      <c r="Y10" s="68">
        <v>4393461.3</v>
      </c>
      <c r="Z10" s="67">
        <f t="shared" si="5"/>
        <v>-222325.05</v>
      </c>
    </row>
    <row r="11" spans="1:27" s="14" customFormat="1" ht="36.75" customHeight="1" x14ac:dyDescent="0.2">
      <c r="A11" s="36" t="s">
        <v>20</v>
      </c>
      <c r="B11" s="46" t="s">
        <v>31</v>
      </c>
      <c r="C11" s="50">
        <f>88210-6.1</f>
        <v>88203.9</v>
      </c>
      <c r="D11" s="50">
        <v>0</v>
      </c>
      <c r="E11" s="50">
        <v>0</v>
      </c>
      <c r="F11" s="48">
        <f t="shared" si="1"/>
        <v>0</v>
      </c>
      <c r="G11" s="50">
        <f>129350-3.4</f>
        <v>129346.6</v>
      </c>
      <c r="H11" s="50">
        <v>0</v>
      </c>
      <c r="I11" s="50">
        <v>0</v>
      </c>
      <c r="J11" s="50">
        <v>0</v>
      </c>
      <c r="K11" s="50">
        <v>0</v>
      </c>
      <c r="L11" s="10">
        <f t="shared" si="2"/>
        <v>0</v>
      </c>
      <c r="M11" s="15">
        <v>0</v>
      </c>
      <c r="N11" s="50">
        <v>0</v>
      </c>
      <c r="O11" s="50">
        <v>0</v>
      </c>
      <c r="P11" s="15">
        <v>0</v>
      </c>
      <c r="Q11" s="50">
        <v>0</v>
      </c>
      <c r="R11" s="50">
        <v>0</v>
      </c>
      <c r="S11" s="50">
        <v>0</v>
      </c>
      <c r="T11" s="10">
        <f t="shared" si="3"/>
        <v>0</v>
      </c>
      <c r="U11" s="15">
        <v>0</v>
      </c>
      <c r="V11" s="15">
        <v>0</v>
      </c>
      <c r="W11" s="10">
        <f t="shared" si="4"/>
        <v>217550.5</v>
      </c>
      <c r="X11" s="10">
        <f>ROUND(L11+W11,2)</f>
        <v>217550.5</v>
      </c>
      <c r="Y11" s="68">
        <v>0</v>
      </c>
      <c r="Z11" s="67">
        <f t="shared" si="5"/>
        <v>217550.5</v>
      </c>
    </row>
    <row r="12" spans="1:27" s="17" customFormat="1" ht="25.5" x14ac:dyDescent="0.2">
      <c r="A12" s="16" t="s">
        <v>32</v>
      </c>
      <c r="B12" s="37" t="s">
        <v>33</v>
      </c>
      <c r="C12" s="48">
        <f>SUM(C8:C11)</f>
        <v>2057000</v>
      </c>
      <c r="D12" s="48">
        <f t="shared" ref="D12:Y12" si="6">SUM(D8:D11)</f>
        <v>563440.47</v>
      </c>
      <c r="E12" s="48">
        <f t="shared" si="6"/>
        <v>4411.91</v>
      </c>
      <c r="F12" s="48">
        <f t="shared" si="6"/>
        <v>567852.38</v>
      </c>
      <c r="G12" s="48">
        <f t="shared" si="6"/>
        <v>8568404.6899999995</v>
      </c>
      <c r="H12" s="48">
        <f t="shared" si="6"/>
        <v>0</v>
      </c>
      <c r="I12" s="48">
        <f t="shared" si="6"/>
        <v>413390.4</v>
      </c>
      <c r="J12" s="48">
        <f t="shared" si="6"/>
        <v>0</v>
      </c>
      <c r="K12" s="48">
        <f t="shared" si="6"/>
        <v>16560</v>
      </c>
      <c r="L12" s="48">
        <f t="shared" si="6"/>
        <v>429950.4</v>
      </c>
      <c r="M12" s="48">
        <f t="shared" si="6"/>
        <v>21356.91</v>
      </c>
      <c r="N12" s="48">
        <f t="shared" si="6"/>
        <v>33074.839999999997</v>
      </c>
      <c r="O12" s="48">
        <f t="shared" si="6"/>
        <v>7694.5</v>
      </c>
      <c r="P12" s="48">
        <f t="shared" si="6"/>
        <v>30889.35</v>
      </c>
      <c r="Q12" s="48">
        <f t="shared" si="6"/>
        <v>471983.5</v>
      </c>
      <c r="R12" s="48">
        <f t="shared" si="6"/>
        <v>6446.68</v>
      </c>
      <c r="S12" s="48">
        <f t="shared" si="6"/>
        <v>0</v>
      </c>
      <c r="T12" s="48">
        <f t="shared" si="6"/>
        <v>571445.78</v>
      </c>
      <c r="U12" s="48">
        <f t="shared" si="6"/>
        <v>178000</v>
      </c>
      <c r="V12" s="48">
        <f t="shared" si="6"/>
        <v>0</v>
      </c>
      <c r="W12" s="48">
        <f t="shared" si="6"/>
        <v>11942702.85</v>
      </c>
      <c r="X12" s="48">
        <f t="shared" si="6"/>
        <v>12372653.25</v>
      </c>
      <c r="Y12" s="48">
        <f t="shared" si="6"/>
        <v>12377427.800000001</v>
      </c>
      <c r="Z12" s="51">
        <f>SUM(Z8:Z11)</f>
        <v>-4774.5499999999884</v>
      </c>
      <c r="AA12" s="69"/>
    </row>
    <row r="13" spans="1:27" s="14" customFormat="1" ht="25.5" x14ac:dyDescent="0.2">
      <c r="A13" s="12">
        <v>6</v>
      </c>
      <c r="B13" s="46" t="s">
        <v>52</v>
      </c>
      <c r="C13" s="50">
        <f>721000+233306.22</f>
        <v>954306.22</v>
      </c>
      <c r="D13" s="50">
        <f>250000+106559.53-4500-150905.12</f>
        <v>201154.41000000003</v>
      </c>
      <c r="E13" s="50">
        <f>3000+88.09+1323.82</f>
        <v>4411.91</v>
      </c>
      <c r="F13" s="48">
        <f t="shared" si="1"/>
        <v>205566.32</v>
      </c>
      <c r="G13" s="15">
        <f>2868000+164595.31-412806.1</f>
        <v>2619789.21</v>
      </c>
      <c r="H13" s="15">
        <v>0</v>
      </c>
      <c r="I13" s="15">
        <f>141000+8609.6-21771.18</f>
        <v>127838.42000000001</v>
      </c>
      <c r="J13" s="15">
        <v>0</v>
      </c>
      <c r="K13" s="15">
        <f>6000+1440-4920</f>
        <v>2520</v>
      </c>
      <c r="L13" s="10">
        <f t="shared" si="2"/>
        <v>130358.42</v>
      </c>
      <c r="M13" s="15">
        <f>15000+23643.09-25791.46</f>
        <v>12851.629999999997</v>
      </c>
      <c r="N13" s="15">
        <f>11000-74.84-5181.82</f>
        <v>5743.34</v>
      </c>
      <c r="O13" s="15">
        <f>2000-694.5+718.4</f>
        <v>2023.9</v>
      </c>
      <c r="P13" s="15">
        <f>11000+2110.65-2974</f>
        <v>10136.65</v>
      </c>
      <c r="Q13" s="50">
        <f>172000+44016.5-83355.12</f>
        <v>132661.38</v>
      </c>
      <c r="R13" s="50">
        <f>3000+2553.32-3472.72</f>
        <v>2080.6</v>
      </c>
      <c r="S13" s="50">
        <v>0</v>
      </c>
      <c r="T13" s="10">
        <f t="shared" ref="T13:T15" si="7">ROUND(M13+N13+O13+P13+Q13+R13+S13,2)</f>
        <v>165497.5</v>
      </c>
      <c r="U13" s="15">
        <f>59000+13683.15</f>
        <v>72683.149999999994</v>
      </c>
      <c r="V13" s="15">
        <f>63000-63000</f>
        <v>0</v>
      </c>
      <c r="W13" s="10">
        <f t="shared" si="4"/>
        <v>4017842.4</v>
      </c>
      <c r="X13" s="10">
        <f t="shared" si="0"/>
        <v>4148200.82</v>
      </c>
      <c r="Y13" s="15">
        <v>3925875.77</v>
      </c>
      <c r="Z13" s="67">
        <f t="shared" si="5"/>
        <v>222325.05</v>
      </c>
    </row>
    <row r="14" spans="1:27" s="14" customFormat="1" ht="12.75" x14ac:dyDescent="0.2">
      <c r="A14" s="12">
        <v>7</v>
      </c>
      <c r="B14" s="13" t="s">
        <v>53</v>
      </c>
      <c r="C14" s="70">
        <f>700000-233306.22+379219.15</f>
        <v>845912.93</v>
      </c>
      <c r="D14" s="50">
        <f>200000+150905.12-113109.48</f>
        <v>237795.64</v>
      </c>
      <c r="E14" s="50">
        <f>1500-1323.82-176.18</f>
        <v>0</v>
      </c>
      <c r="F14" s="48">
        <f t="shared" si="1"/>
        <v>237795.64</v>
      </c>
      <c r="G14" s="70">
        <f>3000000+412806.1-432389.72</f>
        <v>2980416.38</v>
      </c>
      <c r="H14" s="15">
        <v>0</v>
      </c>
      <c r="I14" s="70">
        <f>135000+21771.18-6191.18-120</f>
        <v>150460</v>
      </c>
      <c r="J14" s="15">
        <v>0</v>
      </c>
      <c r="K14" s="15">
        <f>6000+4920-3240</f>
        <v>7680</v>
      </c>
      <c r="L14" s="10">
        <f t="shared" si="2"/>
        <v>158140</v>
      </c>
      <c r="M14" s="15">
        <f>12000+25791.46-25203.23</f>
        <v>12588.23</v>
      </c>
      <c r="N14" s="15">
        <f>10000+5181.82-5848.2</f>
        <v>9333.619999999999</v>
      </c>
      <c r="O14" s="15">
        <f>3500-718.4-352.92</f>
        <v>2428.6799999999998</v>
      </c>
      <c r="P14" s="15">
        <f>10400+2974+6899.3</f>
        <v>20273.3</v>
      </c>
      <c r="Q14" s="50">
        <f>153000+83355.12-123717.6</f>
        <v>112637.51999999999</v>
      </c>
      <c r="R14" s="15">
        <f>1500+3472.72-2892.12</f>
        <v>2080.5999999999995</v>
      </c>
      <c r="S14" s="15">
        <v>0</v>
      </c>
      <c r="T14" s="10">
        <f t="shared" si="7"/>
        <v>159341.95000000001</v>
      </c>
      <c r="U14" s="15">
        <f>60000-13683.15+4036.63</f>
        <v>50353.479999999996</v>
      </c>
      <c r="V14" s="15">
        <f>62000+63000-125000</f>
        <v>0</v>
      </c>
      <c r="W14" s="10">
        <f t="shared" si="4"/>
        <v>4273820.38</v>
      </c>
      <c r="X14" s="10">
        <f t="shared" si="0"/>
        <v>4431960.38</v>
      </c>
      <c r="Y14" s="15">
        <f>4432903.41+0.04</f>
        <v>4432903.45</v>
      </c>
      <c r="Z14" s="67">
        <f t="shared" si="5"/>
        <v>-943.07</v>
      </c>
    </row>
    <row r="15" spans="1:27" s="11" customFormat="1" ht="12.75" x14ac:dyDescent="0.2">
      <c r="A15" s="12">
        <v>8</v>
      </c>
      <c r="B15" s="18" t="s">
        <v>54</v>
      </c>
      <c r="C15" s="70">
        <f>700000-255910+590000-379219.15+150110-12089.64</f>
        <v>792891.21</v>
      </c>
      <c r="D15" s="70">
        <f>200000-146670+113109.48+73770+13613.46</f>
        <v>253822.93999999997</v>
      </c>
      <c r="E15" s="50">
        <f>4500+176.18-143.5</f>
        <v>4532.68</v>
      </c>
      <c r="F15" s="48">
        <f t="shared" si="1"/>
        <v>258355.62</v>
      </c>
      <c r="G15" s="78">
        <f>3000000-516480+432389.72</f>
        <v>2915909.7199999997</v>
      </c>
      <c r="H15" s="50">
        <v>0</v>
      </c>
      <c r="I15" s="15">
        <f>135000+6191.18+120-6791.18</f>
        <v>134520</v>
      </c>
      <c r="J15" s="15">
        <v>0</v>
      </c>
      <c r="K15" s="15">
        <f>6000+3240-3360</f>
        <v>5880</v>
      </c>
      <c r="L15" s="10">
        <f t="shared" si="2"/>
        <v>140400</v>
      </c>
      <c r="M15" s="70">
        <f>12000+25203.23-28203.23-5830.56</f>
        <v>3169.439999999996</v>
      </c>
      <c r="N15" s="70">
        <f>10000+5848.2-6848.2-2899.42</f>
        <v>6100.58</v>
      </c>
      <c r="O15" s="70">
        <f>3500+352.92-850.29+235.6</f>
        <v>3238.23</v>
      </c>
      <c r="P15" s="70">
        <f>10400-6899.3-3500.7</f>
        <v>0</v>
      </c>
      <c r="Q15" s="70">
        <f>153000+123717.6-109717.6-46267.4</f>
        <v>120732.59999999998</v>
      </c>
      <c r="R15" s="70">
        <f>1500+2892.12-2292.12-19.4</f>
        <v>2080.6</v>
      </c>
      <c r="S15" s="70">
        <v>0</v>
      </c>
      <c r="T15" s="10">
        <f t="shared" si="7"/>
        <v>135321.45000000001</v>
      </c>
      <c r="U15" s="70">
        <f>60000+24000-4036.63-14000-27290.3</f>
        <v>38673.069999999992</v>
      </c>
      <c r="V15" s="70">
        <f>62000+125000-127531.33-59468.67</f>
        <v>0</v>
      </c>
      <c r="W15" s="10">
        <f t="shared" si="4"/>
        <v>4141151.07</v>
      </c>
      <c r="X15" s="10">
        <f t="shared" si="0"/>
        <v>4281551.07</v>
      </c>
      <c r="Y15" s="52">
        <v>4305788.2699999996</v>
      </c>
      <c r="Z15" s="66">
        <f t="shared" si="5"/>
        <v>-24237.200000000001</v>
      </c>
    </row>
    <row r="16" spans="1:27" s="14" customFormat="1" ht="25.5" x14ac:dyDescent="0.2">
      <c r="A16" s="19" t="s">
        <v>10</v>
      </c>
      <c r="B16" s="20" t="s">
        <v>55</v>
      </c>
      <c r="C16" s="48">
        <f t="shared" ref="C16" si="8">SUM(C13:C15)</f>
        <v>2593110.36</v>
      </c>
      <c r="D16" s="48">
        <f t="shared" ref="D16:Y16" si="9">SUM(D13:D15)</f>
        <v>692772.99</v>
      </c>
      <c r="E16" s="48">
        <f t="shared" si="9"/>
        <v>8944.59</v>
      </c>
      <c r="F16" s="48">
        <f t="shared" si="9"/>
        <v>701717.58000000007</v>
      </c>
      <c r="G16" s="48">
        <f t="shared" si="9"/>
        <v>8516115.3099999987</v>
      </c>
      <c r="H16" s="48">
        <f t="shared" si="9"/>
        <v>0</v>
      </c>
      <c r="I16" s="48">
        <f t="shared" si="9"/>
        <v>412818.42000000004</v>
      </c>
      <c r="J16" s="48">
        <f t="shared" si="9"/>
        <v>0</v>
      </c>
      <c r="K16" s="48">
        <f t="shared" si="9"/>
        <v>16080</v>
      </c>
      <c r="L16" s="48">
        <f t="shared" si="9"/>
        <v>428898.42</v>
      </c>
      <c r="M16" s="48">
        <f t="shared" si="9"/>
        <v>28609.299999999992</v>
      </c>
      <c r="N16" s="48">
        <f t="shared" si="9"/>
        <v>21177.54</v>
      </c>
      <c r="O16" s="48">
        <f t="shared" si="9"/>
        <v>7690.8099999999995</v>
      </c>
      <c r="P16" s="48">
        <f t="shared" si="9"/>
        <v>30409.949999999997</v>
      </c>
      <c r="Q16" s="48">
        <f t="shared" si="9"/>
        <v>366031.5</v>
      </c>
      <c r="R16" s="48">
        <f t="shared" si="9"/>
        <v>6241.7999999999993</v>
      </c>
      <c r="S16" s="48">
        <f t="shared" si="9"/>
        <v>0</v>
      </c>
      <c r="T16" s="48">
        <f t="shared" si="9"/>
        <v>460160.9</v>
      </c>
      <c r="U16" s="48">
        <f t="shared" si="9"/>
        <v>161709.69999999998</v>
      </c>
      <c r="V16" s="48">
        <f t="shared" si="9"/>
        <v>0</v>
      </c>
      <c r="W16" s="48">
        <f t="shared" si="9"/>
        <v>12432813.85</v>
      </c>
      <c r="X16" s="48">
        <f t="shared" si="9"/>
        <v>12861712.27</v>
      </c>
      <c r="Y16" s="48">
        <f t="shared" si="9"/>
        <v>12664567.49</v>
      </c>
      <c r="Z16" s="51">
        <f>SUM(Z13:Z15)</f>
        <v>197144.77999999997</v>
      </c>
    </row>
    <row r="17" spans="1:28" s="17" customFormat="1" ht="25.5" x14ac:dyDescent="0.2">
      <c r="A17" s="16" t="s">
        <v>11</v>
      </c>
      <c r="B17" s="20" t="s">
        <v>56</v>
      </c>
      <c r="C17" s="48">
        <f>ROUND(C12+C16,2)</f>
        <v>4650110.3600000003</v>
      </c>
      <c r="D17" s="48">
        <f t="shared" ref="D17:Z17" si="10">ROUND(D12+D16,2)</f>
        <v>1256213.46</v>
      </c>
      <c r="E17" s="48">
        <f t="shared" si="10"/>
        <v>13356.5</v>
      </c>
      <c r="F17" s="48">
        <f t="shared" si="10"/>
        <v>1269569.96</v>
      </c>
      <c r="G17" s="48">
        <f t="shared" si="10"/>
        <v>17084520</v>
      </c>
      <c r="H17" s="48">
        <f t="shared" si="10"/>
        <v>0</v>
      </c>
      <c r="I17" s="48">
        <f t="shared" si="10"/>
        <v>826208.82</v>
      </c>
      <c r="J17" s="48">
        <f t="shared" si="10"/>
        <v>0</v>
      </c>
      <c r="K17" s="48">
        <f t="shared" si="10"/>
        <v>32640</v>
      </c>
      <c r="L17" s="48">
        <f t="shared" si="10"/>
        <v>858848.82</v>
      </c>
      <c r="M17" s="48">
        <f t="shared" si="10"/>
        <v>49966.21</v>
      </c>
      <c r="N17" s="48">
        <f t="shared" si="10"/>
        <v>54252.38</v>
      </c>
      <c r="O17" s="48">
        <f t="shared" si="10"/>
        <v>15385.31</v>
      </c>
      <c r="P17" s="48">
        <f t="shared" si="10"/>
        <v>61299.3</v>
      </c>
      <c r="Q17" s="48">
        <f t="shared" si="10"/>
        <v>838015</v>
      </c>
      <c r="R17" s="48">
        <f t="shared" si="10"/>
        <v>12688.48</v>
      </c>
      <c r="S17" s="48">
        <f t="shared" si="10"/>
        <v>0</v>
      </c>
      <c r="T17" s="48">
        <f t="shared" si="10"/>
        <v>1031606.68</v>
      </c>
      <c r="U17" s="48">
        <f t="shared" si="10"/>
        <v>339709.7</v>
      </c>
      <c r="V17" s="48">
        <f t="shared" si="10"/>
        <v>0</v>
      </c>
      <c r="W17" s="48">
        <f t="shared" si="10"/>
        <v>24375516.699999999</v>
      </c>
      <c r="X17" s="48">
        <f t="shared" si="10"/>
        <v>25234365.52</v>
      </c>
      <c r="Y17" s="48">
        <f t="shared" si="10"/>
        <v>25041995.289999999</v>
      </c>
      <c r="Z17" s="51">
        <f t="shared" si="10"/>
        <v>192370.23</v>
      </c>
    </row>
    <row r="18" spans="1:28" s="11" customFormat="1" ht="25.5" x14ac:dyDescent="0.2">
      <c r="A18" s="12">
        <v>11</v>
      </c>
      <c r="B18" s="18" t="s">
        <v>57</v>
      </c>
      <c r="C18" s="50">
        <f>680000+12089.64+315494.59</f>
        <v>1007584.23</v>
      </c>
      <c r="D18" s="70">
        <f>100000+146670+4500-73770-13613.46+100000+30959.48</f>
        <v>294746.02</v>
      </c>
      <c r="E18" s="50">
        <f>4500+143.5-4643.5</f>
        <v>0</v>
      </c>
      <c r="F18" s="48">
        <f t="shared" ref="F18:F20" si="11">ROUND(D18+E18,2)</f>
        <v>294746.02</v>
      </c>
      <c r="G18" s="15">
        <f>3000000-86698.33</f>
        <v>2913301.67</v>
      </c>
      <c r="H18" s="15">
        <f>830-6.93</f>
        <v>823.07</v>
      </c>
      <c r="I18" s="15">
        <f>140000+6791.18-19075.18</f>
        <v>127716</v>
      </c>
      <c r="J18" s="15">
        <v>120</v>
      </c>
      <c r="K18" s="15">
        <f>6000+3360-6000</f>
        <v>3360</v>
      </c>
      <c r="L18" s="10">
        <f t="shared" si="2"/>
        <v>131196</v>
      </c>
      <c r="M18" s="15">
        <f>12000+5830.56+4683.61</f>
        <v>22514.170000000002</v>
      </c>
      <c r="N18" s="52">
        <f>10000+2899.42-5704.16-162</f>
        <v>7033.26</v>
      </c>
      <c r="O18" s="15">
        <f>3000-235.6+473.83</f>
        <v>3238.23</v>
      </c>
      <c r="P18" s="15">
        <f>10400-263.35</f>
        <v>10136.65</v>
      </c>
      <c r="Q18" s="15">
        <f>160000+46267.4-96238.23</f>
        <v>110029.17</v>
      </c>
      <c r="R18" s="15">
        <f>2200+19.4-138.8</f>
        <v>2080.6</v>
      </c>
      <c r="S18" s="15">
        <f>132380-7.49</f>
        <v>132372.51</v>
      </c>
      <c r="T18" s="10">
        <f t="shared" ref="T18:T20" si="12">ROUND(M18+N18+O18+P18+Q18+R18+S18,2)</f>
        <v>287404.59000000003</v>
      </c>
      <c r="U18" s="70">
        <f>60000+14000+27290.3-17958.26</f>
        <v>83332.040000000008</v>
      </c>
      <c r="V18" s="15">
        <f>63000+59468.67-116099.31</f>
        <v>6369.3600000000006</v>
      </c>
      <c r="W18" s="10">
        <f t="shared" ref="W18:W20" si="13">ROUND(C18+F18+G18+H18+T18+U18+V18,2)</f>
        <v>4593560.9800000004</v>
      </c>
      <c r="X18" s="10">
        <f t="shared" si="0"/>
        <v>4724756.9800000004</v>
      </c>
      <c r="Y18" s="15">
        <v>4699576.71</v>
      </c>
      <c r="Z18" s="66">
        <f t="shared" ref="Z18:Z20" si="14">ROUND(X18-Y18,2)</f>
        <v>25180.27</v>
      </c>
    </row>
    <row r="19" spans="1:28" s="14" customFormat="1" ht="12.75" x14ac:dyDescent="0.2">
      <c r="A19" s="12">
        <v>12</v>
      </c>
      <c r="B19" s="18" t="s">
        <v>58</v>
      </c>
      <c r="C19" s="70">
        <f>680000-315494.59+680000+97789.01</f>
        <v>1142294.42</v>
      </c>
      <c r="D19" s="70">
        <f>266300-30959.48+104209.74</f>
        <v>339550.26</v>
      </c>
      <c r="E19" s="50">
        <f>4500+4643.5-4610.82</f>
        <v>4532.68</v>
      </c>
      <c r="F19" s="48">
        <f t="shared" si="11"/>
        <v>344082.94</v>
      </c>
      <c r="G19" s="15">
        <f>3000000+86698.33-42065.57</f>
        <v>3044632.7600000002</v>
      </c>
      <c r="H19" s="15">
        <f>6.93-6.93</f>
        <v>0</v>
      </c>
      <c r="I19" s="15">
        <f>140000+19075.18-20895.18</f>
        <v>138180</v>
      </c>
      <c r="J19" s="15">
        <v>0</v>
      </c>
      <c r="K19" s="15">
        <f>6000+6000-6960</f>
        <v>5040</v>
      </c>
      <c r="L19" s="10">
        <f t="shared" si="2"/>
        <v>143220</v>
      </c>
      <c r="M19" s="15">
        <f>12000-4683.61+5498.64</f>
        <v>12815.03</v>
      </c>
      <c r="N19" s="50">
        <f>10000+5704.16-5938.54</f>
        <v>9765.619999999999</v>
      </c>
      <c r="O19" s="15">
        <f>3000-473.83+307.29</f>
        <v>2833.46</v>
      </c>
      <c r="P19" s="15">
        <f>10400+263.35-526.7</f>
        <v>10136.65</v>
      </c>
      <c r="Q19" s="15">
        <f>160000+96238.23-102788.11</f>
        <v>153450.12</v>
      </c>
      <c r="R19" s="15">
        <f>2200+138.8-258.2</f>
        <v>2080.6000000000004</v>
      </c>
      <c r="S19" s="15">
        <f>7.49+132380-14.98</f>
        <v>132372.50999999998</v>
      </c>
      <c r="T19" s="10">
        <f t="shared" si="12"/>
        <v>323453.99</v>
      </c>
      <c r="U19" s="15">
        <f>60000+17958.26-36049.99</f>
        <v>41908.269999999997</v>
      </c>
      <c r="V19" s="15">
        <f>63000+116099.31-125876.84</f>
        <v>53222.47</v>
      </c>
      <c r="W19" s="10">
        <f t="shared" si="13"/>
        <v>4949594.8499999996</v>
      </c>
      <c r="X19" s="10">
        <f t="shared" si="0"/>
        <v>5092814.8499999996</v>
      </c>
      <c r="Y19" s="15">
        <v>5092814.8499999996</v>
      </c>
      <c r="Z19" s="66">
        <f t="shared" si="14"/>
        <v>0</v>
      </c>
    </row>
    <row r="20" spans="1:28" s="14" customFormat="1" ht="25.5" x14ac:dyDescent="0.2">
      <c r="A20" s="12">
        <v>13</v>
      </c>
      <c r="B20" s="18" t="s">
        <v>59</v>
      </c>
      <c r="C20" s="78">
        <f>1100000+210.99</f>
        <v>1100210.99</v>
      </c>
      <c r="D20" s="70">
        <f>266300-104209.74+150000+201080-176251.63</f>
        <v>336918.63</v>
      </c>
      <c r="E20" s="70">
        <f>4610.82+2590-2668.14</f>
        <v>4532.68</v>
      </c>
      <c r="F20" s="48">
        <f t="shared" si="11"/>
        <v>341451.31</v>
      </c>
      <c r="G20" s="78">
        <f>3000000+42065.57</f>
        <v>3042065.57</v>
      </c>
      <c r="H20" s="15">
        <f>6.93-6.93</f>
        <v>0</v>
      </c>
      <c r="I20" s="15">
        <f>140000+20895.18-22365.98</f>
        <v>138529.19999999998</v>
      </c>
      <c r="J20" s="15">
        <v>0</v>
      </c>
      <c r="K20" s="15">
        <f>6000+6960-8400</f>
        <v>4560</v>
      </c>
      <c r="L20" s="10">
        <f t="shared" si="2"/>
        <v>143089.20000000001</v>
      </c>
      <c r="M20" s="70">
        <f>12000+85000-5498.64+29400-117731.92</f>
        <v>3169.4400000000023</v>
      </c>
      <c r="N20" s="50">
        <f>10000+5938.54+162-6374.23</f>
        <v>9726.3100000000013</v>
      </c>
      <c r="O20" s="15">
        <f>3000-307.29-668.81</f>
        <v>2023.9</v>
      </c>
      <c r="P20" s="15">
        <f>10400+526.7-790.05</f>
        <v>10136.650000000001</v>
      </c>
      <c r="Q20" s="50">
        <f>160000+102788.11-141907.19</f>
        <v>120880.91999999998</v>
      </c>
      <c r="R20" s="15">
        <f>2200+258.2-377.6</f>
        <v>2080.6</v>
      </c>
      <c r="S20" s="70">
        <f>14.98+132380+132380-29.96</f>
        <v>264745.01999999996</v>
      </c>
      <c r="T20" s="10">
        <f t="shared" si="12"/>
        <v>412762.84</v>
      </c>
      <c r="U20" s="15">
        <f>60000+36049.99-56585.25</f>
        <v>39464.739999999991</v>
      </c>
      <c r="V20" s="15">
        <f>63000+125876.84-141058.72</f>
        <v>47818.119999999995</v>
      </c>
      <c r="W20" s="10">
        <f t="shared" si="13"/>
        <v>4983773.57</v>
      </c>
      <c r="X20" s="10">
        <f t="shared" si="0"/>
        <v>5126862.7699999996</v>
      </c>
      <c r="Y20" s="15">
        <v>5329581.8499999996</v>
      </c>
      <c r="Z20" s="66">
        <f t="shared" si="14"/>
        <v>-202719.08</v>
      </c>
    </row>
    <row r="21" spans="1:28" s="21" customFormat="1" ht="25.5" x14ac:dyDescent="0.2">
      <c r="A21" s="16" t="s">
        <v>12</v>
      </c>
      <c r="B21" s="20" t="s">
        <v>60</v>
      </c>
      <c r="C21" s="53">
        <f>ROUND(C18+C19+C20,2)</f>
        <v>3250089.64</v>
      </c>
      <c r="D21" s="53">
        <f t="shared" ref="D21:Y21" si="15">ROUND(D18+D19+D20,2)</f>
        <v>971214.91</v>
      </c>
      <c r="E21" s="53">
        <f t="shared" si="15"/>
        <v>9065.36</v>
      </c>
      <c r="F21" s="53">
        <f t="shared" si="15"/>
        <v>980280.27</v>
      </c>
      <c r="G21" s="53">
        <f t="shared" si="15"/>
        <v>9000000</v>
      </c>
      <c r="H21" s="53">
        <f t="shared" si="15"/>
        <v>823.07</v>
      </c>
      <c r="I21" s="53">
        <f t="shared" si="15"/>
        <v>404425.2</v>
      </c>
      <c r="J21" s="53">
        <f t="shared" si="15"/>
        <v>120</v>
      </c>
      <c r="K21" s="53">
        <f t="shared" si="15"/>
        <v>12960</v>
      </c>
      <c r="L21" s="53">
        <f t="shared" si="15"/>
        <v>417505.2</v>
      </c>
      <c r="M21" s="53">
        <f t="shared" si="15"/>
        <v>38498.639999999999</v>
      </c>
      <c r="N21" s="53">
        <f t="shared" si="15"/>
        <v>26525.19</v>
      </c>
      <c r="O21" s="53">
        <f t="shared" si="15"/>
        <v>8095.59</v>
      </c>
      <c r="P21" s="53">
        <f t="shared" si="15"/>
        <v>30409.95</v>
      </c>
      <c r="Q21" s="53">
        <f t="shared" si="15"/>
        <v>384360.21</v>
      </c>
      <c r="R21" s="53">
        <f t="shared" si="15"/>
        <v>6241.8</v>
      </c>
      <c r="S21" s="53">
        <f t="shared" si="15"/>
        <v>529490.04</v>
      </c>
      <c r="T21" s="53">
        <f t="shared" si="15"/>
        <v>1023621.42</v>
      </c>
      <c r="U21" s="53">
        <f t="shared" si="15"/>
        <v>164705.04999999999</v>
      </c>
      <c r="V21" s="53">
        <f t="shared" si="15"/>
        <v>107409.95</v>
      </c>
      <c r="W21" s="53">
        <f t="shared" si="15"/>
        <v>14526929.4</v>
      </c>
      <c r="X21" s="53">
        <f t="shared" si="15"/>
        <v>14944434.6</v>
      </c>
      <c r="Y21" s="53">
        <f t="shared" si="15"/>
        <v>15121973.41</v>
      </c>
      <c r="Z21" s="54">
        <f>Z20</f>
        <v>-202719.08</v>
      </c>
    </row>
    <row r="22" spans="1:28" s="21" customFormat="1" ht="25.5" x14ac:dyDescent="0.2">
      <c r="A22" s="16" t="s">
        <v>13</v>
      </c>
      <c r="B22" s="20" t="s">
        <v>61</v>
      </c>
      <c r="C22" s="53">
        <f>ROUND(C17+C21,2)</f>
        <v>7900200</v>
      </c>
      <c r="D22" s="53">
        <f t="shared" ref="D22:Y22" si="16">ROUND(D17+D21,2)</f>
        <v>2227428.37</v>
      </c>
      <c r="E22" s="53">
        <f t="shared" si="16"/>
        <v>22421.86</v>
      </c>
      <c r="F22" s="53">
        <f t="shared" si="16"/>
        <v>2249850.23</v>
      </c>
      <c r="G22" s="53">
        <f t="shared" si="16"/>
        <v>26084520</v>
      </c>
      <c r="H22" s="53">
        <f t="shared" si="16"/>
        <v>823.07</v>
      </c>
      <c r="I22" s="53">
        <f t="shared" si="16"/>
        <v>1230634.02</v>
      </c>
      <c r="J22" s="53">
        <f t="shared" si="16"/>
        <v>120</v>
      </c>
      <c r="K22" s="53">
        <f t="shared" si="16"/>
        <v>45600</v>
      </c>
      <c r="L22" s="53">
        <f t="shared" si="16"/>
        <v>1276354.02</v>
      </c>
      <c r="M22" s="53">
        <f t="shared" si="16"/>
        <v>88464.85</v>
      </c>
      <c r="N22" s="53">
        <f t="shared" si="16"/>
        <v>80777.570000000007</v>
      </c>
      <c r="O22" s="53">
        <f t="shared" si="16"/>
        <v>23480.9</v>
      </c>
      <c r="P22" s="53">
        <f t="shared" si="16"/>
        <v>91709.25</v>
      </c>
      <c r="Q22" s="53">
        <f t="shared" si="16"/>
        <v>1222375.21</v>
      </c>
      <c r="R22" s="53">
        <f t="shared" si="16"/>
        <v>18930.28</v>
      </c>
      <c r="S22" s="53">
        <f t="shared" si="16"/>
        <v>529490.04</v>
      </c>
      <c r="T22" s="53">
        <f t="shared" si="16"/>
        <v>2055228.1</v>
      </c>
      <c r="U22" s="53">
        <f t="shared" si="16"/>
        <v>504414.75</v>
      </c>
      <c r="V22" s="53">
        <f t="shared" si="16"/>
        <v>107409.95</v>
      </c>
      <c r="W22" s="53">
        <f t="shared" si="16"/>
        <v>38902446.100000001</v>
      </c>
      <c r="X22" s="53">
        <f t="shared" si="16"/>
        <v>40178800.119999997</v>
      </c>
      <c r="Y22" s="53">
        <f t="shared" si="16"/>
        <v>40163968.700000003</v>
      </c>
      <c r="Z22" s="54">
        <f>Z21</f>
        <v>-202719.08</v>
      </c>
    </row>
    <row r="23" spans="1:28" s="14" customFormat="1" ht="25.5" x14ac:dyDescent="0.2">
      <c r="A23" s="12">
        <v>16</v>
      </c>
      <c r="B23" s="22" t="s">
        <v>65</v>
      </c>
      <c r="C23" s="70">
        <f>623560+255910-590000-150110+1298000-98000-116051.69</f>
        <v>1223308.31</v>
      </c>
      <c r="D23" s="79">
        <f>100000+150000-201080+176251.63+105960+3593.25</f>
        <v>334724.88</v>
      </c>
      <c r="E23" s="70">
        <f>4500+2668.14-2635.46</f>
        <v>4532.6799999999994</v>
      </c>
      <c r="F23" s="48">
        <f t="shared" ref="F23:F25" si="17">ROUND(D23+E23,2)</f>
        <v>339257.56</v>
      </c>
      <c r="G23" s="70">
        <f>3000000+167000-1281.17</f>
        <v>3165718.83</v>
      </c>
      <c r="H23" s="15">
        <v>0</v>
      </c>
      <c r="I23" s="79">
        <f>140000+22365.98+8000-32991.18</f>
        <v>137374.80000000002</v>
      </c>
      <c r="J23" s="79">
        <v>0</v>
      </c>
      <c r="K23" s="79">
        <f>6000+8400-8000-3520</f>
        <v>2880</v>
      </c>
      <c r="L23" s="10">
        <f t="shared" si="2"/>
        <v>140254.79999999999</v>
      </c>
      <c r="M23" s="70">
        <f>12000+37500+107800-29400+117731.92-82000-144350.8</f>
        <v>19281.119999999995</v>
      </c>
      <c r="N23" s="79">
        <f>10000+6374.23+246000-111658.69</f>
        <v>150715.53999999998</v>
      </c>
      <c r="O23" s="70">
        <f>3000+668.81-1644.91</f>
        <v>2023.8999999999999</v>
      </c>
      <c r="P23" s="70">
        <f>10400+790.05-1000-53.4</f>
        <v>10136.65</v>
      </c>
      <c r="Q23" s="70">
        <f>162000+141907.19-172000-332.15</f>
        <v>131575.04000000001</v>
      </c>
      <c r="R23" s="70">
        <f>2200+377.6-497</f>
        <v>2080.6</v>
      </c>
      <c r="S23" s="79">
        <f>29.96+132380-37.45</f>
        <v>132372.50999999998</v>
      </c>
      <c r="T23" s="10">
        <f t="shared" ref="T23:T25" si="18">ROUND(M23+N23+O23+P23+Q23+R23+S23,2)</f>
        <v>448185.36</v>
      </c>
      <c r="U23" s="70">
        <f>40950-24000+56585.25+5880.3</f>
        <v>79415.55</v>
      </c>
      <c r="V23" s="70">
        <f>63000+141058.72-153000-93.77</f>
        <v>50964.950000000004</v>
      </c>
      <c r="W23" s="10">
        <f t="shared" ref="W23:W25" si="19">ROUND(C23+F23+G23+H23+T23+U23+V23,2)</f>
        <v>5306850.5599999996</v>
      </c>
      <c r="X23" s="10">
        <f t="shared" si="0"/>
        <v>5447105.3600000003</v>
      </c>
      <c r="Y23" s="15">
        <f>5185827.11+58559.17</f>
        <v>5244386.28</v>
      </c>
      <c r="Z23" s="67">
        <f>X23-Y23</f>
        <v>202719.08000000007</v>
      </c>
    </row>
    <row r="24" spans="1:28" s="14" customFormat="1" ht="12.75" x14ac:dyDescent="0.2">
      <c r="A24" s="12">
        <v>17</v>
      </c>
      <c r="B24" s="22" t="s">
        <v>66</v>
      </c>
      <c r="C24" s="70">
        <f>822800+116051.69+425770-215356.37</f>
        <v>1149265.3199999998</v>
      </c>
      <c r="D24" s="70">
        <f>340406.75-90069.27</f>
        <v>250337.47999999998</v>
      </c>
      <c r="E24" s="70">
        <f>2635.46+1900-4535.46</f>
        <v>0</v>
      </c>
      <c r="F24" s="48">
        <f t="shared" si="17"/>
        <v>250337.48</v>
      </c>
      <c r="G24" s="70">
        <f>2242970+516480+500000+1281.17+61754.76</f>
        <v>3322485.9299999997</v>
      </c>
      <c r="H24" s="50">
        <v>0</v>
      </c>
      <c r="I24" s="50">
        <f>140000+3834.4</f>
        <v>143834.4</v>
      </c>
      <c r="J24" s="50">
        <v>0</v>
      </c>
      <c r="K24" s="50">
        <f>6000-1560</f>
        <v>4440</v>
      </c>
      <c r="L24" s="10">
        <f t="shared" si="2"/>
        <v>148274.4</v>
      </c>
      <c r="M24" s="70">
        <f>12000+144350.8-71584.62</f>
        <v>84766.18</v>
      </c>
      <c r="N24" s="70">
        <f>10000+180000-35836.74</f>
        <v>154163.26</v>
      </c>
      <c r="O24" s="70">
        <f>3000+1644.91-2216.24</f>
        <v>2428.67</v>
      </c>
      <c r="P24" s="70">
        <f>10400+53.4-316.75</f>
        <v>10136.65</v>
      </c>
      <c r="Q24" s="70">
        <f>160000+332.15-17738.43</f>
        <v>142593.72</v>
      </c>
      <c r="R24" s="70">
        <f>2200-119.4</f>
        <v>2080.6</v>
      </c>
      <c r="S24" s="70">
        <f>37.45+132380+132380-52.43</f>
        <v>264745.02</v>
      </c>
      <c r="T24" s="10">
        <f t="shared" si="18"/>
        <v>660914.1</v>
      </c>
      <c r="U24" s="70">
        <f>87000-5880.3-23946.44</f>
        <v>57173.259999999995</v>
      </c>
      <c r="V24" s="70">
        <f>17000+34000+93.77-11895.23</f>
        <v>39198.539999999994</v>
      </c>
      <c r="W24" s="10">
        <f t="shared" si="19"/>
        <v>5479374.6299999999</v>
      </c>
      <c r="X24" s="10">
        <f t="shared" si="0"/>
        <v>5627649.0300000003</v>
      </c>
      <c r="Y24" s="15">
        <f>5569089.86+58559.17</f>
        <v>5627649.0300000003</v>
      </c>
      <c r="Z24" s="67">
        <f>X24-Y24</f>
        <v>0</v>
      </c>
    </row>
    <row r="25" spans="1:28" s="14" customFormat="1" ht="12.75" x14ac:dyDescent="0.2">
      <c r="A25" s="12">
        <v>18</v>
      </c>
      <c r="B25" s="22" t="s">
        <v>67</v>
      </c>
      <c r="C25" s="70">
        <f>935380+215356.37-71934.24</f>
        <v>1078802.1300000001</v>
      </c>
      <c r="D25" s="70">
        <f>325000-70000+90069.27-1991.23</f>
        <v>343078.04000000004</v>
      </c>
      <c r="E25" s="70">
        <f>4550+4535.46-20.1</f>
        <v>9065.3599999999988</v>
      </c>
      <c r="F25" s="48">
        <f t="shared" si="17"/>
        <v>352143.4</v>
      </c>
      <c r="G25" s="78">
        <f>2217000+484950+189390-61754.76</f>
        <v>2829585.24</v>
      </c>
      <c r="H25" s="70">
        <f>6.93-6.93</f>
        <v>0</v>
      </c>
      <c r="I25" s="70">
        <f>86000+17000+32991.18-3834.4-6094.38</f>
        <v>126062.39999999999</v>
      </c>
      <c r="J25" s="50">
        <v>0</v>
      </c>
      <c r="K25" s="50">
        <f>3300+3520+1560-4060</f>
        <v>4320</v>
      </c>
      <c r="L25" s="10">
        <f t="shared" si="2"/>
        <v>130382.39999999999</v>
      </c>
      <c r="M25" s="70">
        <f>28203.23+71584.62-9284.28</f>
        <v>90503.569999999992</v>
      </c>
      <c r="N25" s="70">
        <f>6000+6848.2+111658.69+35836.74-6611.05</f>
        <v>153732.58000000002</v>
      </c>
      <c r="O25" s="70">
        <f>3000+850.29+2216.24-4447.41</f>
        <v>1619.12</v>
      </c>
      <c r="P25" s="70">
        <f>7760+3500.7-1000+316.75-440.8</f>
        <v>10136.650000000001</v>
      </c>
      <c r="Q25" s="78">
        <f>160000+109717.6-153000+17738.43</f>
        <v>134456.02999999997</v>
      </c>
      <c r="R25" s="70">
        <f>280+2292.12-383.6-107.92</f>
        <v>2080.6</v>
      </c>
      <c r="S25" s="70">
        <f>52.43+132380-59.92</f>
        <v>132372.50999999998</v>
      </c>
      <c r="T25" s="10">
        <f t="shared" si="18"/>
        <v>524901.06000000006</v>
      </c>
      <c r="U25" s="78">
        <f>7600+23946.44</f>
        <v>31546.44</v>
      </c>
      <c r="V25" s="70">
        <f>127531.33-39000-34000+11895.23-27228.02</f>
        <v>39198.539999999994</v>
      </c>
      <c r="W25" s="10">
        <f t="shared" si="19"/>
        <v>4856176.8099999996</v>
      </c>
      <c r="X25" s="10">
        <f t="shared" si="0"/>
        <v>4986559.21</v>
      </c>
      <c r="Y25" s="15">
        <f>5114542.31+58559.17</f>
        <v>5173101.4799999995</v>
      </c>
      <c r="Z25" s="67">
        <f>X25-Y25</f>
        <v>-186542.26999999955</v>
      </c>
    </row>
    <row r="26" spans="1:28" s="21" customFormat="1" ht="25.5" x14ac:dyDescent="0.2">
      <c r="A26" s="16" t="s">
        <v>14</v>
      </c>
      <c r="B26" s="37" t="s">
        <v>68</v>
      </c>
      <c r="C26" s="53">
        <f>ROUND(C23+C24+C25,2)</f>
        <v>3451375.76</v>
      </c>
      <c r="D26" s="53">
        <f t="shared" ref="D26:Y26" si="20">ROUND(D23+D24+D25,2)</f>
        <v>928140.4</v>
      </c>
      <c r="E26" s="53">
        <f t="shared" si="20"/>
        <v>13598.04</v>
      </c>
      <c r="F26" s="53">
        <f t="shared" si="20"/>
        <v>941738.44</v>
      </c>
      <c r="G26" s="53">
        <f t="shared" si="20"/>
        <v>9317790</v>
      </c>
      <c r="H26" s="53">
        <f t="shared" si="20"/>
        <v>0</v>
      </c>
      <c r="I26" s="53">
        <f t="shared" si="20"/>
        <v>407271.6</v>
      </c>
      <c r="J26" s="53">
        <f t="shared" si="20"/>
        <v>0</v>
      </c>
      <c r="K26" s="53">
        <f t="shared" si="20"/>
        <v>11640</v>
      </c>
      <c r="L26" s="53">
        <f t="shared" si="20"/>
        <v>418911.6</v>
      </c>
      <c r="M26" s="53">
        <f t="shared" si="20"/>
        <v>194550.87</v>
      </c>
      <c r="N26" s="53">
        <f t="shared" si="20"/>
        <v>458611.38</v>
      </c>
      <c r="O26" s="53">
        <f t="shared" si="20"/>
        <v>6071.69</v>
      </c>
      <c r="P26" s="53">
        <f t="shared" si="20"/>
        <v>30409.95</v>
      </c>
      <c r="Q26" s="53">
        <f t="shared" si="20"/>
        <v>408624.79</v>
      </c>
      <c r="R26" s="53">
        <f t="shared" si="20"/>
        <v>6241.8</v>
      </c>
      <c r="S26" s="53">
        <f t="shared" si="20"/>
        <v>529490.04</v>
      </c>
      <c r="T26" s="53">
        <f t="shared" si="20"/>
        <v>1634000.52</v>
      </c>
      <c r="U26" s="53">
        <f t="shared" si="20"/>
        <v>168135.25</v>
      </c>
      <c r="V26" s="53">
        <f t="shared" si="20"/>
        <v>129362.03</v>
      </c>
      <c r="W26" s="53">
        <f t="shared" si="20"/>
        <v>15642402</v>
      </c>
      <c r="X26" s="53">
        <f t="shared" si="20"/>
        <v>16061313.6</v>
      </c>
      <c r="Y26" s="53">
        <f t="shared" si="20"/>
        <v>16045136.789999999</v>
      </c>
      <c r="Z26" s="80">
        <f>ROUND(Z23+Z24+Z25+Z22,2)</f>
        <v>-186542.27</v>
      </c>
    </row>
    <row r="27" spans="1:28" s="21" customFormat="1" ht="38.25" x14ac:dyDescent="0.2">
      <c r="A27" s="23" t="s">
        <v>15</v>
      </c>
      <c r="B27" s="24" t="s">
        <v>69</v>
      </c>
      <c r="C27" s="24">
        <f>ROUND(C12+C16+C21+C26,2)</f>
        <v>11351575.76</v>
      </c>
      <c r="D27" s="24">
        <f t="shared" ref="D27:Y27" si="21">ROUND(D12+D16+D21+D26,2)</f>
        <v>3155568.77</v>
      </c>
      <c r="E27" s="24">
        <f t="shared" si="21"/>
        <v>36019.9</v>
      </c>
      <c r="F27" s="24">
        <f t="shared" si="21"/>
        <v>3191588.67</v>
      </c>
      <c r="G27" s="24">
        <f t="shared" si="21"/>
        <v>35402310</v>
      </c>
      <c r="H27" s="24">
        <f t="shared" si="21"/>
        <v>823.07</v>
      </c>
      <c r="I27" s="24">
        <f t="shared" si="21"/>
        <v>1637905.62</v>
      </c>
      <c r="J27" s="24">
        <f t="shared" si="21"/>
        <v>120</v>
      </c>
      <c r="K27" s="24">
        <f t="shared" si="21"/>
        <v>57240</v>
      </c>
      <c r="L27" s="24">
        <f t="shared" si="21"/>
        <v>1695265.62</v>
      </c>
      <c r="M27" s="24">
        <f t="shared" si="21"/>
        <v>283015.71999999997</v>
      </c>
      <c r="N27" s="24">
        <f t="shared" si="21"/>
        <v>539388.94999999995</v>
      </c>
      <c r="O27" s="24">
        <f t="shared" si="21"/>
        <v>29552.59</v>
      </c>
      <c r="P27" s="24">
        <f t="shared" si="21"/>
        <v>122119.2</v>
      </c>
      <c r="Q27" s="24">
        <f t="shared" si="21"/>
        <v>1631000</v>
      </c>
      <c r="R27" s="24">
        <f t="shared" si="21"/>
        <v>25172.080000000002</v>
      </c>
      <c r="S27" s="24">
        <f t="shared" si="21"/>
        <v>1058980.08</v>
      </c>
      <c r="T27" s="24">
        <f t="shared" si="21"/>
        <v>3689228.62</v>
      </c>
      <c r="U27" s="24">
        <f t="shared" si="21"/>
        <v>672550</v>
      </c>
      <c r="V27" s="24">
        <f t="shared" si="21"/>
        <v>236771.98</v>
      </c>
      <c r="W27" s="24">
        <f t="shared" si="21"/>
        <v>54544848.100000001</v>
      </c>
      <c r="X27" s="24">
        <f t="shared" si="21"/>
        <v>56240113.719999999</v>
      </c>
      <c r="Y27" s="24">
        <f t="shared" si="21"/>
        <v>56209105.490000002</v>
      </c>
      <c r="Z27" s="81">
        <f>ROUND(X27-Y27-X11,2)</f>
        <v>-186542.27</v>
      </c>
    </row>
    <row r="28" spans="1:28" s="14" customFormat="1" ht="38.25" x14ac:dyDescent="0.2">
      <c r="A28" s="25" t="s">
        <v>70</v>
      </c>
      <c r="B28" s="26" t="s">
        <v>34</v>
      </c>
      <c r="C28" s="15">
        <f>ROUND(C8+C9+C10+C11+C13+C14+C15+C18+C19+C20+C23+C24+C25,2)</f>
        <v>11351575.76</v>
      </c>
      <c r="D28" s="15">
        <f t="shared" ref="D28:V28" si="22">ROUND(D8+D9+D10+D11+D13+D14+D15+D18+D19+D20+D23+D24+D25,2)</f>
        <v>3155568.77</v>
      </c>
      <c r="E28" s="15">
        <f t="shared" si="22"/>
        <v>36019.9</v>
      </c>
      <c r="F28" s="48">
        <f>ROUND(D28+E28,2)</f>
        <v>3191588.67</v>
      </c>
      <c r="G28" s="15">
        <f t="shared" si="22"/>
        <v>35402310</v>
      </c>
      <c r="H28" s="15">
        <f t="shared" si="22"/>
        <v>823.07</v>
      </c>
      <c r="I28" s="15">
        <f t="shared" si="22"/>
        <v>1637905.62</v>
      </c>
      <c r="J28" s="15">
        <f t="shared" si="22"/>
        <v>120</v>
      </c>
      <c r="K28" s="15">
        <f t="shared" si="22"/>
        <v>57240</v>
      </c>
      <c r="L28" s="48">
        <f>ROUND(I28+J28+K28,2)</f>
        <v>1695265.62</v>
      </c>
      <c r="M28" s="15">
        <f t="shared" si="22"/>
        <v>283015.71999999997</v>
      </c>
      <c r="N28" s="15">
        <f t="shared" si="22"/>
        <v>539388.94999999995</v>
      </c>
      <c r="O28" s="15">
        <f t="shared" si="22"/>
        <v>29552.59</v>
      </c>
      <c r="P28" s="15">
        <f t="shared" si="22"/>
        <v>122119.2</v>
      </c>
      <c r="Q28" s="15">
        <f t="shared" si="22"/>
        <v>1631000</v>
      </c>
      <c r="R28" s="15">
        <f t="shared" si="22"/>
        <v>25172.080000000002</v>
      </c>
      <c r="S28" s="15">
        <f t="shared" si="22"/>
        <v>1058980.08</v>
      </c>
      <c r="T28" s="48">
        <f>ROUND(M28+N28+O28+P28+Q28+R28+S28,2)</f>
        <v>3689228.62</v>
      </c>
      <c r="U28" s="15">
        <f t="shared" si="22"/>
        <v>672550</v>
      </c>
      <c r="V28" s="15">
        <f t="shared" si="22"/>
        <v>236771.98</v>
      </c>
      <c r="W28" s="10">
        <f t="shared" ref="W28:W32" si="23">ROUND(C28+F28+G28+H28+T28+U28+V28,2)</f>
        <v>54544848.100000001</v>
      </c>
      <c r="X28" s="10">
        <f t="shared" si="0"/>
        <v>56240113.719999999</v>
      </c>
      <c r="Y28" s="15"/>
      <c r="Z28" s="67"/>
      <c r="AA28" s="49"/>
      <c r="AB28" s="49"/>
    </row>
    <row r="29" spans="1:28" s="55" customFormat="1" ht="25.5" customHeight="1" x14ac:dyDescent="0.2">
      <c r="A29" s="12" t="s">
        <v>17</v>
      </c>
      <c r="B29" s="27" t="s">
        <v>21</v>
      </c>
      <c r="C29" s="15">
        <f t="shared" ref="C29:K29" si="24">ROUND(C7-C28,2)</f>
        <v>71934.240000000005</v>
      </c>
      <c r="D29" s="15">
        <f t="shared" si="24"/>
        <v>1991.23</v>
      </c>
      <c r="E29" s="15">
        <f t="shared" si="24"/>
        <v>20.100000000000001</v>
      </c>
      <c r="F29" s="48">
        <f t="shared" ref="F29:F32" si="25">ROUND(D29+E29,2)</f>
        <v>2011.33</v>
      </c>
      <c r="G29" s="15">
        <f t="shared" si="24"/>
        <v>0</v>
      </c>
      <c r="H29" s="15">
        <f t="shared" si="24"/>
        <v>6.93</v>
      </c>
      <c r="I29" s="15">
        <f t="shared" si="24"/>
        <v>6094.38</v>
      </c>
      <c r="J29" s="15">
        <f t="shared" si="24"/>
        <v>0</v>
      </c>
      <c r="K29" s="15">
        <f t="shared" si="24"/>
        <v>4060</v>
      </c>
      <c r="L29" s="48">
        <f t="shared" ref="L29:L32" si="26">ROUND(I29+J29+K29,2)</f>
        <v>10154.379999999999</v>
      </c>
      <c r="M29" s="15">
        <f t="shared" ref="M29:V29" si="27">ROUND(M7-M28,2)</f>
        <v>9284.2800000000007</v>
      </c>
      <c r="N29" s="15">
        <f t="shared" si="27"/>
        <v>6611.05</v>
      </c>
      <c r="O29" s="15">
        <f t="shared" si="27"/>
        <v>4447.41</v>
      </c>
      <c r="P29" s="15">
        <f t="shared" si="27"/>
        <v>440.8</v>
      </c>
      <c r="Q29" s="15">
        <f t="shared" si="27"/>
        <v>0</v>
      </c>
      <c r="R29" s="15">
        <f t="shared" si="27"/>
        <v>107.92</v>
      </c>
      <c r="S29" s="15">
        <f t="shared" si="27"/>
        <v>59.92</v>
      </c>
      <c r="T29" s="48">
        <f t="shared" ref="T29:T32" si="28">ROUND(M29+N29+O29+P29+Q29+R29+S29,2)</f>
        <v>20951.38</v>
      </c>
      <c r="U29" s="15">
        <f t="shared" si="27"/>
        <v>0</v>
      </c>
      <c r="V29" s="15">
        <f t="shared" si="27"/>
        <v>27228.02</v>
      </c>
      <c r="W29" s="10">
        <f t="shared" si="23"/>
        <v>122131.9</v>
      </c>
      <c r="X29" s="10">
        <f t="shared" si="0"/>
        <v>132286.28</v>
      </c>
      <c r="Y29" s="15"/>
      <c r="Z29" s="71"/>
    </row>
    <row r="30" spans="1:28" s="59" customFormat="1" ht="12.75" x14ac:dyDescent="0.2">
      <c r="A30" s="82">
        <v>23</v>
      </c>
      <c r="B30" s="56" t="s">
        <v>71</v>
      </c>
      <c r="C30" s="57">
        <v>0</v>
      </c>
      <c r="D30" s="57">
        <v>0</v>
      </c>
      <c r="E30" s="57">
        <v>0</v>
      </c>
      <c r="F30" s="72">
        <f t="shared" si="25"/>
        <v>0</v>
      </c>
      <c r="G30" s="57">
        <v>160730.87</v>
      </c>
      <c r="H30" s="57">
        <v>0</v>
      </c>
      <c r="I30" s="57">
        <v>0</v>
      </c>
      <c r="J30" s="57">
        <v>0</v>
      </c>
      <c r="K30" s="57">
        <v>0</v>
      </c>
      <c r="L30" s="72">
        <f t="shared" si="26"/>
        <v>0</v>
      </c>
      <c r="M30" s="57">
        <v>0</v>
      </c>
      <c r="N30" s="57">
        <v>0</v>
      </c>
      <c r="O30" s="57">
        <v>0</v>
      </c>
      <c r="P30" s="57">
        <v>0</v>
      </c>
      <c r="Q30" s="57">
        <v>19156.37</v>
      </c>
      <c r="R30" s="57">
        <v>0</v>
      </c>
      <c r="S30" s="57">
        <v>0</v>
      </c>
      <c r="T30" s="72">
        <f t="shared" si="28"/>
        <v>19156.37</v>
      </c>
      <c r="U30" s="57">
        <v>6655.03</v>
      </c>
      <c r="V30" s="57">
        <v>0</v>
      </c>
      <c r="W30" s="58">
        <f t="shared" si="23"/>
        <v>186542.27</v>
      </c>
      <c r="X30" s="58">
        <f t="shared" si="0"/>
        <v>186542.27</v>
      </c>
      <c r="Y30" s="57"/>
      <c r="Z30" s="73"/>
    </row>
    <row r="31" spans="1:28" s="11" customFormat="1" ht="12.75" x14ac:dyDescent="0.2">
      <c r="A31" s="12">
        <v>24</v>
      </c>
      <c r="B31" s="26" t="s">
        <v>35</v>
      </c>
      <c r="C31" s="15">
        <v>596929.49</v>
      </c>
      <c r="D31" s="15">
        <v>166704.10999999999</v>
      </c>
      <c r="E31" s="15">
        <v>0</v>
      </c>
      <c r="F31" s="28">
        <f t="shared" si="25"/>
        <v>166704.10999999999</v>
      </c>
      <c r="G31" s="15">
        <v>2867654.72</v>
      </c>
      <c r="H31" s="15">
        <v>0</v>
      </c>
      <c r="I31" s="15">
        <v>140435.9</v>
      </c>
      <c r="J31" s="15">
        <v>0</v>
      </c>
      <c r="K31" s="15">
        <v>6059</v>
      </c>
      <c r="L31" s="48">
        <f t="shared" si="26"/>
        <v>146494.9</v>
      </c>
      <c r="M31" s="15">
        <v>14255.88</v>
      </c>
      <c r="N31" s="15">
        <v>4615</v>
      </c>
      <c r="O31" s="15">
        <v>1672.84</v>
      </c>
      <c r="P31" s="15">
        <v>9511.65</v>
      </c>
      <c r="Q31" s="15">
        <v>141470.57</v>
      </c>
      <c r="R31" s="15">
        <v>2137.56</v>
      </c>
      <c r="S31" s="15">
        <v>0</v>
      </c>
      <c r="T31" s="48">
        <f t="shared" si="28"/>
        <v>173663.5</v>
      </c>
      <c r="U31" s="15">
        <v>59272.84</v>
      </c>
      <c r="V31" s="15">
        <v>0</v>
      </c>
      <c r="W31" s="10">
        <f t="shared" si="23"/>
        <v>3864224.66</v>
      </c>
      <c r="X31" s="10">
        <f t="shared" si="0"/>
        <v>4010719.56</v>
      </c>
      <c r="Y31" s="15"/>
      <c r="Z31" s="66"/>
    </row>
    <row r="32" spans="1:28" s="11" customFormat="1" ht="39" thickBot="1" x14ac:dyDescent="0.25">
      <c r="A32" s="83" t="s">
        <v>62</v>
      </c>
      <c r="B32" s="84" t="s">
        <v>36</v>
      </c>
      <c r="C32" s="75">
        <f>ROUND((C28+C30)/12,2)</f>
        <v>945964.65</v>
      </c>
      <c r="D32" s="75">
        <f t="shared" ref="D32:U32" si="29">ROUND((D28+D30)/12,2)</f>
        <v>262964.06</v>
      </c>
      <c r="E32" s="75">
        <f t="shared" si="29"/>
        <v>3001.66</v>
      </c>
      <c r="F32" s="33">
        <f t="shared" si="25"/>
        <v>265965.71999999997</v>
      </c>
      <c r="G32" s="75">
        <f t="shared" si="29"/>
        <v>2963586.74</v>
      </c>
      <c r="H32" s="75">
        <f>ROUND((H28+H30)/1,2)</f>
        <v>823.07</v>
      </c>
      <c r="I32" s="75">
        <f t="shared" si="29"/>
        <v>136492.14000000001</v>
      </c>
      <c r="J32" s="75">
        <f>ROUND((J28+J30)/1,2)</f>
        <v>120</v>
      </c>
      <c r="K32" s="75">
        <f t="shared" si="29"/>
        <v>4770</v>
      </c>
      <c r="L32" s="74">
        <f t="shared" si="26"/>
        <v>141382.14000000001</v>
      </c>
      <c r="M32" s="75">
        <f t="shared" si="29"/>
        <v>23584.639999999999</v>
      </c>
      <c r="N32" s="75">
        <f t="shared" si="29"/>
        <v>44949.08</v>
      </c>
      <c r="O32" s="75">
        <f t="shared" si="29"/>
        <v>2462.7199999999998</v>
      </c>
      <c r="P32" s="75">
        <f t="shared" si="29"/>
        <v>10176.6</v>
      </c>
      <c r="Q32" s="75">
        <f t="shared" si="29"/>
        <v>137513.03</v>
      </c>
      <c r="R32" s="75">
        <f t="shared" si="29"/>
        <v>2097.67</v>
      </c>
      <c r="S32" s="75">
        <f>ROUND((S28+S30)/6,2)</f>
        <v>176496.68</v>
      </c>
      <c r="T32" s="74">
        <f t="shared" si="28"/>
        <v>397280.42</v>
      </c>
      <c r="U32" s="75">
        <f t="shared" si="29"/>
        <v>56600.42</v>
      </c>
      <c r="V32" s="75">
        <f>ROUND((V28+V30)/6,2)</f>
        <v>39462</v>
      </c>
      <c r="W32" s="38">
        <f t="shared" si="23"/>
        <v>4669683.0199999996</v>
      </c>
      <c r="X32" s="38">
        <f t="shared" si="0"/>
        <v>4811065.16</v>
      </c>
      <c r="Y32" s="75"/>
      <c r="Z32" s="85"/>
    </row>
    <row r="33" spans="1:26" ht="29.25" customHeight="1" thickBot="1" x14ac:dyDescent="0.25">
      <c r="A33" s="86" t="s">
        <v>72</v>
      </c>
      <c r="B33" s="87"/>
      <c r="C33" s="88">
        <f>ROUND(((F27/F7)*100),2)</f>
        <v>99.94</v>
      </c>
      <c r="W33" s="60"/>
      <c r="X33" s="88">
        <v>99.94</v>
      </c>
    </row>
    <row r="34" spans="1:26" ht="31.5" customHeight="1" thickBot="1" x14ac:dyDescent="0.25">
      <c r="A34" s="86" t="s">
        <v>73</v>
      </c>
      <c r="B34" s="87"/>
      <c r="C34" s="88">
        <f>ROUND(((X27-F27)/(X7-F7))*100,2)</f>
        <v>99.76</v>
      </c>
      <c r="G34" s="60"/>
      <c r="X34" s="88">
        <v>99.76</v>
      </c>
    </row>
    <row r="35" spans="1:26" x14ac:dyDescent="0.2">
      <c r="G35" s="60"/>
      <c r="M35" s="60"/>
    </row>
    <row r="36" spans="1:26" x14ac:dyDescent="0.2">
      <c r="F36" s="40"/>
    </row>
    <row r="38" spans="1:26" x14ac:dyDescent="0.2">
      <c r="Q38" s="30"/>
      <c r="U38" s="60"/>
      <c r="Z38" s="31"/>
    </row>
    <row r="39" spans="1:26" x14ac:dyDescent="0.2">
      <c r="Q39" s="17"/>
      <c r="Z39" s="31"/>
    </row>
  </sheetData>
  <mergeCells count="4">
    <mergeCell ref="C2:Q2"/>
    <mergeCell ref="C3:P3"/>
    <mergeCell ref="A33:B33"/>
    <mergeCell ref="A34:B34"/>
  </mergeCells>
  <phoneticPr fontId="13" type="noConversion"/>
  <pageMargins left="0.15748031496062992" right="0.15748031496062992" top="0.19685039370078741" bottom="0.15748031496062992" header="0.19685039370078741" footer="0.15748031496062992"/>
  <pageSetup paperSize="9" scale="60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Foaie1</vt:lpstr>
      <vt:lpstr>Foaie2</vt:lpstr>
      <vt:lpstr>Foaie3</vt:lpstr>
      <vt:lpstr>Foaie1!Print_Titles</vt:lpstr>
    </vt:vector>
  </TitlesOfParts>
  <Company>cas olt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cp:lastPrinted>2022-10-28T10:46:08Z</cp:lastPrinted>
  <dcterms:created xsi:type="dcterms:W3CDTF">2019-01-29T08:53:27Z</dcterms:created>
  <dcterms:modified xsi:type="dcterms:W3CDTF">2023-02-01T13:48:02Z</dcterms:modified>
</cp:coreProperties>
</file>