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520"/>
  </bookViews>
  <sheets>
    <sheet name="Foaie1" sheetId="1" r:id="rId1"/>
    <sheet name="Foaie2" sheetId="2" r:id="rId2"/>
    <sheet name="Foaie3" sheetId="3" r:id="rId3"/>
  </sheets>
  <definedNames>
    <definedName name="_xlnm.Print_Titles" localSheetId="0">Foaie1!$A:$B,Foaie1!$5:$6</definedName>
  </definedNames>
  <calcPr calcId="145621"/>
</workbook>
</file>

<file path=xl/calcChain.xml><?xml version="1.0" encoding="utf-8"?>
<calcChain xmlns="http://schemas.openxmlformats.org/spreadsheetml/2006/main">
  <c r="AE33" i="1" l="1"/>
  <c r="AE34" i="1" s="1"/>
  <c r="P33" i="1"/>
  <c r="P34" i="1" s="1"/>
  <c r="P35" i="1" s="1"/>
  <c r="AV32" i="1"/>
  <c r="AY32" i="1" s="1"/>
  <c r="AU32" i="1"/>
  <c r="AS32" i="1"/>
  <c r="AR32" i="1"/>
  <c r="AX32" i="1" s="1"/>
  <c r="AW32" i="1" s="1"/>
  <c r="AQ32" i="1"/>
  <c r="AN32" i="1"/>
  <c r="AG32" i="1" s="1"/>
  <c r="AK32" i="1"/>
  <c r="W32" i="1"/>
  <c r="V32" i="1"/>
  <c r="R32" i="1"/>
  <c r="N32" i="1"/>
  <c r="K32" i="1"/>
  <c r="F32" i="1"/>
  <c r="J32" i="1" s="1"/>
  <c r="C32" i="1"/>
  <c r="AU31" i="1"/>
  <c r="AX31" i="1" s="1"/>
  <c r="AQ31" i="1"/>
  <c r="AN31" i="1"/>
  <c r="AG31" i="1" s="1"/>
  <c r="AK31" i="1"/>
  <c r="W31" i="1"/>
  <c r="V31" i="1"/>
  <c r="K31" i="1" s="1"/>
  <c r="R31" i="1"/>
  <c r="N31" i="1"/>
  <c r="J31" i="1"/>
  <c r="F31" i="1"/>
  <c r="C31" i="1"/>
  <c r="AL28" i="1"/>
  <c r="AL33" i="1" s="1"/>
  <c r="AH28" i="1"/>
  <c r="AH33" i="1" s="1"/>
  <c r="Z28" i="1"/>
  <c r="Z29" i="1" s="1"/>
  <c r="T28" i="1"/>
  <c r="T33" i="1" s="1"/>
  <c r="T34" i="1" s="1"/>
  <c r="P28" i="1"/>
  <c r="P29" i="1" s="1"/>
  <c r="M28" i="1"/>
  <c r="M29" i="1" s="1"/>
  <c r="L28" i="1"/>
  <c r="M27" i="1"/>
  <c r="AP26" i="1"/>
  <c r="AO26" i="1"/>
  <c r="AM26" i="1"/>
  <c r="AL26" i="1"/>
  <c r="AJ26" i="1"/>
  <c r="AI26" i="1"/>
  <c r="AH26" i="1"/>
  <c r="AF26" i="1"/>
  <c r="AE26" i="1"/>
  <c r="AD26" i="1"/>
  <c r="AC26" i="1"/>
  <c r="AB26" i="1"/>
  <c r="AA26" i="1"/>
  <c r="Z26" i="1"/>
  <c r="Y26" i="1"/>
  <c r="X26" i="1"/>
  <c r="V26" i="1"/>
  <c r="U26" i="1"/>
  <c r="T26" i="1"/>
  <c r="S26" i="1"/>
  <c r="Q26" i="1"/>
  <c r="P26" i="1"/>
  <c r="O26" i="1"/>
  <c r="M26" i="1"/>
  <c r="L26" i="1"/>
  <c r="I26" i="1"/>
  <c r="H26" i="1"/>
  <c r="G26" i="1"/>
  <c r="F26" i="1"/>
  <c r="E26" i="1"/>
  <c r="D26" i="1"/>
  <c r="AS25" i="1"/>
  <c r="AQ25" i="1" s="1"/>
  <c r="AR25" i="1"/>
  <c r="AN25" i="1"/>
  <c r="AG25" i="1" s="1"/>
  <c r="AK25" i="1"/>
  <c r="W25" i="1"/>
  <c r="V25" i="1"/>
  <c r="AV25" i="1" s="1"/>
  <c r="AY25" i="1" s="1"/>
  <c r="R25" i="1"/>
  <c r="AU25" i="1" s="1"/>
  <c r="N25" i="1"/>
  <c r="K25" i="1"/>
  <c r="F25" i="1"/>
  <c r="J25" i="1" s="1"/>
  <c r="C25" i="1"/>
  <c r="AV24" i="1"/>
  <c r="AU24" i="1"/>
  <c r="AT24" i="1" s="1"/>
  <c r="AN24" i="1"/>
  <c r="AK24" i="1"/>
  <c r="W24" i="1"/>
  <c r="V24" i="1"/>
  <c r="R24" i="1"/>
  <c r="N24" i="1"/>
  <c r="AR24" i="1" s="1"/>
  <c r="AX24" i="1" s="1"/>
  <c r="K24" i="1"/>
  <c r="F24" i="1"/>
  <c r="J24" i="1" s="1"/>
  <c r="C24" i="1"/>
  <c r="AS23" i="1"/>
  <c r="AY23" i="1" s="1"/>
  <c r="AN23" i="1"/>
  <c r="AK23" i="1"/>
  <c r="AG23" i="1"/>
  <c r="W23" i="1"/>
  <c r="W26" i="1" s="1"/>
  <c r="V23" i="1"/>
  <c r="AV23" i="1" s="1"/>
  <c r="R23" i="1"/>
  <c r="R26" i="1" s="1"/>
  <c r="N23" i="1"/>
  <c r="AR23" i="1" s="1"/>
  <c r="J23" i="1"/>
  <c r="J26" i="1" s="1"/>
  <c r="F23" i="1"/>
  <c r="C23" i="1"/>
  <c r="AL22" i="1"/>
  <c r="AE22" i="1"/>
  <c r="H22" i="1"/>
  <c r="AP21" i="1"/>
  <c r="AO21" i="1"/>
  <c r="AN21" i="1"/>
  <c r="AM21" i="1"/>
  <c r="AL21" i="1"/>
  <c r="AJ21" i="1"/>
  <c r="AI21" i="1"/>
  <c r="AI22" i="1" s="1"/>
  <c r="AH21" i="1"/>
  <c r="AF21" i="1"/>
  <c r="AE21" i="1"/>
  <c r="AD21" i="1"/>
  <c r="AC21" i="1"/>
  <c r="AB21" i="1"/>
  <c r="AA21" i="1"/>
  <c r="Z21" i="1"/>
  <c r="Y21" i="1"/>
  <c r="X21" i="1"/>
  <c r="U21" i="1"/>
  <c r="T21" i="1"/>
  <c r="S21" i="1"/>
  <c r="Q21" i="1"/>
  <c r="P21" i="1"/>
  <c r="O21" i="1"/>
  <c r="M21" i="1"/>
  <c r="L21" i="1"/>
  <c r="I21" i="1"/>
  <c r="H21" i="1"/>
  <c r="G21" i="1"/>
  <c r="E21" i="1"/>
  <c r="D21" i="1"/>
  <c r="AS20" i="1"/>
  <c r="AY20" i="1" s="1"/>
  <c r="AN20" i="1"/>
  <c r="AK20" i="1"/>
  <c r="AG20" i="1" s="1"/>
  <c r="W20" i="1"/>
  <c r="V20" i="1"/>
  <c r="AV20" i="1" s="1"/>
  <c r="R20" i="1"/>
  <c r="AU20" i="1" s="1"/>
  <c r="AT20" i="1" s="1"/>
  <c r="N20" i="1"/>
  <c r="AR20" i="1" s="1"/>
  <c r="K20" i="1"/>
  <c r="F20" i="1"/>
  <c r="J20" i="1" s="1"/>
  <c r="C20" i="1"/>
  <c r="AV19" i="1"/>
  <c r="AU19" i="1"/>
  <c r="AT19" i="1" s="1"/>
  <c r="AR19" i="1"/>
  <c r="AN19" i="1"/>
  <c r="AK19" i="1"/>
  <c r="AS19" i="1" s="1"/>
  <c r="AY19" i="1" s="1"/>
  <c r="AG19" i="1"/>
  <c r="W19" i="1"/>
  <c r="W21" i="1" s="1"/>
  <c r="V19" i="1"/>
  <c r="R19" i="1"/>
  <c r="K19" i="1" s="1"/>
  <c r="N19" i="1"/>
  <c r="F19" i="1"/>
  <c r="J19" i="1" s="1"/>
  <c r="C19" i="1"/>
  <c r="C21" i="1" s="1"/>
  <c r="AN18" i="1"/>
  <c r="AK18" i="1"/>
  <c r="W18" i="1"/>
  <c r="V18" i="1"/>
  <c r="V21" i="1" s="1"/>
  <c r="R18" i="1"/>
  <c r="AU18" i="1" s="1"/>
  <c r="N18" i="1"/>
  <c r="N21" i="1" s="1"/>
  <c r="F18" i="1"/>
  <c r="F21" i="1" s="1"/>
  <c r="C18" i="1"/>
  <c r="M17" i="1"/>
  <c r="AP16" i="1"/>
  <c r="AO16" i="1"/>
  <c r="AM16" i="1"/>
  <c r="AL16" i="1"/>
  <c r="AK16" i="1"/>
  <c r="AJ16" i="1"/>
  <c r="AI16" i="1"/>
  <c r="AH16" i="1"/>
  <c r="AF16" i="1"/>
  <c r="AE16" i="1"/>
  <c r="AD16" i="1"/>
  <c r="AC16" i="1"/>
  <c r="AB16" i="1"/>
  <c r="AA16" i="1"/>
  <c r="Z16" i="1"/>
  <c r="Y16" i="1"/>
  <c r="X16" i="1"/>
  <c r="W16" i="1"/>
  <c r="U16" i="1"/>
  <c r="T16" i="1"/>
  <c r="S16" i="1"/>
  <c r="R16" i="1"/>
  <c r="Q16" i="1"/>
  <c r="P16" i="1"/>
  <c r="O16" i="1"/>
  <c r="M16" i="1"/>
  <c r="M30" i="1" s="1"/>
  <c r="L16" i="1"/>
  <c r="I16" i="1"/>
  <c r="H16" i="1"/>
  <c r="G16" i="1"/>
  <c r="E16" i="1"/>
  <c r="D16" i="1"/>
  <c r="AY15" i="1"/>
  <c r="AU15" i="1"/>
  <c r="AT15" i="1" s="1"/>
  <c r="AR15" i="1"/>
  <c r="AQ15" i="1" s="1"/>
  <c r="AN15" i="1"/>
  <c r="AK15" i="1"/>
  <c r="AS15" i="1" s="1"/>
  <c r="AG15" i="1"/>
  <c r="W15" i="1"/>
  <c r="V15" i="1"/>
  <c r="AV15" i="1" s="1"/>
  <c r="R15" i="1"/>
  <c r="N15" i="1"/>
  <c r="K15" i="1"/>
  <c r="J15" i="1"/>
  <c r="F15" i="1"/>
  <c r="C15" i="1"/>
  <c r="AS14" i="1"/>
  <c r="AR14" i="1"/>
  <c r="AQ14" i="1"/>
  <c r="AN14" i="1"/>
  <c r="AG14" i="1" s="1"/>
  <c r="AK14" i="1"/>
  <c r="W14" i="1"/>
  <c r="V14" i="1"/>
  <c r="AV14" i="1" s="1"/>
  <c r="AY14" i="1" s="1"/>
  <c r="R14" i="1"/>
  <c r="AU14" i="1" s="1"/>
  <c r="N14" i="1"/>
  <c r="K14" i="1"/>
  <c r="F14" i="1"/>
  <c r="J14" i="1" s="1"/>
  <c r="C14" i="1"/>
  <c r="AV13" i="1"/>
  <c r="AV16" i="1" s="1"/>
  <c r="AU13" i="1"/>
  <c r="AN13" i="1"/>
  <c r="AN16" i="1" s="1"/>
  <c r="AK13" i="1"/>
  <c r="W13" i="1"/>
  <c r="V13" i="1"/>
  <c r="R13" i="1"/>
  <c r="N13" i="1"/>
  <c r="AR13" i="1" s="1"/>
  <c r="K13" i="1"/>
  <c r="F13" i="1"/>
  <c r="F16" i="1" s="1"/>
  <c r="C13" i="1"/>
  <c r="C16" i="1" s="1"/>
  <c r="AL12" i="1"/>
  <c r="AL27" i="1" s="1"/>
  <c r="AJ12" i="1"/>
  <c r="AJ22" i="1" s="1"/>
  <c r="AI12" i="1"/>
  <c r="AI17" i="1" s="1"/>
  <c r="AE12" i="1"/>
  <c r="AE27" i="1" s="1"/>
  <c r="P12" i="1"/>
  <c r="P17" i="1" s="1"/>
  <c r="P30" i="1" s="1"/>
  <c r="M12" i="1"/>
  <c r="M22" i="1" s="1"/>
  <c r="H12" i="1"/>
  <c r="H27" i="1" s="1"/>
  <c r="E12" i="1"/>
  <c r="E22" i="1" s="1"/>
  <c r="AN11" i="1"/>
  <c r="AK11" i="1"/>
  <c r="AS11" i="1" s="1"/>
  <c r="AF11" i="1"/>
  <c r="AF12" i="1" s="1"/>
  <c r="AC11" i="1"/>
  <c r="AC28" i="1" s="1"/>
  <c r="AC33" i="1" s="1"/>
  <c r="AC34" i="1" s="1"/>
  <c r="AC35" i="1" s="1"/>
  <c r="V11" i="1"/>
  <c r="AV11" i="1" s="1"/>
  <c r="R11" i="1"/>
  <c r="K11" i="1" s="1"/>
  <c r="L11" i="1"/>
  <c r="N11" i="1" s="1"/>
  <c r="F11" i="1"/>
  <c r="J11" i="1" s="1"/>
  <c r="C11" i="1"/>
  <c r="AU10" i="1"/>
  <c r="AP10" i="1"/>
  <c r="AO10" i="1"/>
  <c r="AM10" i="1"/>
  <c r="AN10" i="1" s="1"/>
  <c r="AJ10" i="1"/>
  <c r="AI10" i="1"/>
  <c r="AH10" i="1"/>
  <c r="AK10" i="1" s="1"/>
  <c r="AF10" i="1"/>
  <c r="AE10" i="1"/>
  <c r="AD10" i="1"/>
  <c r="AC10" i="1"/>
  <c r="AC12" i="1" s="1"/>
  <c r="AB10" i="1"/>
  <c r="AA10" i="1"/>
  <c r="Z10" i="1"/>
  <c r="Y10" i="1"/>
  <c r="W10" i="1" s="1"/>
  <c r="U10" i="1"/>
  <c r="T10" i="1"/>
  <c r="T12" i="1" s="1"/>
  <c r="S10" i="1"/>
  <c r="V10" i="1" s="1"/>
  <c r="Q10" i="1"/>
  <c r="R10" i="1" s="1"/>
  <c r="O10" i="1"/>
  <c r="L10" i="1"/>
  <c r="N10" i="1" s="1"/>
  <c r="H10" i="1"/>
  <c r="G10" i="1"/>
  <c r="AR10" i="1" s="1"/>
  <c r="F10" i="1"/>
  <c r="J10" i="1" s="1"/>
  <c r="E10" i="1"/>
  <c r="C10" i="1" s="1"/>
  <c r="D10" i="1"/>
  <c r="AR9" i="1"/>
  <c r="AP9" i="1"/>
  <c r="AO9" i="1"/>
  <c r="AN9" i="1"/>
  <c r="AM9" i="1"/>
  <c r="AJ9" i="1"/>
  <c r="AI9" i="1"/>
  <c r="AH9" i="1"/>
  <c r="AK9" i="1" s="1"/>
  <c r="AG9" i="1" s="1"/>
  <c r="AF9" i="1"/>
  <c r="AE9" i="1"/>
  <c r="AD9" i="1"/>
  <c r="AC9" i="1"/>
  <c r="AB9" i="1"/>
  <c r="AA9" i="1"/>
  <c r="W9" i="1" s="1"/>
  <c r="Z9" i="1"/>
  <c r="Y9" i="1"/>
  <c r="X9" i="1"/>
  <c r="U9" i="1"/>
  <c r="T9" i="1"/>
  <c r="S9" i="1"/>
  <c r="V9" i="1" s="1"/>
  <c r="AV9" i="1" s="1"/>
  <c r="Q9" i="1"/>
  <c r="R9" i="1" s="1"/>
  <c r="AU9" i="1" s="1"/>
  <c r="AT9" i="1" s="1"/>
  <c r="O9" i="1"/>
  <c r="O12" i="1" s="1"/>
  <c r="L9" i="1"/>
  <c r="N9" i="1" s="1"/>
  <c r="I9" i="1"/>
  <c r="I12" i="1" s="1"/>
  <c r="I22" i="1" s="1"/>
  <c r="H9" i="1"/>
  <c r="H28" i="1" s="1"/>
  <c r="G9" i="1"/>
  <c r="G12" i="1" s="1"/>
  <c r="F9" i="1"/>
  <c r="J9" i="1" s="1"/>
  <c r="E9" i="1"/>
  <c r="D9" i="1"/>
  <c r="C9" i="1"/>
  <c r="AP8" i="1"/>
  <c r="AO8" i="1"/>
  <c r="AO12" i="1" s="1"/>
  <c r="AO17" i="1" s="1"/>
  <c r="AO30" i="1" s="1"/>
  <c r="AM8" i="1"/>
  <c r="AM12" i="1" s="1"/>
  <c r="AK8" i="1"/>
  <c r="AJ8" i="1"/>
  <c r="AJ28" i="1" s="1"/>
  <c r="AJ33" i="1" s="1"/>
  <c r="AJ34" i="1" s="1"/>
  <c r="AI8" i="1"/>
  <c r="AI28" i="1" s="1"/>
  <c r="AI33" i="1" s="1"/>
  <c r="AI34" i="1" s="1"/>
  <c r="AH8" i="1"/>
  <c r="AF8" i="1"/>
  <c r="AF28" i="1" s="1"/>
  <c r="AF33" i="1" s="1"/>
  <c r="AF34" i="1" s="1"/>
  <c r="AF35" i="1" s="1"/>
  <c r="AE8" i="1"/>
  <c r="AE28" i="1" s="1"/>
  <c r="AD8" i="1"/>
  <c r="AC8" i="1"/>
  <c r="AB8" i="1"/>
  <c r="AA8" i="1"/>
  <c r="Z8" i="1"/>
  <c r="Z12" i="1" s="1"/>
  <c r="Z17" i="1" s="1"/>
  <c r="Y8" i="1"/>
  <c r="X8" i="1"/>
  <c r="X12" i="1" s="1"/>
  <c r="U8" i="1"/>
  <c r="U28" i="1" s="1"/>
  <c r="U33" i="1" s="1"/>
  <c r="U34" i="1" s="1"/>
  <c r="T8" i="1"/>
  <c r="S8" i="1"/>
  <c r="S12" i="1" s="1"/>
  <c r="Q8" i="1"/>
  <c r="O8" i="1"/>
  <c r="L8" i="1"/>
  <c r="H8" i="1"/>
  <c r="G8" i="1"/>
  <c r="F8" i="1"/>
  <c r="F12" i="1" s="1"/>
  <c r="E8" i="1"/>
  <c r="E28" i="1" s="1"/>
  <c r="E33" i="1" s="1"/>
  <c r="D8" i="1"/>
  <c r="C8" i="1"/>
  <c r="C12" i="1" s="1"/>
  <c r="AP7" i="1"/>
  <c r="AO7" i="1"/>
  <c r="AM7" i="1"/>
  <c r="AL7" i="1"/>
  <c r="AJ7" i="1"/>
  <c r="AI7" i="1"/>
  <c r="AH7" i="1"/>
  <c r="AF7" i="1"/>
  <c r="AE7" i="1"/>
  <c r="AD7" i="1"/>
  <c r="AC7" i="1"/>
  <c r="AB7" i="1"/>
  <c r="AA7" i="1"/>
  <c r="Z7" i="1"/>
  <c r="Y7" i="1"/>
  <c r="X7" i="1"/>
  <c r="U7" i="1"/>
  <c r="T7" i="1"/>
  <c r="S7" i="1"/>
  <c r="Q7" i="1"/>
  <c r="O7" i="1"/>
  <c r="L7" i="1"/>
  <c r="J7" i="1"/>
  <c r="I7" i="1"/>
  <c r="H7" i="1"/>
  <c r="F7" i="1" s="1"/>
  <c r="G7" i="1"/>
  <c r="E7" i="1"/>
  <c r="D7" i="1"/>
  <c r="C7" i="1" s="1"/>
  <c r="K21" i="1" l="1"/>
  <c r="AX10" i="1"/>
  <c r="X22" i="1"/>
  <c r="X27" i="1"/>
  <c r="X17" i="1"/>
  <c r="X30" i="1" s="1"/>
  <c r="C17" i="1"/>
  <c r="C22" i="1"/>
  <c r="G27" i="1"/>
  <c r="G22" i="1"/>
  <c r="G17" i="1"/>
  <c r="G30" i="1" s="1"/>
  <c r="AK33" i="1"/>
  <c r="AH34" i="1"/>
  <c r="AK34" i="1" s="1"/>
  <c r="AX20" i="1"/>
  <c r="AW20" i="1" s="1"/>
  <c r="AQ20" i="1"/>
  <c r="H33" i="1"/>
  <c r="H34" i="1" s="1"/>
  <c r="H29" i="1"/>
  <c r="Z30" i="1"/>
  <c r="K10" i="1"/>
  <c r="AV10" i="1"/>
  <c r="F27" i="1"/>
  <c r="F22" i="1"/>
  <c r="F17" i="1"/>
  <c r="T22" i="1"/>
  <c r="T17" i="1"/>
  <c r="T30" i="1" s="1"/>
  <c r="T27" i="1"/>
  <c r="AT10" i="1"/>
  <c r="O27" i="1"/>
  <c r="O17" i="1"/>
  <c r="O30" i="1" s="1"/>
  <c r="O22" i="1"/>
  <c r="AT14" i="1"/>
  <c r="AT25" i="1"/>
  <c r="AG10" i="1"/>
  <c r="AS10" i="1"/>
  <c r="AY10" i="1" s="1"/>
  <c r="Q35" i="1"/>
  <c r="AM30" i="1"/>
  <c r="S17" i="1"/>
  <c r="S30" i="1" s="1"/>
  <c r="S22" i="1"/>
  <c r="S27" i="1"/>
  <c r="AF22" i="1"/>
  <c r="AF27" i="1"/>
  <c r="AF17" i="1"/>
  <c r="AF30" i="1" s="1"/>
  <c r="AM27" i="1"/>
  <c r="AM17" i="1"/>
  <c r="AM22" i="1"/>
  <c r="AC22" i="1"/>
  <c r="AC27" i="1"/>
  <c r="AC17" i="1"/>
  <c r="AC30" i="1" s="1"/>
  <c r="AY11" i="1"/>
  <c r="AX19" i="1"/>
  <c r="AW19" i="1" s="1"/>
  <c r="AE17" i="1"/>
  <c r="J18" i="1"/>
  <c r="J21" i="1" s="1"/>
  <c r="AM28" i="1"/>
  <c r="AF29" i="1"/>
  <c r="W8" i="1"/>
  <c r="AN8" i="1"/>
  <c r="AN12" i="1" s="1"/>
  <c r="AG11" i="1"/>
  <c r="AH12" i="1"/>
  <c r="J13" i="1"/>
  <c r="J16" i="1" s="1"/>
  <c r="H17" i="1"/>
  <c r="H30" i="1" s="1"/>
  <c r="K18" i="1"/>
  <c r="AV26" i="1"/>
  <c r="AO27" i="1"/>
  <c r="Q29" i="1"/>
  <c r="V8" i="1"/>
  <c r="I17" i="1"/>
  <c r="I30" i="1" s="1"/>
  <c r="AR26" i="1"/>
  <c r="AO28" i="1"/>
  <c r="R7" i="1"/>
  <c r="AU7" i="1" s="1"/>
  <c r="Y12" i="1"/>
  <c r="AP12" i="1"/>
  <c r="AR16" i="1"/>
  <c r="V16" i="1"/>
  <c r="AJ17" i="1"/>
  <c r="AT18" i="1"/>
  <c r="AT21" i="1" s="1"/>
  <c r="AU21" i="1"/>
  <c r="AO22" i="1"/>
  <c r="AG26" i="1"/>
  <c r="S28" i="1"/>
  <c r="AP28" i="1"/>
  <c r="AV31" i="1"/>
  <c r="AY31" i="1" s="1"/>
  <c r="AW31" i="1" s="1"/>
  <c r="AT32" i="1"/>
  <c r="Q12" i="1"/>
  <c r="Q28" i="1"/>
  <c r="Q33" i="1" s="1"/>
  <c r="Q34" i="1" s="1"/>
  <c r="AA12" i="1"/>
  <c r="L29" i="1"/>
  <c r="N29" i="1" s="1"/>
  <c r="AX9" i="1"/>
  <c r="AR11" i="1"/>
  <c r="T29" i="1"/>
  <c r="T35" i="1"/>
  <c r="AX15" i="1"/>
  <c r="AW15" i="1" s="1"/>
  <c r="K9" i="1"/>
  <c r="AB12" i="1"/>
  <c r="AU11" i="1"/>
  <c r="AT11" i="1" s="1"/>
  <c r="AK21" i="1"/>
  <c r="AG18" i="1"/>
  <c r="AG21" i="1" s="1"/>
  <c r="AQ23" i="1"/>
  <c r="AQ24" i="1"/>
  <c r="X28" i="1"/>
  <c r="H35" i="1"/>
  <c r="AJ30" i="1"/>
  <c r="AJ29" i="1"/>
  <c r="AJ35" i="1"/>
  <c r="AL17" i="1"/>
  <c r="AN26" i="1"/>
  <c r="Z33" i="1"/>
  <c r="Z34" i="1" s="1"/>
  <c r="Z35" i="1" s="1"/>
  <c r="U29" i="1"/>
  <c r="U35" i="1"/>
  <c r="AK7" i="1"/>
  <c r="V7" i="1"/>
  <c r="AV7" i="1" s="1"/>
  <c r="AN7" i="1"/>
  <c r="AS13" i="1"/>
  <c r="AG13" i="1"/>
  <c r="AG16" i="1" s="1"/>
  <c r="AX25" i="1"/>
  <c r="AW25" i="1" s="1"/>
  <c r="N26" i="1"/>
  <c r="K26" i="1" s="1"/>
  <c r="Z27" i="1"/>
  <c r="Y28" i="1"/>
  <c r="AE30" i="1"/>
  <c r="E34" i="1"/>
  <c r="P22" i="1"/>
  <c r="P27" i="1"/>
  <c r="AS24" i="1"/>
  <c r="AG24" i="1"/>
  <c r="AE35" i="1"/>
  <c r="AR18" i="1"/>
  <c r="AQ19" i="1"/>
  <c r="Z22" i="1"/>
  <c r="AU23" i="1"/>
  <c r="E27" i="1"/>
  <c r="D28" i="1"/>
  <c r="AA28" i="1"/>
  <c r="AI35" i="1"/>
  <c r="AI30" i="1"/>
  <c r="AS8" i="1"/>
  <c r="AK12" i="1"/>
  <c r="W7" i="1"/>
  <c r="J8" i="1"/>
  <c r="J12" i="1" s="1"/>
  <c r="E29" i="1"/>
  <c r="L12" i="1"/>
  <c r="N8" i="1"/>
  <c r="AT13" i="1"/>
  <c r="AT16" i="1" s="1"/>
  <c r="AX14" i="1"/>
  <c r="AW14" i="1" s="1"/>
  <c r="AS18" i="1"/>
  <c r="G28" i="1"/>
  <c r="AB28" i="1"/>
  <c r="AB33" i="1" s="1"/>
  <c r="AB34" i="1" s="1"/>
  <c r="AB35" i="1" s="1"/>
  <c r="AE29" i="1"/>
  <c r="N28" i="1"/>
  <c r="L33" i="1"/>
  <c r="N7" i="1"/>
  <c r="K7" i="1" s="1"/>
  <c r="AD28" i="1"/>
  <c r="AD33" i="1" s="1"/>
  <c r="AD34" i="1" s="1"/>
  <c r="AD35" i="1" s="1"/>
  <c r="U12" i="1"/>
  <c r="AR7" i="1"/>
  <c r="R8" i="1"/>
  <c r="O28" i="1"/>
  <c r="AS9" i="1"/>
  <c r="AY9" i="1" s="1"/>
  <c r="D12" i="1"/>
  <c r="AU16" i="1"/>
  <c r="N16" i="1"/>
  <c r="K16" i="1" s="1"/>
  <c r="AV18" i="1"/>
  <c r="AV21" i="1" s="1"/>
  <c r="C26" i="1"/>
  <c r="C27" i="1" s="1"/>
  <c r="I27" i="1"/>
  <c r="AL34" i="1"/>
  <c r="AK26" i="1"/>
  <c r="I28" i="1"/>
  <c r="AK28" i="1"/>
  <c r="AH29" i="1"/>
  <c r="R21" i="1"/>
  <c r="AI27" i="1"/>
  <c r="AI29" i="1"/>
  <c r="AL30" i="1"/>
  <c r="AN30" i="1" s="1"/>
  <c r="AC29" i="1"/>
  <c r="W11" i="1"/>
  <c r="AD12" i="1"/>
  <c r="AX13" i="1"/>
  <c r="E17" i="1"/>
  <c r="E30" i="1" s="1"/>
  <c r="K23" i="1"/>
  <c r="AJ27" i="1"/>
  <c r="AL29" i="1"/>
  <c r="M33" i="1"/>
  <c r="M34" i="1" s="1"/>
  <c r="M35" i="1" s="1"/>
  <c r="R30" i="1" l="1"/>
  <c r="AP33" i="1"/>
  <c r="AP34" i="1" s="1"/>
  <c r="AP35" i="1" s="1"/>
  <c r="AP29" i="1"/>
  <c r="V28" i="1"/>
  <c r="S33" i="1"/>
  <c r="AM33" i="1"/>
  <c r="AM29" i="1"/>
  <c r="AN28" i="1"/>
  <c r="AG28" i="1" s="1"/>
  <c r="S29" i="1"/>
  <c r="V29" i="1" s="1"/>
  <c r="AV29" i="1" s="1"/>
  <c r="V12" i="1"/>
  <c r="AV8" i="1"/>
  <c r="AB29" i="1"/>
  <c r="O33" i="1"/>
  <c r="R28" i="1"/>
  <c r="O29" i="1"/>
  <c r="R29" i="1" s="1"/>
  <c r="AU29" i="1" s="1"/>
  <c r="AY18" i="1"/>
  <c r="AY21" i="1" s="1"/>
  <c r="AS21" i="1"/>
  <c r="AA29" i="1"/>
  <c r="AA33" i="1"/>
  <c r="AA34" i="1" s="1"/>
  <c r="AA35" i="1" s="1"/>
  <c r="AT31" i="1"/>
  <c r="F30" i="1"/>
  <c r="J30" i="1" s="1"/>
  <c r="AS28" i="1"/>
  <c r="AS12" i="1"/>
  <c r="AS17" i="1" s="1"/>
  <c r="AS22" i="1" s="1"/>
  <c r="R12" i="1"/>
  <c r="AU8" i="1"/>
  <c r="AX11" i="1"/>
  <c r="AW11" i="1" s="1"/>
  <c r="AQ11" i="1"/>
  <c r="AX7" i="1"/>
  <c r="Y29" i="1"/>
  <c r="Y33" i="1"/>
  <c r="Y34" i="1" s="1"/>
  <c r="Y35" i="1" s="1"/>
  <c r="AD29" i="1"/>
  <c r="AG8" i="1"/>
  <c r="AG12" i="1" s="1"/>
  <c r="F28" i="1"/>
  <c r="J28" i="1" s="1"/>
  <c r="G29" i="1"/>
  <c r="F29" i="1" s="1"/>
  <c r="J29" i="1" s="1"/>
  <c r="G33" i="1"/>
  <c r="D33" i="1"/>
  <c r="C28" i="1"/>
  <c r="AK29" i="1"/>
  <c r="AG29" i="1" s="1"/>
  <c r="AN29" i="1"/>
  <c r="K8" i="1"/>
  <c r="N12" i="1"/>
  <c r="AT23" i="1"/>
  <c r="AT26" i="1" s="1"/>
  <c r="AU26" i="1"/>
  <c r="I29" i="1"/>
  <c r="I33" i="1"/>
  <c r="I34" i="1" s="1"/>
  <c r="I35" i="1" s="1"/>
  <c r="U22" i="1"/>
  <c r="U17" i="1"/>
  <c r="U30" i="1" s="1"/>
  <c r="V30" i="1" s="1"/>
  <c r="U27" i="1"/>
  <c r="AW9" i="1"/>
  <c r="L17" i="1"/>
  <c r="L30" i="1" s="1"/>
  <c r="N30" i="1" s="1"/>
  <c r="L27" i="1"/>
  <c r="L22" i="1"/>
  <c r="X33" i="1"/>
  <c r="X29" i="1"/>
  <c r="W28" i="1"/>
  <c r="AX18" i="1"/>
  <c r="AQ18" i="1"/>
  <c r="AQ21" i="1" s="1"/>
  <c r="AR21" i="1"/>
  <c r="AX16" i="1"/>
  <c r="D29" i="1"/>
  <c r="C29" i="1" s="1"/>
  <c r="AS16" i="1"/>
  <c r="AY13" i="1"/>
  <c r="AY16" i="1" s="1"/>
  <c r="AQ26" i="1"/>
  <c r="AA17" i="1"/>
  <c r="AA30" i="1" s="1"/>
  <c r="AA27" i="1"/>
  <c r="AA22" i="1"/>
  <c r="Y17" i="1"/>
  <c r="Y30" i="1" s="1"/>
  <c r="W30" i="1" s="1"/>
  <c r="Y22" i="1"/>
  <c r="Y27" i="1"/>
  <c r="AH17" i="1"/>
  <c r="AH30" i="1" s="1"/>
  <c r="AK30" i="1" s="1"/>
  <c r="AG30" i="1" s="1"/>
  <c r="AH27" i="1"/>
  <c r="AH22" i="1"/>
  <c r="AQ9" i="1"/>
  <c r="AP22" i="1"/>
  <c r="AP17" i="1"/>
  <c r="AP30" i="1" s="1"/>
  <c r="AP27" i="1"/>
  <c r="AQ13" i="1"/>
  <c r="AQ16" i="1" s="1"/>
  <c r="AD17" i="1"/>
  <c r="AD30" i="1" s="1"/>
  <c r="AD22" i="1"/>
  <c r="AD27" i="1"/>
  <c r="AR8" i="1"/>
  <c r="AO33" i="1"/>
  <c r="AO34" i="1" s="1"/>
  <c r="AO35" i="1" s="1"/>
  <c r="AO29" i="1"/>
  <c r="E35" i="1"/>
  <c r="J22" i="1"/>
  <c r="J27" i="1"/>
  <c r="J17" i="1"/>
  <c r="AN17" i="1"/>
  <c r="AN22" i="1"/>
  <c r="AN27" i="1"/>
  <c r="L34" i="1"/>
  <c r="N33" i="1"/>
  <c r="AT7" i="1"/>
  <c r="W12" i="1"/>
  <c r="AW10" i="1"/>
  <c r="D22" i="1"/>
  <c r="D17" i="1"/>
  <c r="D30" i="1" s="1"/>
  <c r="C30" i="1" s="1"/>
  <c r="D27" i="1"/>
  <c r="AL35" i="1"/>
  <c r="Q17" i="1"/>
  <c r="Q30" i="1" s="1"/>
  <c r="Q22" i="1"/>
  <c r="Q27" i="1"/>
  <c r="AH35" i="1"/>
  <c r="AK35" i="1" s="1"/>
  <c r="AQ10" i="1"/>
  <c r="K28" i="1"/>
  <c r="AK22" i="1"/>
  <c r="AK27" i="1"/>
  <c r="AK17" i="1"/>
  <c r="AY24" i="1"/>
  <c r="AS26" i="1"/>
  <c r="AS7" i="1"/>
  <c r="AG7" i="1"/>
  <c r="AB17" i="1"/>
  <c r="AB30" i="1" s="1"/>
  <c r="AB22" i="1"/>
  <c r="AB27" i="1"/>
  <c r="AX23" i="1"/>
  <c r="AV12" i="1" l="1"/>
  <c r="AV17" i="1" s="1"/>
  <c r="AV28" i="1"/>
  <c r="W27" i="1"/>
  <c r="W17" i="1"/>
  <c r="W22" i="1"/>
  <c r="AS27" i="1"/>
  <c r="AM34" i="1"/>
  <c r="AN33" i="1"/>
  <c r="AG33" i="1" s="1"/>
  <c r="N17" i="1"/>
  <c r="N22" i="1"/>
  <c r="K22" i="1" s="1"/>
  <c r="N27" i="1"/>
  <c r="K27" i="1" s="1"/>
  <c r="K12" i="1"/>
  <c r="AW18" i="1"/>
  <c r="AW21" i="1" s="1"/>
  <c r="AX21" i="1"/>
  <c r="O34" i="1"/>
  <c r="R33" i="1"/>
  <c r="AU33" i="1" s="1"/>
  <c r="AT33" i="1" s="1"/>
  <c r="AT8" i="1"/>
  <c r="AT12" i="1" s="1"/>
  <c r="AT17" i="1" s="1"/>
  <c r="AT22" i="1" s="1"/>
  <c r="AT27" i="1" s="1"/>
  <c r="AU28" i="1"/>
  <c r="AU12" i="1"/>
  <c r="AU17" i="1" s="1"/>
  <c r="V27" i="1"/>
  <c r="V17" i="1"/>
  <c r="V22" i="1"/>
  <c r="AY26" i="1"/>
  <c r="AW24" i="1"/>
  <c r="AG22" i="1"/>
  <c r="AG27" i="1"/>
  <c r="AG17" i="1"/>
  <c r="K29" i="1"/>
  <c r="W29" i="1"/>
  <c r="AS29" i="1"/>
  <c r="AY29" i="1" s="1"/>
  <c r="AS30" i="1"/>
  <c r="AY7" i="1"/>
  <c r="R17" i="1"/>
  <c r="R27" i="1"/>
  <c r="R22" i="1"/>
  <c r="D34" i="1"/>
  <c r="AR33" i="1"/>
  <c r="C33" i="1"/>
  <c r="K30" i="1"/>
  <c r="G34" i="1"/>
  <c r="F33" i="1"/>
  <c r="J33" i="1" s="1"/>
  <c r="AY28" i="1"/>
  <c r="AY8" i="1"/>
  <c r="AY12" i="1" s="1"/>
  <c r="AY17" i="1" s="1"/>
  <c r="AY22" i="1" s="1"/>
  <c r="AY27" i="1" s="1"/>
  <c r="K33" i="1"/>
  <c r="W33" i="1"/>
  <c r="X34" i="1"/>
  <c r="AS33" i="1"/>
  <c r="AY33" i="1" s="1"/>
  <c r="AR12" i="1"/>
  <c r="AR17" i="1" s="1"/>
  <c r="AQ8" i="1"/>
  <c r="AQ12" i="1" s="1"/>
  <c r="AQ17" i="1" s="1"/>
  <c r="AQ22" i="1" s="1"/>
  <c r="AQ27" i="1" s="1"/>
  <c r="AX8" i="1"/>
  <c r="AR28" i="1"/>
  <c r="N34" i="1"/>
  <c r="L35" i="1"/>
  <c r="N35" i="1" s="1"/>
  <c r="S34" i="1"/>
  <c r="V33" i="1"/>
  <c r="AV33" i="1" s="1"/>
  <c r="AW13" i="1"/>
  <c r="AW16" i="1" s="1"/>
  <c r="AW7" i="1"/>
  <c r="AW23" i="1"/>
  <c r="AW26" i="1" s="1"/>
  <c r="AX26" i="1"/>
  <c r="AQ7" i="1"/>
  <c r="AT29" i="1"/>
  <c r="AR22" i="1" l="1"/>
  <c r="AR27" i="1" s="1"/>
  <c r="AR30" i="1"/>
  <c r="O35" i="1"/>
  <c r="R35" i="1" s="1"/>
  <c r="AU35" i="1" s="1"/>
  <c r="R34" i="1"/>
  <c r="AU34" i="1" s="1"/>
  <c r="AV22" i="1"/>
  <c r="AV27" i="1" s="1"/>
  <c r="AV30" i="1"/>
  <c r="AY30" i="1" s="1"/>
  <c r="W34" i="1"/>
  <c r="X35" i="1"/>
  <c r="AS34" i="1"/>
  <c r="F34" i="1"/>
  <c r="J34" i="1" s="1"/>
  <c r="G35" i="1"/>
  <c r="F35" i="1" s="1"/>
  <c r="J35" i="1" s="1"/>
  <c r="K17" i="1"/>
  <c r="V34" i="1"/>
  <c r="AV34" i="1" s="1"/>
  <c r="S35" i="1"/>
  <c r="V35" i="1" s="1"/>
  <c r="AV35" i="1" s="1"/>
  <c r="K35" i="1"/>
  <c r="AX33" i="1"/>
  <c r="AW33" i="1" s="1"/>
  <c r="AQ33" i="1"/>
  <c r="AM35" i="1"/>
  <c r="AN35" i="1" s="1"/>
  <c r="AG35" i="1" s="1"/>
  <c r="AN34" i="1"/>
  <c r="AG34" i="1" s="1"/>
  <c r="AR34" i="1"/>
  <c r="C34" i="1"/>
  <c r="D35" i="1"/>
  <c r="AX28" i="1"/>
  <c r="AW28" i="1" s="1"/>
  <c r="AQ28" i="1"/>
  <c r="AR29" i="1"/>
  <c r="AX12" i="1"/>
  <c r="AX17" i="1" s="1"/>
  <c r="AX22" i="1" s="1"/>
  <c r="AX27" i="1" s="1"/>
  <c r="AW8" i="1"/>
  <c r="AW12" i="1" s="1"/>
  <c r="AW17" i="1" s="1"/>
  <c r="AW22" i="1" s="1"/>
  <c r="AW27" i="1" s="1"/>
  <c r="AU22" i="1"/>
  <c r="AU27" i="1" s="1"/>
  <c r="AU30" i="1"/>
  <c r="AT30" i="1" s="1"/>
  <c r="AT28" i="1"/>
  <c r="W35" i="1" l="1"/>
  <c r="AS35" i="1"/>
  <c r="AY35" i="1" s="1"/>
  <c r="AQ30" i="1"/>
  <c r="AX30" i="1"/>
  <c r="AW30" i="1" s="1"/>
  <c r="AX29" i="1"/>
  <c r="AW29" i="1" s="1"/>
  <c r="AQ29" i="1"/>
  <c r="AY34" i="1"/>
  <c r="C35" i="1"/>
  <c r="AR35" i="1"/>
  <c r="AQ34" i="1"/>
  <c r="AX34" i="1"/>
  <c r="AW34" i="1" s="1"/>
  <c r="K34" i="1"/>
  <c r="AT34" i="1"/>
  <c r="AT35" i="1"/>
  <c r="AQ35" i="1" l="1"/>
  <c r="AX35" i="1"/>
  <c r="AW35" i="1" s="1"/>
</calcChain>
</file>

<file path=xl/sharedStrings.xml><?xml version="1.0" encoding="utf-8"?>
<sst xmlns="http://schemas.openxmlformats.org/spreadsheetml/2006/main" count="116" uniqueCount="116">
  <si>
    <t>CASA DE ASIGURARI DE SANATATE OLT</t>
  </si>
  <si>
    <t>SITUATIA</t>
  </si>
  <si>
    <t>Nr. crt.</t>
  </si>
  <si>
    <t>9=6+7+8</t>
  </si>
  <si>
    <t>10=5+9</t>
  </si>
  <si>
    <t>14=11+12+13</t>
  </si>
  <si>
    <t>15=10+14</t>
  </si>
  <si>
    <t>19=16+17+18</t>
  </si>
  <si>
    <t>20=5+9+14+ 19</t>
  </si>
  <si>
    <t>22=1-21</t>
  </si>
  <si>
    <t>4bis</t>
  </si>
  <si>
    <t>TOTAL SUME COST VOLUM</t>
  </si>
  <si>
    <t>Credite angajament aprobate an 2023, din care:</t>
  </si>
  <si>
    <t>martie 2023</t>
  </si>
  <si>
    <t>Trim. I 2023</t>
  </si>
  <si>
    <t>aprilie 2023</t>
  </si>
  <si>
    <t>mai 2023</t>
  </si>
  <si>
    <t>iunie 2023</t>
  </si>
  <si>
    <t>Trim. II 2023</t>
  </si>
  <si>
    <t>Total sem. I 2023</t>
  </si>
  <si>
    <t>iulie 2023</t>
  </si>
  <si>
    <t>august 2023</t>
  </si>
  <si>
    <t>septembrie 2023</t>
  </si>
  <si>
    <t>Total trim. III 2023</t>
  </si>
  <si>
    <t>Total 9 luni 2023</t>
  </si>
  <si>
    <t>octombrie 2023</t>
  </si>
  <si>
    <t>noiembrie 2023</t>
  </si>
  <si>
    <t>decembrie 2023</t>
  </si>
  <si>
    <t xml:space="preserve">Total trim. IV 2023 </t>
  </si>
  <si>
    <t xml:space="preserve">TOTAL AN 2023 </t>
  </si>
  <si>
    <t>Credite neconsumate AN 2023</t>
  </si>
  <si>
    <t>26=(21+ 24)/ nr. luni</t>
  </si>
  <si>
    <t>27=26  x 12 luni - 1</t>
  </si>
  <si>
    <t>Necesar suplimentar 2023 stabilit la nivelul consumului mediu lunar/2023</t>
  </si>
  <si>
    <t>28=1+ 27</t>
  </si>
  <si>
    <t>TOTAL CREDITE ANGAJAMENT NECESARE AN 2023</t>
  </si>
  <si>
    <t>T1</t>
  </si>
  <si>
    <t>T2</t>
  </si>
  <si>
    <t>T3=T1+T2</t>
  </si>
  <si>
    <t>Luna/an 2023</t>
  </si>
  <si>
    <t>P3 - TOTAL ONCOLOGIE ACTIVITATE CURENTA, din care:</t>
  </si>
  <si>
    <t>P3- ONCOLOGIE (farmacii circuit deschis)</t>
  </si>
  <si>
    <t>P3- ONCOLOGIE (spitale)</t>
  </si>
  <si>
    <t>P3 - TOTAL ONCOLOGIE COST VOLUM, din care:</t>
  </si>
  <si>
    <t>P3 ONCOLOGIE COST VOLUM  (farmacii c.d.)</t>
  </si>
  <si>
    <t>P3 ONCOLOGIE COST VOLUM  (spitale)</t>
  </si>
  <si>
    <t>P6.4 - MUCOVISC. COST VOLUM (farmacii c.d)</t>
  </si>
  <si>
    <t xml:space="preserve">P5- TOTAL DIABET ZAHARAT, din care: </t>
  </si>
  <si>
    <t>P5 - DIABET ZAHARAT (medicamente)- activitate curenta (farmacii c.d.)</t>
  </si>
  <si>
    <t>P5 - DIABET ZAHARAT (medicamente)- OUG 15/2022 (farmacii c.d.)</t>
  </si>
  <si>
    <t>TOTAL DIABET ZAHARAT- MEDICAMENTE (farmacii c.d.)</t>
  </si>
  <si>
    <t>P5 - DIABET TESTE ADULŢI- activitate curenta (farmacii c.d)</t>
  </si>
  <si>
    <t>P5 - DIABET TESTE ADULŢI- OUG 15/2022 (farmacii c.d)</t>
  </si>
  <si>
    <t>P5 - DIABET TESTE COPII (farmacii c.d)</t>
  </si>
  <si>
    <t>P5 - TOTAL TESTE (farmacii c.d.)</t>
  </si>
  <si>
    <t>DIABET - SETURI CONSUMAB. POMPE (spitale)</t>
  </si>
  <si>
    <t>DIABET - CONSUMAB. SISTEME MONIT. CONT. GLICEMIE (spitale)</t>
  </si>
  <si>
    <t>DIABET - CONSUMAB SIST POMPE INSUL. CU SENZORI MONIT. CONTINUA (spitale)</t>
  </si>
  <si>
    <t>TOTAL DIABET POMPE+ SENZORI+ CONS. (spitale)</t>
  </si>
  <si>
    <t>P6 - TOTAL BOLI RARE, din care:</t>
  </si>
  <si>
    <t>P6.10 - TIROZINEMIE (spitale)</t>
  </si>
  <si>
    <t>P6.4 - MUCOV. COPII (farmacii c.d.)</t>
  </si>
  <si>
    <t>P6.4 - MUCOV. ADULTI (farmacii c.d.)</t>
  </si>
  <si>
    <t>P6.5 - SCLEROZĂ LATERALĂ (farmacii c.d.)</t>
  </si>
  <si>
    <t>P6.20 - FIBROZA PULMONARA IDIOPATICA (farmacii c.d.)</t>
  </si>
  <si>
    <t>P6.22 - ANGIOEDEM EREDITAR (farmacii c.d.)</t>
  </si>
  <si>
    <t>P6.28- LIMFANGIOLEIOMIOMATOZA (farmacii c.d.)</t>
  </si>
  <si>
    <t>P6.24 - ATROFIE MUSCULARA SPINALA (farmacii c.d.)</t>
  </si>
  <si>
    <t>P9 - TOTAL STARE POSTTRANSPLANT (farmacii c.d.)</t>
  </si>
  <si>
    <t>P6.1 TOTAL PROGRAM HEMOFILIE + TALASEMIE, din care:</t>
  </si>
  <si>
    <t>HEMOFILIE CU SUBSTITUTIE ON DEMAND (spitale)</t>
  </si>
  <si>
    <t>HEMOFILIE PROFILAXIE CONTINUA (spitale)</t>
  </si>
  <si>
    <t>HEMOFILIE PROFILAXIE INTERMITENTA (spitale)</t>
  </si>
  <si>
    <t>TOTAL HEMOFILIE (spitale)</t>
  </si>
  <si>
    <t>6.1- TALASEMIE - injectabile (spitale)</t>
  </si>
  <si>
    <t>6.1- TALASEMIE - orale (farmacii c.d.)</t>
  </si>
  <si>
    <t>TOTAL TALASEMIE</t>
  </si>
  <si>
    <t>P7 - TOTAL ENDOCRINE - OSTEOPOROZA (spitale)</t>
  </si>
  <si>
    <t>P8 - TOTAL ORTOPEDIE - ENDOPROTEZATI ADULTI (spitale)</t>
  </si>
  <si>
    <t>TOTAL  PNS MEDICAMENTE 2023, din care:</t>
  </si>
  <si>
    <t>TOTAL  PNS MEDICAMENTE 2023 - FARMACII CIRCUIT DESCHIS</t>
  </si>
  <si>
    <t>TOTAL  PNS MEDICAMENTE 2023 - SPITALE</t>
  </si>
  <si>
    <t>TOTAL  PNS MATERIALE SANITARE 2023, din care:</t>
  </si>
  <si>
    <t>TOTAL  PNS MATERIALE SANITARE 2023 - FARMACII CIRCUIT DESCHIS</t>
  </si>
  <si>
    <t>TOTAL  PNS MATERIALE SANITARE 2023 - SPITALE</t>
  </si>
  <si>
    <t>TOTAL GENERAL PNS AN 2023, DIN CARE:</t>
  </si>
  <si>
    <t>TOTAL  PNS 2023 - FARMACII CIRCUIT DESCHIS</t>
  </si>
  <si>
    <t>TOTAL  PNS 2023 - SPITALE</t>
  </si>
  <si>
    <t>2=3+4</t>
  </si>
  <si>
    <t>5=6+7</t>
  </si>
  <si>
    <t>9=5+8</t>
  </si>
  <si>
    <t>10=13+17+21</t>
  </si>
  <si>
    <t>13=11+12</t>
  </si>
  <si>
    <t>17=14+15+ 16</t>
  </si>
  <si>
    <t>21=18+19+20</t>
  </si>
  <si>
    <t>22=23+...+30</t>
  </si>
  <si>
    <t>32=36+39</t>
  </si>
  <si>
    <t>36=33+34+ 35</t>
  </si>
  <si>
    <t>39=37+38</t>
  </si>
  <si>
    <t>42=43+44</t>
  </si>
  <si>
    <t>45=46+47</t>
  </si>
  <si>
    <t>48=49+50</t>
  </si>
  <si>
    <t>49=43+46</t>
  </si>
  <si>
    <t>50=44+47</t>
  </si>
  <si>
    <t>ianuarie 2023- consum+cereri validate</t>
  </si>
  <si>
    <t>februarie 2023- consum+cereri validate</t>
  </si>
  <si>
    <t xml:space="preserve">Validat art. 12(3) HG423/2022-decemb.2022 </t>
  </si>
  <si>
    <t>5=2+3+4</t>
  </si>
  <si>
    <t>21=2+3+4 bis</t>
  </si>
  <si>
    <t>Consum + Cereri justificative inregistrate in limita credite angajament AN 2023</t>
  </si>
  <si>
    <t>23=1-10</t>
  </si>
  <si>
    <t>CREDITE RAMASE DE ANGAJAT (TRIM. II):</t>
  </si>
  <si>
    <t>Depășire la data de 28.02.2023 (consum nevalidat)</t>
  </si>
  <si>
    <t>Consum+cereri justificative - medie AN 2022</t>
  </si>
  <si>
    <t>Consum +cereri justificative - medie lunară AN 2023</t>
  </si>
  <si>
    <t>REPARTIZĂRII LUNARE A CREDITELOR DE ANGAJAMENT PENTRU DERULAREA PROGRAMELOR NATIONALE DE SANATATE PENTRU SEM I 2023, CA URMARE A SUPLIMENTARII CREDITELOR DE ANGAJAMENT PENTRU ATROFIE MUSCULARA SPINALA SI PROGRAM DIABET ZAHARAT - MATERIALE SANITARE SPITALE, CONFORM ADRESELOR CNAS NR. P2903-P2904/30.03.2023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</si>
</sst>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26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9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rgb="FF7030A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4" xfId="0" applyFont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" fontId="3" fillId="2" borderId="6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4" fontId="6" fillId="0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" fontId="7" fillId="0" borderId="4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vertical="top"/>
    </xf>
    <xf numFmtId="4" fontId="9" fillId="2" borderId="4" xfId="0" applyNumberFormat="1" applyFont="1" applyFill="1" applyBorder="1" applyAlignment="1">
      <alignment vertical="top"/>
    </xf>
    <xf numFmtId="4" fontId="9" fillId="2" borderId="4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3" fontId="1" fillId="0" borderId="0" xfId="0" applyNumberFormat="1" applyFont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3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4" fontId="1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4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20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2" borderId="4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3" fontId="3" fillId="4" borderId="3" xfId="0" applyNumberFormat="1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left" vertical="top"/>
    </xf>
    <xf numFmtId="4" fontId="3" fillId="4" borderId="4" xfId="0" applyNumberFormat="1" applyFont="1" applyFill="1" applyBorder="1" applyAlignment="1">
      <alignment horizontal="right" vertical="top"/>
    </xf>
    <xf numFmtId="4" fontId="3" fillId="4" borderId="5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left" vertical="top" wrapText="1"/>
    </xf>
    <xf numFmtId="4" fontId="7" fillId="0" borderId="4" xfId="0" applyNumberFormat="1" applyFont="1" applyFill="1" applyBorder="1" applyAlignment="1">
      <alignment horizontal="right" vertical="top"/>
    </xf>
    <xf numFmtId="4" fontId="3" fillId="3" borderId="4" xfId="0" applyNumberFormat="1" applyFont="1" applyFill="1" applyBorder="1" applyAlignment="1">
      <alignment horizontal="right" vertical="top"/>
    </xf>
    <xf numFmtId="4" fontId="3" fillId="2" borderId="4" xfId="0" applyNumberFormat="1" applyFont="1" applyFill="1" applyBorder="1" applyAlignment="1">
      <alignment horizontal="right" vertical="top"/>
    </xf>
    <xf numFmtId="4" fontId="3" fillId="5" borderId="4" xfId="0" applyNumberFormat="1" applyFont="1" applyFill="1" applyBorder="1" applyAlignment="1">
      <alignment horizontal="right" vertical="top"/>
    </xf>
    <xf numFmtId="4" fontId="3" fillId="5" borderId="5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4" xfId="0" applyNumberFormat="1" applyFont="1" applyBorder="1" applyAlignment="1">
      <alignment horizontal="left" vertical="top"/>
    </xf>
    <xf numFmtId="4" fontId="7" fillId="0" borderId="4" xfId="0" applyNumberFormat="1" applyFont="1" applyFill="1" applyBorder="1" applyAlignment="1">
      <alignment vertical="top"/>
    </xf>
    <xf numFmtId="4" fontId="7" fillId="3" borderId="4" xfId="0" applyNumberFormat="1" applyFont="1" applyFill="1" applyBorder="1" applyAlignment="1">
      <alignment horizontal="right" vertical="top"/>
    </xf>
    <xf numFmtId="4" fontId="7" fillId="6" borderId="4" xfId="0" applyNumberFormat="1" applyFont="1" applyFill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49" fontId="19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49" fontId="7" fillId="0" borderId="4" xfId="0" applyNumberFormat="1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vertical="top"/>
    </xf>
    <xf numFmtId="4" fontId="3" fillId="5" borderId="4" xfId="0" applyNumberFormat="1" applyFont="1" applyFill="1" applyBorder="1" applyAlignment="1">
      <alignment vertical="top"/>
    </xf>
    <xf numFmtId="0" fontId="24" fillId="0" borderId="0" xfId="0" applyFont="1" applyAlignment="1">
      <alignment vertical="top"/>
    </xf>
    <xf numFmtId="4" fontId="9" fillId="4" borderId="4" xfId="0" applyNumberFormat="1" applyFont="1" applyFill="1" applyBorder="1" applyAlignment="1">
      <alignment vertical="top"/>
    </xf>
    <xf numFmtId="4" fontId="9" fillId="5" borderId="4" xfId="0" applyNumberFormat="1" applyFont="1" applyFill="1" applyBorder="1" applyAlignment="1">
      <alignment vertical="top"/>
    </xf>
    <xf numFmtId="4" fontId="9" fillId="4" borderId="4" xfId="0" applyNumberFormat="1" applyFont="1" applyFill="1" applyBorder="1" applyAlignment="1">
      <alignment horizontal="right" vertical="top"/>
    </xf>
    <xf numFmtId="4" fontId="9" fillId="3" borderId="4" xfId="0" applyNumberFormat="1" applyFont="1" applyFill="1" applyBorder="1" applyAlignment="1">
      <alignment horizontal="right" vertical="top"/>
    </xf>
    <xf numFmtId="4" fontId="9" fillId="2" borderId="5" xfId="0" applyNumberFormat="1" applyFont="1" applyFill="1" applyBorder="1" applyAlignment="1">
      <alignment horizontal="right" vertical="top"/>
    </xf>
    <xf numFmtId="0" fontId="25" fillId="0" borderId="3" xfId="0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4" fontId="3" fillId="4" borderId="6" xfId="0" applyNumberFormat="1" applyFont="1" applyFill="1" applyBorder="1" applyAlignment="1">
      <alignment horizontal="right" vertical="top"/>
    </xf>
    <xf numFmtId="4" fontId="3" fillId="5" borderId="6" xfId="0" applyNumberFormat="1" applyFont="1" applyFill="1" applyBorder="1" applyAlignment="1">
      <alignment vertical="top"/>
    </xf>
    <xf numFmtId="4" fontId="3" fillId="3" borderId="6" xfId="0" applyNumberFormat="1" applyFont="1" applyFill="1" applyBorder="1" applyAlignment="1">
      <alignment horizontal="right" vertical="top"/>
    </xf>
    <xf numFmtId="4" fontId="3" fillId="2" borderId="6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4" fontId="1" fillId="0" borderId="0" xfId="0" applyNumberFormat="1" applyFont="1"/>
    <xf numFmtId="0" fontId="2" fillId="0" borderId="0" xfId="0" applyFont="1"/>
    <xf numFmtId="43" fontId="1" fillId="0" borderId="0" xfId="1" applyFont="1"/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workbookViewId="0">
      <selection activeCell="C2" sqref="C2:P2"/>
    </sheetView>
  </sheetViews>
  <sheetFormatPr defaultRowHeight="15.75" x14ac:dyDescent="0.25"/>
  <cols>
    <col min="1" max="1" width="9.42578125" style="2" customWidth="1"/>
    <col min="2" max="2" width="40.28515625" style="25" customWidth="1"/>
    <col min="3" max="6" width="14.85546875" style="25" customWidth="1"/>
    <col min="7" max="9" width="13.7109375" style="25" customWidth="1"/>
    <col min="10" max="11" width="14.85546875" style="25" customWidth="1"/>
    <col min="12" max="12" width="14.28515625" style="25" customWidth="1"/>
    <col min="13" max="13" width="12.5703125" style="25" customWidth="1"/>
    <col min="14" max="15" width="13.5703125" style="25" customWidth="1"/>
    <col min="16" max="16" width="11" style="25" customWidth="1"/>
    <col min="17" max="17" width="10.42578125" style="25" customWidth="1"/>
    <col min="18" max="18" width="11.85546875" style="25" customWidth="1"/>
    <col min="19" max="19" width="9.85546875" style="25" customWidth="1"/>
    <col min="20" max="20" width="15.42578125" style="25" customWidth="1"/>
    <col min="21" max="21" width="18.85546875" style="25" customWidth="1"/>
    <col min="22" max="22" width="14" style="25" customWidth="1"/>
    <col min="23" max="23" width="14.85546875" style="25" customWidth="1"/>
    <col min="24" max="24" width="11.5703125" style="25" customWidth="1"/>
    <col min="25" max="25" width="11" style="25" customWidth="1"/>
    <col min="26" max="26" width="11.28515625" style="25" customWidth="1"/>
    <col min="27" max="27" width="11.140625" style="25" customWidth="1"/>
    <col min="28" max="28" width="12.140625" style="25" customWidth="1"/>
    <col min="29" max="29" width="11.7109375" style="25" customWidth="1"/>
    <col min="30" max="30" width="11.28515625" style="25" customWidth="1"/>
    <col min="31" max="31" width="12.28515625" style="25" customWidth="1"/>
    <col min="32" max="33" width="14.85546875" style="25" customWidth="1"/>
    <col min="34" max="34" width="11.42578125" style="25" customWidth="1"/>
    <col min="35" max="36" width="12.5703125" style="25" customWidth="1"/>
    <col min="37" max="37" width="11" style="97" customWidth="1"/>
    <col min="38" max="39" width="11" style="25" customWidth="1"/>
    <col min="40" max="40" width="11" style="97" customWidth="1"/>
    <col min="41" max="42" width="14.85546875" style="25" customWidth="1"/>
    <col min="43" max="43" width="14.140625" style="25" customWidth="1"/>
    <col min="44" max="44" width="13.7109375" style="25" customWidth="1"/>
    <col min="45" max="45" width="12.42578125" style="25" customWidth="1"/>
    <col min="46" max="46" width="12.7109375" style="25" customWidth="1"/>
    <col min="47" max="47" width="13.140625" style="25" customWidth="1"/>
    <col min="48" max="48" width="12.42578125" style="25" customWidth="1"/>
    <col min="49" max="49" width="14.140625" style="25" customWidth="1"/>
    <col min="50" max="50" width="14" style="25" customWidth="1"/>
    <col min="51" max="51" width="12.42578125" style="25" customWidth="1"/>
    <col min="52" max="16384" width="9.140625" style="25"/>
  </cols>
  <sheetData>
    <row r="1" spans="1:51" x14ac:dyDescent="0.25">
      <c r="A1" s="11" t="s">
        <v>0</v>
      </c>
      <c r="C1" s="26"/>
      <c r="D1" s="26"/>
      <c r="E1" s="26"/>
      <c r="F1" s="26"/>
      <c r="G1" s="26"/>
      <c r="H1" s="26"/>
      <c r="I1" s="26"/>
      <c r="J1" s="26"/>
      <c r="K1" s="27"/>
      <c r="S1" s="28"/>
      <c r="T1" s="28"/>
      <c r="U1" s="28"/>
      <c r="V1" s="28"/>
      <c r="W1" s="26"/>
      <c r="AF1" s="26"/>
      <c r="AG1" s="26"/>
      <c r="AH1" s="28"/>
      <c r="AI1" s="28"/>
      <c r="AJ1" s="28"/>
      <c r="AK1" s="28"/>
      <c r="AL1" s="28"/>
      <c r="AM1" s="28"/>
      <c r="AN1" s="28"/>
      <c r="AO1" s="26"/>
      <c r="AP1" s="26"/>
      <c r="AQ1" s="28"/>
      <c r="AR1" s="28"/>
      <c r="AS1" s="28"/>
      <c r="AT1" s="28"/>
      <c r="AU1" s="28"/>
      <c r="AV1" s="28"/>
      <c r="AW1" s="28"/>
      <c r="AX1" s="28"/>
      <c r="AY1" s="28"/>
    </row>
    <row r="2" spans="1:51" ht="14.25" customHeight="1" x14ac:dyDescent="0.25">
      <c r="B2" s="1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3"/>
      <c r="R2" s="13"/>
      <c r="S2" s="29"/>
      <c r="T2" s="29"/>
      <c r="U2" s="29"/>
      <c r="V2" s="29"/>
      <c r="W2" s="13"/>
      <c r="X2" s="13"/>
      <c r="Y2" s="6"/>
      <c r="Z2" s="6"/>
      <c r="AA2" s="6"/>
      <c r="AB2" s="6"/>
      <c r="AC2" s="6"/>
      <c r="AD2" s="6"/>
      <c r="AE2" s="6"/>
      <c r="AF2" s="13"/>
      <c r="AG2" s="13"/>
      <c r="AH2" s="29"/>
      <c r="AI2" s="29"/>
      <c r="AJ2" s="29"/>
      <c r="AK2" s="30"/>
      <c r="AL2" s="29"/>
      <c r="AM2" s="29"/>
      <c r="AN2" s="30"/>
      <c r="AO2" s="13"/>
      <c r="AP2" s="13"/>
      <c r="AQ2" s="29"/>
      <c r="AR2" s="1"/>
      <c r="AS2" s="1"/>
      <c r="AT2" s="29"/>
      <c r="AU2" s="1"/>
      <c r="AV2" s="1"/>
      <c r="AW2" s="29"/>
      <c r="AX2" s="1"/>
      <c r="AY2" s="1"/>
    </row>
    <row r="3" spans="1:51" s="2" customFormat="1" ht="63" customHeight="1" x14ac:dyDescent="0.2">
      <c r="B3" s="1"/>
      <c r="C3" s="31" t="s">
        <v>115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2"/>
      <c r="S3" s="29"/>
      <c r="T3" s="29"/>
      <c r="U3" s="29"/>
      <c r="V3" s="29"/>
      <c r="W3" s="33"/>
      <c r="X3" s="32"/>
      <c r="Y3" s="6"/>
      <c r="Z3" s="6"/>
      <c r="AA3" s="6"/>
      <c r="AB3" s="6"/>
      <c r="AC3" s="6"/>
      <c r="AD3" s="6"/>
      <c r="AE3" s="6"/>
      <c r="AF3" s="32"/>
      <c r="AG3" s="32"/>
      <c r="AH3" s="29"/>
      <c r="AI3" s="29"/>
      <c r="AJ3" s="29"/>
      <c r="AK3" s="30"/>
      <c r="AL3" s="29"/>
      <c r="AM3" s="29"/>
      <c r="AN3" s="30"/>
      <c r="AO3" s="32"/>
      <c r="AP3" s="32"/>
      <c r="AQ3" s="29"/>
      <c r="AR3" s="1"/>
      <c r="AS3" s="1"/>
      <c r="AT3" s="29"/>
      <c r="AU3" s="1"/>
      <c r="AV3" s="1"/>
      <c r="AW3" s="29"/>
      <c r="AX3" s="1"/>
      <c r="AY3" s="1"/>
    </row>
    <row r="4" spans="1:51" s="35" customFormat="1" ht="16.5" thickBot="1" x14ac:dyDescent="0.3">
      <c r="A4" s="34"/>
      <c r="C4" s="36">
        <v>1</v>
      </c>
      <c r="D4" s="36"/>
      <c r="E4" s="36"/>
      <c r="F4" s="36">
        <v>2</v>
      </c>
      <c r="G4" s="36"/>
      <c r="H4" s="36"/>
      <c r="I4" s="36"/>
      <c r="J4" s="36">
        <v>3</v>
      </c>
      <c r="K4" s="36">
        <v>4</v>
      </c>
      <c r="W4" s="36">
        <v>5</v>
      </c>
      <c r="AF4" s="36">
        <v>6</v>
      </c>
      <c r="AG4" s="36">
        <v>7</v>
      </c>
      <c r="AO4" s="36">
        <v>8</v>
      </c>
      <c r="AP4" s="36">
        <v>9</v>
      </c>
      <c r="AQ4" s="36" t="s">
        <v>36</v>
      </c>
      <c r="AR4" s="36"/>
      <c r="AS4" s="36"/>
      <c r="AT4" s="36" t="s">
        <v>37</v>
      </c>
      <c r="AU4" s="36"/>
      <c r="AV4" s="36"/>
      <c r="AW4" s="36" t="s">
        <v>38</v>
      </c>
    </row>
    <row r="5" spans="1:51" s="45" customFormat="1" ht="75" customHeight="1" x14ac:dyDescent="0.2">
      <c r="A5" s="37" t="s">
        <v>2</v>
      </c>
      <c r="B5" s="38" t="s">
        <v>39</v>
      </c>
      <c r="C5" s="39" t="s">
        <v>40</v>
      </c>
      <c r="D5" s="38" t="s">
        <v>41</v>
      </c>
      <c r="E5" s="38" t="s">
        <v>42</v>
      </c>
      <c r="F5" s="39" t="s">
        <v>43</v>
      </c>
      <c r="G5" s="38" t="s">
        <v>44</v>
      </c>
      <c r="H5" s="38" t="s">
        <v>45</v>
      </c>
      <c r="I5" s="38" t="s">
        <v>46</v>
      </c>
      <c r="J5" s="39" t="s">
        <v>11</v>
      </c>
      <c r="K5" s="39" t="s">
        <v>47</v>
      </c>
      <c r="L5" s="38" t="s">
        <v>48</v>
      </c>
      <c r="M5" s="40" t="s">
        <v>49</v>
      </c>
      <c r="N5" s="41" t="s">
        <v>50</v>
      </c>
      <c r="O5" s="38" t="s">
        <v>51</v>
      </c>
      <c r="P5" s="40" t="s">
        <v>52</v>
      </c>
      <c r="Q5" s="38" t="s">
        <v>53</v>
      </c>
      <c r="R5" s="41" t="s">
        <v>54</v>
      </c>
      <c r="S5" s="38" t="s">
        <v>55</v>
      </c>
      <c r="T5" s="38" t="s">
        <v>56</v>
      </c>
      <c r="U5" s="38" t="s">
        <v>57</v>
      </c>
      <c r="V5" s="42" t="s">
        <v>58</v>
      </c>
      <c r="W5" s="39" t="s">
        <v>59</v>
      </c>
      <c r="X5" s="38" t="s">
        <v>60</v>
      </c>
      <c r="Y5" s="38" t="s">
        <v>61</v>
      </c>
      <c r="Z5" s="38" t="s">
        <v>62</v>
      </c>
      <c r="AA5" s="38" t="s">
        <v>63</v>
      </c>
      <c r="AB5" s="38" t="s">
        <v>64</v>
      </c>
      <c r="AC5" s="38" t="s">
        <v>65</v>
      </c>
      <c r="AD5" s="38" t="s">
        <v>66</v>
      </c>
      <c r="AE5" s="38" t="s">
        <v>67</v>
      </c>
      <c r="AF5" s="39" t="s">
        <v>68</v>
      </c>
      <c r="AG5" s="39" t="s">
        <v>69</v>
      </c>
      <c r="AH5" s="43" t="s">
        <v>70</v>
      </c>
      <c r="AI5" s="38" t="s">
        <v>71</v>
      </c>
      <c r="AJ5" s="38" t="s">
        <v>72</v>
      </c>
      <c r="AK5" s="42" t="s">
        <v>73</v>
      </c>
      <c r="AL5" s="38" t="s">
        <v>74</v>
      </c>
      <c r="AM5" s="38" t="s">
        <v>75</v>
      </c>
      <c r="AN5" s="42" t="s">
        <v>76</v>
      </c>
      <c r="AO5" s="39" t="s">
        <v>77</v>
      </c>
      <c r="AP5" s="39" t="s">
        <v>78</v>
      </c>
      <c r="AQ5" s="39" t="s">
        <v>79</v>
      </c>
      <c r="AR5" s="41" t="s">
        <v>80</v>
      </c>
      <c r="AS5" s="41" t="s">
        <v>81</v>
      </c>
      <c r="AT5" s="39" t="s">
        <v>82</v>
      </c>
      <c r="AU5" s="41" t="s">
        <v>83</v>
      </c>
      <c r="AV5" s="41" t="s">
        <v>84</v>
      </c>
      <c r="AW5" s="39" t="s">
        <v>85</v>
      </c>
      <c r="AX5" s="41" t="s">
        <v>86</v>
      </c>
      <c r="AY5" s="44" t="s">
        <v>87</v>
      </c>
    </row>
    <row r="6" spans="1:51" s="53" customFormat="1" ht="27" customHeight="1" x14ac:dyDescent="0.2">
      <c r="A6" s="46">
        <v>0</v>
      </c>
      <c r="B6" s="47">
        <v>1</v>
      </c>
      <c r="C6" s="48" t="s">
        <v>88</v>
      </c>
      <c r="D6" s="49">
        <v>3</v>
      </c>
      <c r="E6" s="49">
        <v>4</v>
      </c>
      <c r="F6" s="48" t="s">
        <v>89</v>
      </c>
      <c r="G6" s="49">
        <v>6</v>
      </c>
      <c r="H6" s="49">
        <v>7</v>
      </c>
      <c r="I6" s="49">
        <v>8</v>
      </c>
      <c r="J6" s="48" t="s">
        <v>90</v>
      </c>
      <c r="K6" s="48" t="s">
        <v>91</v>
      </c>
      <c r="L6" s="49">
        <v>11</v>
      </c>
      <c r="M6" s="49">
        <v>12</v>
      </c>
      <c r="N6" s="50" t="s">
        <v>92</v>
      </c>
      <c r="O6" s="49">
        <v>14</v>
      </c>
      <c r="P6" s="49">
        <v>15</v>
      </c>
      <c r="Q6" s="49">
        <v>16</v>
      </c>
      <c r="R6" s="50" t="s">
        <v>93</v>
      </c>
      <c r="S6" s="49">
        <v>18</v>
      </c>
      <c r="T6" s="49">
        <v>19</v>
      </c>
      <c r="U6" s="49">
        <v>20</v>
      </c>
      <c r="V6" s="51" t="s">
        <v>94</v>
      </c>
      <c r="W6" s="48" t="s">
        <v>95</v>
      </c>
      <c r="X6" s="49">
        <v>23</v>
      </c>
      <c r="Y6" s="49">
        <v>24</v>
      </c>
      <c r="Z6" s="49">
        <v>25</v>
      </c>
      <c r="AA6" s="49">
        <v>26</v>
      </c>
      <c r="AB6" s="49">
        <v>27</v>
      </c>
      <c r="AC6" s="49">
        <v>28</v>
      </c>
      <c r="AD6" s="49">
        <v>29</v>
      </c>
      <c r="AE6" s="49">
        <v>30</v>
      </c>
      <c r="AF6" s="48">
        <v>31</v>
      </c>
      <c r="AG6" s="48" t="s">
        <v>96</v>
      </c>
      <c r="AH6" s="49">
        <v>33</v>
      </c>
      <c r="AI6" s="49">
        <v>34</v>
      </c>
      <c r="AJ6" s="49">
        <v>35</v>
      </c>
      <c r="AK6" s="51" t="s">
        <v>97</v>
      </c>
      <c r="AL6" s="49">
        <v>37</v>
      </c>
      <c r="AM6" s="49">
        <v>38</v>
      </c>
      <c r="AN6" s="51" t="s">
        <v>98</v>
      </c>
      <c r="AO6" s="48">
        <v>40</v>
      </c>
      <c r="AP6" s="48">
        <v>41</v>
      </c>
      <c r="AQ6" s="48" t="s">
        <v>99</v>
      </c>
      <c r="AR6" s="50">
        <v>43</v>
      </c>
      <c r="AS6" s="50">
        <v>44</v>
      </c>
      <c r="AT6" s="48" t="s">
        <v>100</v>
      </c>
      <c r="AU6" s="50">
        <v>46</v>
      </c>
      <c r="AV6" s="50">
        <v>47</v>
      </c>
      <c r="AW6" s="48" t="s">
        <v>101</v>
      </c>
      <c r="AX6" s="50" t="s">
        <v>102</v>
      </c>
      <c r="AY6" s="52" t="s">
        <v>103</v>
      </c>
    </row>
    <row r="7" spans="1:51" s="58" customFormat="1" ht="12.75" x14ac:dyDescent="0.2">
      <c r="A7" s="54">
        <v>1</v>
      </c>
      <c r="B7" s="55" t="s">
        <v>12</v>
      </c>
      <c r="C7" s="56">
        <f>ROUND(D7+E7,2)</f>
        <v>7625280</v>
      </c>
      <c r="D7" s="56">
        <f>1538000+1700000+2567280</f>
        <v>5805280</v>
      </c>
      <c r="E7" s="56">
        <f>500000+420000+900000</f>
        <v>1820000</v>
      </c>
      <c r="F7" s="56">
        <f>ROUND(G7+H7,2)</f>
        <v>3399390</v>
      </c>
      <c r="G7" s="56">
        <f>659000+202600+417400</f>
        <v>1279000</v>
      </c>
      <c r="H7" s="56">
        <f>500000+170000+400000+356520+693870</f>
        <v>2120390</v>
      </c>
      <c r="I7" s="56">
        <f>10000+10000</f>
        <v>20000</v>
      </c>
      <c r="J7" s="56">
        <f>ROUND(F7+I7,2)</f>
        <v>3419390</v>
      </c>
      <c r="K7" s="56">
        <f>ROUND(N7+R7+V7,2)</f>
        <v>19058630</v>
      </c>
      <c r="L7" s="56">
        <f>5660000+4200000+160740+7857280</f>
        <v>17878020</v>
      </c>
      <c r="M7" s="56">
        <v>0</v>
      </c>
      <c r="N7" s="56">
        <f>ROUND(L7+M7,2)</f>
        <v>17878020</v>
      </c>
      <c r="O7" s="56">
        <f>276000+144500+398520</f>
        <v>819020</v>
      </c>
      <c r="P7" s="56">
        <v>0</v>
      </c>
      <c r="Q7" s="56">
        <f>10000+5000+13620</f>
        <v>28620</v>
      </c>
      <c r="R7" s="56">
        <f>ROUND(O7+P7+Q7,2)</f>
        <v>847640</v>
      </c>
      <c r="S7" s="56">
        <f>6000+6840+19000</f>
        <v>31840</v>
      </c>
      <c r="T7" s="56">
        <f>12000+42000+30610+60000+130000</f>
        <v>274610</v>
      </c>
      <c r="U7" s="56">
        <f>6500+5020+15000</f>
        <v>26520</v>
      </c>
      <c r="V7" s="56">
        <f>ROUND(S7+T7+U7,2)</f>
        <v>332970</v>
      </c>
      <c r="W7" s="56">
        <f>ROUND(X7+Y7+Z7+AA7+AB7+AC7+AD7+AE7,2)</f>
        <v>3010110</v>
      </c>
      <c r="X7" s="56">
        <f>26000+13000</f>
        <v>39000</v>
      </c>
      <c r="Y7" s="56">
        <f>17000+164000+257000+120000</f>
        <v>558000</v>
      </c>
      <c r="Z7" s="56">
        <f>18000+282000+168000+468000</f>
        <v>936000</v>
      </c>
      <c r="AA7" s="56">
        <f>5000+3000+6780</f>
        <v>14780</v>
      </c>
      <c r="AB7" s="56">
        <f>20000+10460+30600</f>
        <v>61060</v>
      </c>
      <c r="AC7" s="56">
        <f>279000+150000+19160+411000</f>
        <v>859160</v>
      </c>
      <c r="AD7" s="56">
        <f>4000+2290+6300</f>
        <v>12590</v>
      </c>
      <c r="AE7" s="56">
        <f>132380+132380+132380+132380</f>
        <v>529520</v>
      </c>
      <c r="AF7" s="56">
        <f>113000+59800+6660+166800</f>
        <v>346260</v>
      </c>
      <c r="AG7" s="56">
        <f>ROUND(AK7+AN7,2)</f>
        <v>712840</v>
      </c>
      <c r="AH7" s="56">
        <f>7000+24140</f>
        <v>31140</v>
      </c>
      <c r="AI7" s="56">
        <f>111000+60000+153900</f>
        <v>324900</v>
      </c>
      <c r="AJ7" s="56">
        <f>24000+30000+16000+27320</f>
        <v>97320</v>
      </c>
      <c r="AK7" s="56">
        <f>ROUND(AH7+AI7+AJ7,2)</f>
        <v>453360</v>
      </c>
      <c r="AL7" s="56">
        <f>2000+4000</f>
        <v>6000</v>
      </c>
      <c r="AM7" s="56">
        <f>79000+40000+134480</f>
        <v>253480</v>
      </c>
      <c r="AN7" s="56">
        <f>ROUND(AL7+AM7,2)</f>
        <v>259480</v>
      </c>
      <c r="AO7" s="56">
        <f>3000+2240</f>
        <v>5240</v>
      </c>
      <c r="AP7" s="56">
        <f>177000+79000+210040</f>
        <v>466040</v>
      </c>
      <c r="AQ7" s="56">
        <f>ROUND(AR7+AS7,2)</f>
        <v>32997140</v>
      </c>
      <c r="AR7" s="56">
        <f>ROUND(D7+G7+I7+N7+Y7+Z7+AA7+AB7+AC7+AD7+AE7+AF7+AM7,2)</f>
        <v>28553150</v>
      </c>
      <c r="AS7" s="56">
        <f>ROUND(E7+H7+X7+AK7+AL7+AO7,2)</f>
        <v>4443990</v>
      </c>
      <c r="AT7" s="56">
        <f>ROUND(AU7+AV7,2)</f>
        <v>1646650</v>
      </c>
      <c r="AU7" s="56">
        <f>ROUND(R7,2)</f>
        <v>847640</v>
      </c>
      <c r="AV7" s="56">
        <f>ROUND(V7+AP7,2)</f>
        <v>799010</v>
      </c>
      <c r="AW7" s="56">
        <f>ROUND(AX7+AY7,2)</f>
        <v>34643790</v>
      </c>
      <c r="AX7" s="56">
        <f>ROUND(AR7+AU7,2)</f>
        <v>29400790</v>
      </c>
      <c r="AY7" s="57">
        <f>ROUND(AS7+AV7,2)</f>
        <v>5243000</v>
      </c>
    </row>
    <row r="8" spans="1:51" s="66" customFormat="1" ht="12.75" x14ac:dyDescent="0.2">
      <c r="A8" s="59">
        <v>2</v>
      </c>
      <c r="B8" s="60" t="s">
        <v>104</v>
      </c>
      <c r="C8" s="56">
        <f>ROUND(D8+E8,2)</f>
        <v>1448881.77</v>
      </c>
      <c r="D8" s="61">
        <f>1150000-112547.81</f>
        <v>1037452.19</v>
      </c>
      <c r="E8" s="61">
        <f>250000+161429.58</f>
        <v>411429.57999999996</v>
      </c>
      <c r="F8" s="56">
        <f t="shared" ref="F8:F11" si="0">ROUND(G8+H8,2)</f>
        <v>765108.22</v>
      </c>
      <c r="G8" s="61">
        <f>340000-55966.23</f>
        <v>284033.77</v>
      </c>
      <c r="H8" s="61">
        <f>250000+231074.45</f>
        <v>481074.45</v>
      </c>
      <c r="I8" s="61">
        <v>0</v>
      </c>
      <c r="J8" s="56">
        <f t="shared" ref="J8:J15" si="1">ROUND(F8+I8,2)</f>
        <v>765108.22</v>
      </c>
      <c r="K8" s="56">
        <f t="shared" ref="K8:K35" si="2">ROUND(N8+R8+V8,2)</f>
        <v>3670977.14</v>
      </c>
      <c r="L8" s="61">
        <f>3300000+195696.89</f>
        <v>3495696.89</v>
      </c>
      <c r="M8" s="62">
        <v>0</v>
      </c>
      <c r="N8" s="63">
        <f t="shared" ref="N8:N15" si="3">ROUND(L8+M8,2)</f>
        <v>3495696.89</v>
      </c>
      <c r="O8" s="61">
        <f>140000+6854.8</f>
        <v>146854.79999999999</v>
      </c>
      <c r="P8" s="61">
        <v>0</v>
      </c>
      <c r="Q8" s="61">
        <f>5000-440</f>
        <v>4560</v>
      </c>
      <c r="R8" s="63">
        <f>ROUND(O8+P8+Q8,2)</f>
        <v>151414.79999999999</v>
      </c>
      <c r="S8" s="10">
        <f>3000-3000</f>
        <v>0</v>
      </c>
      <c r="T8" s="10">
        <f>6000+21000-8947.7</f>
        <v>18052.3</v>
      </c>
      <c r="U8" s="10">
        <f>3000+2813.15</f>
        <v>5813.15</v>
      </c>
      <c r="V8" s="64">
        <f>ROUND(S8+T8+U8,2)</f>
        <v>23865.45</v>
      </c>
      <c r="W8" s="56">
        <f t="shared" ref="W8:W15" si="4">ROUND(X8+Y8+Z8+AA8+AB8+AC8+AD8+AE8,2)</f>
        <v>657442.64</v>
      </c>
      <c r="X8" s="61">
        <f>13000-13000</f>
        <v>0</v>
      </c>
      <c r="Y8" s="61">
        <f>17000+74000-6233.82</f>
        <v>84766.18</v>
      </c>
      <c r="Z8" s="61">
        <f>18000+132000-117.76</f>
        <v>149882.23999999999</v>
      </c>
      <c r="AA8" s="61">
        <f>3000+238.23</f>
        <v>3238.23</v>
      </c>
      <c r="AB8" s="61">
        <f>10140-3.35</f>
        <v>10136.65</v>
      </c>
      <c r="AC8" s="61">
        <f>140000+2593.72</f>
        <v>142593.72</v>
      </c>
      <c r="AD8" s="61">
        <f>2081-0.4</f>
        <v>2080.6</v>
      </c>
      <c r="AE8" s="61">
        <f>132380+132380-14.98</f>
        <v>264745.02</v>
      </c>
      <c r="AF8" s="56">
        <f>60000+16688.06</f>
        <v>76688.06</v>
      </c>
      <c r="AG8" s="56">
        <f t="shared" ref="AG8:AG11" si="5">ROUND(AK8+AN8,2)</f>
        <v>120243.27</v>
      </c>
      <c r="AH8" s="61">
        <f>3500+3253.73</f>
        <v>6753.73</v>
      </c>
      <c r="AI8" s="61">
        <f>60000-9347.05</f>
        <v>50652.95</v>
      </c>
      <c r="AJ8" s="61">
        <f>12000+11638.05</f>
        <v>23638.05</v>
      </c>
      <c r="AK8" s="64">
        <f t="shared" ref="AK8:AK15" si="6">ROUND(AH8+AI8+AJ8,2)</f>
        <v>81044.73</v>
      </c>
      <c r="AL8" s="61">
        <v>0</v>
      </c>
      <c r="AM8" s="61">
        <f>50000-10801.46</f>
        <v>39198.54</v>
      </c>
      <c r="AN8" s="64">
        <f t="shared" ref="AN8:AN15" si="7">ROUND(AL8+AM8,2)</f>
        <v>39198.54</v>
      </c>
      <c r="AO8" s="56">
        <f>1500-1500</f>
        <v>0</v>
      </c>
      <c r="AP8" s="56">
        <f>90000-90000</f>
        <v>0</v>
      </c>
      <c r="AQ8" s="56">
        <f t="shared" ref="AQ8:AQ15" si="8">ROUND(AR8+AS8,2)</f>
        <v>6564060.8499999996</v>
      </c>
      <c r="AR8" s="64">
        <f t="shared" ref="AR8:AR11" si="9">ROUND(D8+G8+I8+N8+Y8+Z8+AA8+AB8+AC8+AD8+AE8+AF8+AM8,2)</f>
        <v>5590512.0899999999</v>
      </c>
      <c r="AS8" s="64">
        <f t="shared" ref="AS8:AS11" si="10">ROUND(E8+H8+X8+AK8+AL8+AO8,2)</f>
        <v>973548.76</v>
      </c>
      <c r="AT8" s="56">
        <f t="shared" ref="AT8:AT11" si="11">ROUND(AU8+AV8,2)</f>
        <v>175280.25</v>
      </c>
      <c r="AU8" s="64">
        <f>ROUND(R8,2)</f>
        <v>151414.79999999999</v>
      </c>
      <c r="AV8" s="64">
        <f>ROUND(V8+AP8,2)</f>
        <v>23865.45</v>
      </c>
      <c r="AW8" s="56">
        <f t="shared" ref="AW8:AW11" si="12">ROUND(AX8+AY8,2)</f>
        <v>6739341.0999999996</v>
      </c>
      <c r="AX8" s="64">
        <f>ROUND(AR8+AU8,2)</f>
        <v>5741926.8899999997</v>
      </c>
      <c r="AY8" s="65">
        <f>ROUND(AS8+AV8,2)</f>
        <v>997414.21</v>
      </c>
    </row>
    <row r="9" spans="1:51" s="66" customFormat="1" ht="12.75" x14ac:dyDescent="0.2">
      <c r="A9" s="59">
        <v>3</v>
      </c>
      <c r="B9" s="67" t="s">
        <v>105</v>
      </c>
      <c r="C9" s="56">
        <f t="shared" ref="C9:C11" si="13">ROUND(D9+E9,2)</f>
        <v>1218316.8700000001</v>
      </c>
      <c r="D9" s="68">
        <f>388000+112547.81+694774.28</f>
        <v>1195322.0900000001</v>
      </c>
      <c r="E9" s="68">
        <f>250000-161429.58-65575.64</f>
        <v>22994.780000000013</v>
      </c>
      <c r="F9" s="56">
        <f t="shared" si="0"/>
        <v>424345.8</v>
      </c>
      <c r="G9" s="68">
        <f>319000+55966.23-115611.3</f>
        <v>259354.93</v>
      </c>
      <c r="H9" s="68">
        <f>250000+170000-231074.45-23934.68</f>
        <v>164990.87</v>
      </c>
      <c r="I9" s="68">
        <f>5000+5000-5467.32</f>
        <v>4532.68</v>
      </c>
      <c r="J9" s="56">
        <f t="shared" si="1"/>
        <v>428878.48</v>
      </c>
      <c r="K9" s="56">
        <f t="shared" si="2"/>
        <v>3668027.45</v>
      </c>
      <c r="L9" s="68">
        <f>2360000-195696.89+1311128.83</f>
        <v>3475431.94</v>
      </c>
      <c r="M9" s="62">
        <v>0</v>
      </c>
      <c r="N9" s="63">
        <f t="shared" si="3"/>
        <v>3475431.94</v>
      </c>
      <c r="O9" s="68">
        <f>136000-6854.8+19117.2</f>
        <v>148262.39999999999</v>
      </c>
      <c r="P9" s="68">
        <v>0</v>
      </c>
      <c r="Q9" s="68">
        <f>5000+440-1240</f>
        <v>4200</v>
      </c>
      <c r="R9" s="63">
        <f t="shared" ref="R9:R15" si="14">ROUND(O9+P9+Q9,2)</f>
        <v>152462.39999999999</v>
      </c>
      <c r="S9" s="10">
        <f>3000+3000-930.24</f>
        <v>5069.76</v>
      </c>
      <c r="T9" s="10">
        <f>6000+21000+8947.7-884.35</f>
        <v>35063.35</v>
      </c>
      <c r="U9" s="10">
        <f>3500-2813.15-686.85</f>
        <v>0</v>
      </c>
      <c r="V9" s="64">
        <f t="shared" ref="V9:V11" si="15">ROUND(S9+T9+U9,2)</f>
        <v>40133.11</v>
      </c>
      <c r="W9" s="56">
        <f t="shared" si="4"/>
        <v>592841.93999999994</v>
      </c>
      <c r="X9" s="12">
        <f>13000+13000-26000</f>
        <v>0</v>
      </c>
      <c r="Y9" s="68">
        <f>90000+6233.82+75866.52</f>
        <v>172100.34000000003</v>
      </c>
      <c r="Z9" s="68">
        <f>150000+117.76+3938.82</f>
        <v>154056.58000000002</v>
      </c>
      <c r="AA9" s="68">
        <f>2000-238.23-547.43</f>
        <v>1214.3400000000001</v>
      </c>
      <c r="AB9" s="68">
        <f>9860+3.35+273.3</f>
        <v>10136.65</v>
      </c>
      <c r="AC9" s="68">
        <f>139000-2593.72-15525.36</f>
        <v>120880.92</v>
      </c>
      <c r="AD9" s="68">
        <f>1919+0.4+161.2</f>
        <v>2080.6</v>
      </c>
      <c r="AE9" s="68">
        <f>14.98+132380-22.47</f>
        <v>132372.51</v>
      </c>
      <c r="AF9" s="56">
        <f>53000-16688.06+3048.94</f>
        <v>39360.880000000005</v>
      </c>
      <c r="AG9" s="56">
        <f t="shared" si="5"/>
        <v>129040.16</v>
      </c>
      <c r="AH9" s="61">
        <f>3500-3253.73-246.27</f>
        <v>0</v>
      </c>
      <c r="AI9" s="61">
        <f>51000+9347.05-334.39</f>
        <v>60012.66</v>
      </c>
      <c r="AJ9" s="61">
        <f>12000+30000-11638.05-532.99</f>
        <v>29828.959999999999</v>
      </c>
      <c r="AK9" s="64">
        <f t="shared" si="6"/>
        <v>89841.62</v>
      </c>
      <c r="AL9" s="61">
        <v>0</v>
      </c>
      <c r="AM9" s="68">
        <f>29000+10801.46-602.92</f>
        <v>39198.54</v>
      </c>
      <c r="AN9" s="64">
        <f t="shared" si="7"/>
        <v>39198.54</v>
      </c>
      <c r="AO9" s="56">
        <f>1500+1500-3000</f>
        <v>0</v>
      </c>
      <c r="AP9" s="56">
        <f>87000+90000-77751.14</f>
        <v>99248.86</v>
      </c>
      <c r="AQ9" s="56">
        <f t="shared" si="8"/>
        <v>5883870.2699999996</v>
      </c>
      <c r="AR9" s="64">
        <f t="shared" si="9"/>
        <v>5606043</v>
      </c>
      <c r="AS9" s="64">
        <f t="shared" si="10"/>
        <v>277827.27</v>
      </c>
      <c r="AT9" s="56">
        <f t="shared" si="11"/>
        <v>291844.37</v>
      </c>
      <c r="AU9" s="64">
        <f t="shared" ref="AU9:AU11" si="16">ROUND(R9,2)</f>
        <v>152462.39999999999</v>
      </c>
      <c r="AV9" s="64">
        <f t="shared" ref="AV9:AV11" si="17">ROUND(V9+AP9,2)</f>
        <v>139381.97</v>
      </c>
      <c r="AW9" s="56">
        <f t="shared" si="12"/>
        <v>6175714.6399999997</v>
      </c>
      <c r="AX9" s="64">
        <f t="shared" ref="AX9:AY11" si="18">ROUND(AR9+AU9,2)</f>
        <v>5758505.4000000004</v>
      </c>
      <c r="AY9" s="65">
        <f t="shared" si="18"/>
        <v>417209.24</v>
      </c>
    </row>
    <row r="10" spans="1:51" s="71" customFormat="1" ht="12.75" x14ac:dyDescent="0.2">
      <c r="A10" s="59">
        <v>4</v>
      </c>
      <c r="B10" s="67" t="s">
        <v>13</v>
      </c>
      <c r="C10" s="56">
        <f t="shared" si="13"/>
        <v>1490801.36</v>
      </c>
      <c r="D10" s="61">
        <f>1700000-694774.28</f>
        <v>1005225.72</v>
      </c>
      <c r="E10" s="61">
        <f>420000+65575.64</f>
        <v>485575.64</v>
      </c>
      <c r="F10" s="56">
        <f t="shared" si="0"/>
        <v>1098665.98</v>
      </c>
      <c r="G10" s="61">
        <f>202600+115611.3</f>
        <v>318211.3</v>
      </c>
      <c r="H10" s="61">
        <f>400000+356520+23934.68</f>
        <v>780454.68</v>
      </c>
      <c r="I10" s="69">
        <v>5467.32</v>
      </c>
      <c r="J10" s="56">
        <f t="shared" si="1"/>
        <v>1104133.3</v>
      </c>
      <c r="K10" s="56">
        <f t="shared" si="2"/>
        <v>3125474.54</v>
      </c>
      <c r="L10" s="61">
        <f>4200000-1311128.83+9.13</f>
        <v>2888880.3</v>
      </c>
      <c r="M10" s="62">
        <v>0</v>
      </c>
      <c r="N10" s="63">
        <f t="shared" si="3"/>
        <v>2888880.3</v>
      </c>
      <c r="O10" s="61">
        <f>144500-19117.2</f>
        <v>125382.8</v>
      </c>
      <c r="P10" s="69">
        <v>0</v>
      </c>
      <c r="Q10" s="61">
        <f>5000+1240</f>
        <v>6240</v>
      </c>
      <c r="R10" s="63">
        <f t="shared" si="14"/>
        <v>131622.79999999999</v>
      </c>
      <c r="S10" s="61">
        <f>6840+930.24</f>
        <v>7770.24</v>
      </c>
      <c r="T10" s="61">
        <f>30610+60000+884.35</f>
        <v>91494.35</v>
      </c>
      <c r="U10" s="61">
        <f>5020+686.85</f>
        <v>5706.85</v>
      </c>
      <c r="V10" s="64">
        <f t="shared" si="15"/>
        <v>104971.44</v>
      </c>
      <c r="W10" s="56">
        <f t="shared" si="4"/>
        <v>684989.05</v>
      </c>
      <c r="X10" s="61">
        <v>26000</v>
      </c>
      <c r="Y10" s="61">
        <f>257000-75866.52</f>
        <v>181133.47999999998</v>
      </c>
      <c r="Z10" s="61">
        <f>168000-3938.82</f>
        <v>164061.18</v>
      </c>
      <c r="AA10" s="61">
        <f>3000+547.43</f>
        <v>3547.43</v>
      </c>
      <c r="AB10" s="61">
        <f>10460-273.3</f>
        <v>10186.700000000001</v>
      </c>
      <c r="AC10" s="61">
        <f>150000+15525.36+3.63</f>
        <v>165528.99</v>
      </c>
      <c r="AD10" s="61">
        <f>2290-161.2</f>
        <v>2128.8000000000002</v>
      </c>
      <c r="AE10" s="70">
        <f>22.47+132380</f>
        <v>132402.47</v>
      </c>
      <c r="AF10" s="56">
        <f>59800-3048.94+4.97</f>
        <v>56756.03</v>
      </c>
      <c r="AG10" s="56">
        <f t="shared" si="5"/>
        <v>143856.57</v>
      </c>
      <c r="AH10" s="61">
        <f>24140+246.27</f>
        <v>24386.27</v>
      </c>
      <c r="AI10" s="61">
        <f>60000+334.39</f>
        <v>60334.39</v>
      </c>
      <c r="AJ10" s="61">
        <f>16000+532.99</f>
        <v>16532.990000000002</v>
      </c>
      <c r="AK10" s="64">
        <f t="shared" si="6"/>
        <v>101253.65</v>
      </c>
      <c r="AL10" s="61">
        <v>2000</v>
      </c>
      <c r="AM10" s="69">
        <f>40000+602.92</f>
        <v>40602.92</v>
      </c>
      <c r="AN10" s="64">
        <f t="shared" si="7"/>
        <v>42602.92</v>
      </c>
      <c r="AO10" s="56">
        <f>3000</f>
        <v>3000</v>
      </c>
      <c r="AP10" s="56">
        <f>79000+77751.14</f>
        <v>156751.14000000001</v>
      </c>
      <c r="AQ10" s="56">
        <f t="shared" si="8"/>
        <v>6372416.6100000003</v>
      </c>
      <c r="AR10" s="64">
        <f t="shared" si="9"/>
        <v>4974132.6399999997</v>
      </c>
      <c r="AS10" s="64">
        <f t="shared" si="10"/>
        <v>1398283.97</v>
      </c>
      <c r="AT10" s="56">
        <f t="shared" si="11"/>
        <v>393345.38</v>
      </c>
      <c r="AU10" s="64">
        <f t="shared" si="16"/>
        <v>131622.79999999999</v>
      </c>
      <c r="AV10" s="64">
        <f t="shared" si="17"/>
        <v>261722.58</v>
      </c>
      <c r="AW10" s="56">
        <f t="shared" si="12"/>
        <v>6765761.9900000002</v>
      </c>
      <c r="AX10" s="64">
        <f t="shared" si="18"/>
        <v>5105755.4400000004</v>
      </c>
      <c r="AY10" s="65">
        <f t="shared" si="18"/>
        <v>1660006.55</v>
      </c>
    </row>
    <row r="11" spans="1:51" s="71" customFormat="1" ht="12.75" x14ac:dyDescent="0.2">
      <c r="A11" s="59" t="s">
        <v>10</v>
      </c>
      <c r="B11" s="60" t="s">
        <v>106</v>
      </c>
      <c r="C11" s="56">
        <f t="shared" si="13"/>
        <v>0</v>
      </c>
      <c r="D11" s="61">
        <v>0</v>
      </c>
      <c r="E11" s="61">
        <v>0</v>
      </c>
      <c r="F11" s="56">
        <f t="shared" si="0"/>
        <v>0</v>
      </c>
      <c r="G11" s="61">
        <v>0</v>
      </c>
      <c r="H11" s="61">
        <v>0</v>
      </c>
      <c r="I11" s="69">
        <v>0</v>
      </c>
      <c r="J11" s="56">
        <f t="shared" si="1"/>
        <v>0</v>
      </c>
      <c r="K11" s="56">
        <f t="shared" si="2"/>
        <v>160730.87</v>
      </c>
      <c r="L11" s="61">
        <f>160740-9.13</f>
        <v>160730.87</v>
      </c>
      <c r="M11" s="62">
        <v>0</v>
      </c>
      <c r="N11" s="63">
        <f t="shared" si="3"/>
        <v>160730.87</v>
      </c>
      <c r="O11" s="61">
        <v>0</v>
      </c>
      <c r="P11" s="69">
        <v>0</v>
      </c>
      <c r="Q11" s="61">
        <v>0</v>
      </c>
      <c r="R11" s="63">
        <f t="shared" si="14"/>
        <v>0</v>
      </c>
      <c r="S11" s="61">
        <v>0</v>
      </c>
      <c r="T11" s="61">
        <v>0</v>
      </c>
      <c r="U11" s="61">
        <v>0</v>
      </c>
      <c r="V11" s="64">
        <f t="shared" si="15"/>
        <v>0</v>
      </c>
      <c r="W11" s="56">
        <f t="shared" si="4"/>
        <v>19156.37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f>19160-3.63</f>
        <v>19156.37</v>
      </c>
      <c r="AD11" s="61">
        <v>0</v>
      </c>
      <c r="AE11" s="69">
        <v>0</v>
      </c>
      <c r="AF11" s="56">
        <f>6660-4.97</f>
        <v>6655.03</v>
      </c>
      <c r="AG11" s="56">
        <f t="shared" si="5"/>
        <v>0</v>
      </c>
      <c r="AH11" s="61">
        <v>0</v>
      </c>
      <c r="AI11" s="61">
        <v>0</v>
      </c>
      <c r="AJ11" s="61">
        <v>0</v>
      </c>
      <c r="AK11" s="64">
        <f t="shared" si="6"/>
        <v>0</v>
      </c>
      <c r="AL11" s="61">
        <v>0</v>
      </c>
      <c r="AM11" s="69">
        <v>0</v>
      </c>
      <c r="AN11" s="64">
        <f t="shared" si="7"/>
        <v>0</v>
      </c>
      <c r="AO11" s="56">
        <v>0</v>
      </c>
      <c r="AP11" s="56">
        <v>0</v>
      </c>
      <c r="AQ11" s="56">
        <f t="shared" si="8"/>
        <v>186542.27</v>
      </c>
      <c r="AR11" s="64">
        <f t="shared" si="9"/>
        <v>186542.27</v>
      </c>
      <c r="AS11" s="64">
        <f t="shared" si="10"/>
        <v>0</v>
      </c>
      <c r="AT11" s="56">
        <f t="shared" si="11"/>
        <v>0</v>
      </c>
      <c r="AU11" s="64">
        <f t="shared" si="16"/>
        <v>0</v>
      </c>
      <c r="AV11" s="64">
        <f t="shared" si="17"/>
        <v>0</v>
      </c>
      <c r="AW11" s="56">
        <f t="shared" si="12"/>
        <v>186542.27</v>
      </c>
      <c r="AX11" s="64">
        <f t="shared" si="18"/>
        <v>186542.27</v>
      </c>
      <c r="AY11" s="65">
        <f t="shared" si="18"/>
        <v>0</v>
      </c>
    </row>
    <row r="12" spans="1:51" s="72" customFormat="1" ht="12.75" x14ac:dyDescent="0.2">
      <c r="A12" s="54" t="s">
        <v>107</v>
      </c>
      <c r="B12" s="55" t="s">
        <v>14</v>
      </c>
      <c r="C12" s="56">
        <f>SUM(C8:C11)</f>
        <v>4158000</v>
      </c>
      <c r="D12" s="56">
        <f t="shared" ref="D12:AY12" si="19">SUM(D8:D11)</f>
        <v>3238000</v>
      </c>
      <c r="E12" s="56">
        <f t="shared" si="19"/>
        <v>920000</v>
      </c>
      <c r="F12" s="56">
        <f t="shared" si="19"/>
        <v>2288120</v>
      </c>
      <c r="G12" s="56">
        <f t="shared" si="19"/>
        <v>861600</v>
      </c>
      <c r="H12" s="56">
        <f t="shared" si="19"/>
        <v>1426520</v>
      </c>
      <c r="I12" s="56">
        <f t="shared" si="19"/>
        <v>10000</v>
      </c>
      <c r="J12" s="56">
        <f t="shared" si="19"/>
        <v>2298120</v>
      </c>
      <c r="K12" s="56">
        <f t="shared" si="2"/>
        <v>10625210</v>
      </c>
      <c r="L12" s="56">
        <f t="shared" si="19"/>
        <v>10020739.999999998</v>
      </c>
      <c r="M12" s="56">
        <f t="shared" si="19"/>
        <v>0</v>
      </c>
      <c r="N12" s="56">
        <f t="shared" si="19"/>
        <v>10020739.999999998</v>
      </c>
      <c r="O12" s="56">
        <f t="shared" si="19"/>
        <v>420499.99999999994</v>
      </c>
      <c r="P12" s="56">
        <f t="shared" si="19"/>
        <v>0</v>
      </c>
      <c r="Q12" s="56">
        <f t="shared" si="19"/>
        <v>15000</v>
      </c>
      <c r="R12" s="56">
        <f t="shared" si="19"/>
        <v>435499.99999999994</v>
      </c>
      <c r="S12" s="56">
        <f>SUM(S8:S11)</f>
        <v>12840</v>
      </c>
      <c r="T12" s="56">
        <f>SUM(T8:T11)</f>
        <v>144610</v>
      </c>
      <c r="U12" s="56">
        <f>SUM(U8:U11)</f>
        <v>11520</v>
      </c>
      <c r="V12" s="56">
        <f>SUM(V8:V11)</f>
        <v>168970</v>
      </c>
      <c r="W12" s="56">
        <f t="shared" ref="W12" si="20">SUM(W8:W11)</f>
        <v>1954430.0000000002</v>
      </c>
      <c r="X12" s="56">
        <f t="shared" si="19"/>
        <v>26000</v>
      </c>
      <c r="Y12" s="56">
        <f t="shared" si="19"/>
        <v>438000</v>
      </c>
      <c r="Z12" s="56">
        <f t="shared" si="19"/>
        <v>468000</v>
      </c>
      <c r="AA12" s="56">
        <f t="shared" si="19"/>
        <v>8000</v>
      </c>
      <c r="AB12" s="56">
        <f t="shared" si="19"/>
        <v>30460</v>
      </c>
      <c r="AC12" s="56">
        <f t="shared" si="19"/>
        <v>448160</v>
      </c>
      <c r="AD12" s="56">
        <f t="shared" si="19"/>
        <v>6290</v>
      </c>
      <c r="AE12" s="56">
        <f t="shared" si="19"/>
        <v>529520</v>
      </c>
      <c r="AF12" s="56">
        <f t="shared" si="19"/>
        <v>179460</v>
      </c>
      <c r="AG12" s="56">
        <f>SUM(AG8:AG11)</f>
        <v>393140</v>
      </c>
      <c r="AH12" s="56">
        <f t="shared" si="19"/>
        <v>31140</v>
      </c>
      <c r="AI12" s="56">
        <f t="shared" si="19"/>
        <v>171000</v>
      </c>
      <c r="AJ12" s="56">
        <f t="shared" si="19"/>
        <v>70000</v>
      </c>
      <c r="AK12" s="56">
        <f t="shared" si="19"/>
        <v>272140</v>
      </c>
      <c r="AL12" s="56">
        <f t="shared" si="19"/>
        <v>2000</v>
      </c>
      <c r="AM12" s="56">
        <f t="shared" si="19"/>
        <v>119000</v>
      </c>
      <c r="AN12" s="56">
        <f t="shared" si="19"/>
        <v>121000</v>
      </c>
      <c r="AO12" s="56">
        <f t="shared" si="19"/>
        <v>3000</v>
      </c>
      <c r="AP12" s="56">
        <f t="shared" si="19"/>
        <v>256000</v>
      </c>
      <c r="AQ12" s="56">
        <f>SUM(AQ8:AQ11)</f>
        <v>19006890</v>
      </c>
      <c r="AR12" s="56">
        <f t="shared" ref="AR12:AS12" si="21">SUM(AR8:AR11)</f>
        <v>16357230</v>
      </c>
      <c r="AS12" s="56">
        <f t="shared" si="21"/>
        <v>2649660</v>
      </c>
      <c r="AT12" s="56">
        <f t="shared" si="19"/>
        <v>860470</v>
      </c>
      <c r="AU12" s="56">
        <f t="shared" si="19"/>
        <v>435499.99999999994</v>
      </c>
      <c r="AV12" s="56">
        <f t="shared" si="19"/>
        <v>424970</v>
      </c>
      <c r="AW12" s="56">
        <f t="shared" si="19"/>
        <v>19867359.999999996</v>
      </c>
      <c r="AX12" s="56">
        <f t="shared" si="19"/>
        <v>16792730</v>
      </c>
      <c r="AY12" s="57">
        <f t="shared" si="19"/>
        <v>3074630</v>
      </c>
    </row>
    <row r="13" spans="1:51" s="71" customFormat="1" ht="12.75" x14ac:dyDescent="0.2">
      <c r="A13" s="59">
        <v>6</v>
      </c>
      <c r="B13" s="73" t="s">
        <v>15</v>
      </c>
      <c r="C13" s="56">
        <f t="shared" ref="C13:C15" si="22">ROUND(D13+E13,2)</f>
        <v>1450000</v>
      </c>
      <c r="D13" s="61">
        <v>1100000</v>
      </c>
      <c r="E13" s="61">
        <v>350000</v>
      </c>
      <c r="F13" s="56">
        <f t="shared" ref="F13:F15" si="23">ROUND(G13+H13,2)</f>
        <v>810000</v>
      </c>
      <c r="G13" s="61">
        <v>310000</v>
      </c>
      <c r="H13" s="61">
        <v>500000</v>
      </c>
      <c r="I13" s="61">
        <v>10000</v>
      </c>
      <c r="J13" s="56">
        <f t="shared" si="1"/>
        <v>820000</v>
      </c>
      <c r="K13" s="56">
        <f t="shared" si="2"/>
        <v>3505500</v>
      </c>
      <c r="L13" s="61">
        <v>3200000</v>
      </c>
      <c r="M13" s="74">
        <v>0</v>
      </c>
      <c r="N13" s="63">
        <f t="shared" si="3"/>
        <v>3200000</v>
      </c>
      <c r="O13" s="61">
        <v>136500</v>
      </c>
      <c r="P13" s="61">
        <v>0</v>
      </c>
      <c r="Q13" s="61">
        <v>5000</v>
      </c>
      <c r="R13" s="63">
        <f t="shared" si="14"/>
        <v>141500</v>
      </c>
      <c r="S13" s="70">
        <v>19000</v>
      </c>
      <c r="T13" s="70">
        <v>130000</v>
      </c>
      <c r="U13" s="70">
        <v>15000</v>
      </c>
      <c r="V13" s="64">
        <f t="shared" ref="V13:V15" si="24">ROUND(S13+T13+U13,2)</f>
        <v>164000</v>
      </c>
      <c r="W13" s="56">
        <f t="shared" si="4"/>
        <v>443800</v>
      </c>
      <c r="X13" s="61">
        <v>13000</v>
      </c>
      <c r="Y13" s="61">
        <v>120000</v>
      </c>
      <c r="Z13" s="61">
        <v>156000</v>
      </c>
      <c r="AA13" s="61">
        <v>2500</v>
      </c>
      <c r="AB13" s="61">
        <v>10200</v>
      </c>
      <c r="AC13" s="61">
        <v>140000</v>
      </c>
      <c r="AD13" s="61">
        <v>2100</v>
      </c>
      <c r="AE13" s="61">
        <v>0</v>
      </c>
      <c r="AF13" s="56">
        <v>56600</v>
      </c>
      <c r="AG13" s="56">
        <f t="shared" ref="AG13:AG15" si="25">ROUND(AK13+AN13,2)</f>
        <v>125320</v>
      </c>
      <c r="AH13" s="61">
        <v>0</v>
      </c>
      <c r="AI13" s="61">
        <v>57000</v>
      </c>
      <c r="AJ13" s="61">
        <v>27320</v>
      </c>
      <c r="AK13" s="64">
        <f t="shared" si="6"/>
        <v>84320</v>
      </c>
      <c r="AL13" s="61">
        <v>1000</v>
      </c>
      <c r="AM13" s="61">
        <v>40000</v>
      </c>
      <c r="AN13" s="64">
        <f t="shared" si="7"/>
        <v>41000</v>
      </c>
      <c r="AO13" s="56">
        <v>2240</v>
      </c>
      <c r="AP13" s="56">
        <v>79000</v>
      </c>
      <c r="AQ13" s="56">
        <f t="shared" si="8"/>
        <v>6097960</v>
      </c>
      <c r="AR13" s="63">
        <f t="shared" ref="AR13:AR15" si="26">ROUND(D13+G13+I13+N13+Y13+Z13+AA13+AB13+AC13+AD13+AE13+AF13+AM13,2)</f>
        <v>5147400</v>
      </c>
      <c r="AS13" s="63">
        <f t="shared" ref="AS13:AS15" si="27">ROUND(E13+H13+X13+AK13+AL13+AO13,2)</f>
        <v>950560</v>
      </c>
      <c r="AT13" s="56">
        <f t="shared" ref="AT13:AT15" si="28">ROUND(AU13+AV13,2)</f>
        <v>384500</v>
      </c>
      <c r="AU13" s="63">
        <f t="shared" ref="AU13:AU15" si="29">ROUND(R13,2)</f>
        <v>141500</v>
      </c>
      <c r="AV13" s="63">
        <f t="shared" ref="AV13:AV15" si="30">ROUND(V13+AP13,2)</f>
        <v>243000</v>
      </c>
      <c r="AW13" s="56">
        <f t="shared" ref="AW13:AW15" si="31">ROUND(AX13+AY13,2)</f>
        <v>6482460</v>
      </c>
      <c r="AX13" s="63">
        <f t="shared" ref="AX13:AY15" si="32">ROUND(AR13+AU13,2)</f>
        <v>5288900</v>
      </c>
      <c r="AY13" s="75">
        <f t="shared" si="32"/>
        <v>1193560</v>
      </c>
    </row>
    <row r="14" spans="1:51" s="71" customFormat="1" ht="12.75" x14ac:dyDescent="0.2">
      <c r="A14" s="59">
        <v>7</v>
      </c>
      <c r="B14" s="67" t="s">
        <v>16</v>
      </c>
      <c r="C14" s="56">
        <f t="shared" si="22"/>
        <v>1450000</v>
      </c>
      <c r="D14" s="61">
        <v>1100000</v>
      </c>
      <c r="E14" s="61">
        <v>350000</v>
      </c>
      <c r="F14" s="56">
        <f t="shared" si="23"/>
        <v>301270</v>
      </c>
      <c r="G14" s="61">
        <v>107400</v>
      </c>
      <c r="H14" s="61">
        <v>193870</v>
      </c>
      <c r="I14" s="61">
        <v>0</v>
      </c>
      <c r="J14" s="56">
        <f t="shared" si="1"/>
        <v>301270</v>
      </c>
      <c r="K14" s="56">
        <f t="shared" si="2"/>
        <v>3341500</v>
      </c>
      <c r="L14" s="61">
        <v>3200000</v>
      </c>
      <c r="M14" s="74">
        <v>0</v>
      </c>
      <c r="N14" s="63">
        <f t="shared" si="3"/>
        <v>3200000</v>
      </c>
      <c r="O14" s="61">
        <v>136500</v>
      </c>
      <c r="P14" s="61">
        <v>0</v>
      </c>
      <c r="Q14" s="61">
        <v>5000</v>
      </c>
      <c r="R14" s="63">
        <f t="shared" si="14"/>
        <v>141500</v>
      </c>
      <c r="S14" s="61">
        <v>0</v>
      </c>
      <c r="T14" s="61">
        <v>0</v>
      </c>
      <c r="U14" s="61">
        <v>0</v>
      </c>
      <c r="V14" s="64">
        <f t="shared" si="24"/>
        <v>0</v>
      </c>
      <c r="W14" s="56">
        <f t="shared" si="4"/>
        <v>310800</v>
      </c>
      <c r="X14" s="61">
        <v>0</v>
      </c>
      <c r="Y14" s="61">
        <v>0</v>
      </c>
      <c r="Z14" s="61">
        <v>156000</v>
      </c>
      <c r="AA14" s="61">
        <v>2500</v>
      </c>
      <c r="AB14" s="61">
        <v>10200</v>
      </c>
      <c r="AC14" s="61">
        <v>140000</v>
      </c>
      <c r="AD14" s="61">
        <v>2100</v>
      </c>
      <c r="AE14" s="61">
        <v>0</v>
      </c>
      <c r="AF14" s="56">
        <v>56600</v>
      </c>
      <c r="AG14" s="56">
        <f t="shared" si="25"/>
        <v>98500</v>
      </c>
      <c r="AH14" s="61">
        <v>0</v>
      </c>
      <c r="AI14" s="61">
        <v>57000</v>
      </c>
      <c r="AJ14" s="61">
        <v>0</v>
      </c>
      <c r="AK14" s="64">
        <f t="shared" si="6"/>
        <v>57000</v>
      </c>
      <c r="AL14" s="61">
        <v>1500</v>
      </c>
      <c r="AM14" s="61">
        <v>40000</v>
      </c>
      <c r="AN14" s="64">
        <f t="shared" si="7"/>
        <v>41500</v>
      </c>
      <c r="AO14" s="56">
        <v>0</v>
      </c>
      <c r="AP14" s="56">
        <v>79000</v>
      </c>
      <c r="AQ14" s="56">
        <f t="shared" si="8"/>
        <v>5417170</v>
      </c>
      <c r="AR14" s="63">
        <f t="shared" si="26"/>
        <v>4814800</v>
      </c>
      <c r="AS14" s="63">
        <f t="shared" si="27"/>
        <v>602370</v>
      </c>
      <c r="AT14" s="56">
        <f t="shared" si="28"/>
        <v>220500</v>
      </c>
      <c r="AU14" s="63">
        <f t="shared" si="29"/>
        <v>141500</v>
      </c>
      <c r="AV14" s="63">
        <f t="shared" si="30"/>
        <v>79000</v>
      </c>
      <c r="AW14" s="56">
        <f t="shared" si="31"/>
        <v>5637670</v>
      </c>
      <c r="AX14" s="63">
        <f t="shared" si="32"/>
        <v>4956300</v>
      </c>
      <c r="AY14" s="75">
        <f t="shared" si="32"/>
        <v>681370</v>
      </c>
    </row>
    <row r="15" spans="1:51" s="72" customFormat="1" ht="12.75" x14ac:dyDescent="0.2">
      <c r="A15" s="59">
        <v>8</v>
      </c>
      <c r="B15" s="14" t="s">
        <v>17</v>
      </c>
      <c r="C15" s="56">
        <f t="shared" si="22"/>
        <v>567280</v>
      </c>
      <c r="D15" s="61">
        <v>367280</v>
      </c>
      <c r="E15" s="61">
        <v>200000</v>
      </c>
      <c r="F15" s="56">
        <f t="shared" si="23"/>
        <v>0</v>
      </c>
      <c r="G15" s="61">
        <v>0</v>
      </c>
      <c r="H15" s="61">
        <v>0</v>
      </c>
      <c r="I15" s="61">
        <v>0</v>
      </c>
      <c r="J15" s="56">
        <f t="shared" si="1"/>
        <v>0</v>
      </c>
      <c r="K15" s="56">
        <f t="shared" si="2"/>
        <v>1586420</v>
      </c>
      <c r="L15" s="61">
        <v>1457280</v>
      </c>
      <c r="M15" s="74">
        <v>0</v>
      </c>
      <c r="N15" s="63">
        <f t="shared" si="3"/>
        <v>1457280</v>
      </c>
      <c r="O15" s="61">
        <v>125520</v>
      </c>
      <c r="P15" s="61">
        <v>0</v>
      </c>
      <c r="Q15" s="61">
        <v>3620</v>
      </c>
      <c r="R15" s="63">
        <f t="shared" si="14"/>
        <v>129140</v>
      </c>
      <c r="S15" s="61">
        <v>0</v>
      </c>
      <c r="T15" s="61">
        <v>0</v>
      </c>
      <c r="U15" s="61">
        <v>0</v>
      </c>
      <c r="V15" s="64">
        <f t="shared" si="24"/>
        <v>0</v>
      </c>
      <c r="W15" s="56">
        <f t="shared" si="4"/>
        <v>301080</v>
      </c>
      <c r="X15" s="61">
        <v>0</v>
      </c>
      <c r="Y15" s="61">
        <v>0</v>
      </c>
      <c r="Z15" s="61">
        <v>156000</v>
      </c>
      <c r="AA15" s="61">
        <v>1780</v>
      </c>
      <c r="AB15" s="61">
        <v>10200</v>
      </c>
      <c r="AC15" s="61">
        <v>131000</v>
      </c>
      <c r="AD15" s="61">
        <v>2100</v>
      </c>
      <c r="AE15" s="61">
        <v>0</v>
      </c>
      <c r="AF15" s="56">
        <v>53600</v>
      </c>
      <c r="AG15" s="56">
        <f t="shared" si="25"/>
        <v>95880</v>
      </c>
      <c r="AH15" s="61">
        <v>0</v>
      </c>
      <c r="AI15" s="61">
        <v>39900</v>
      </c>
      <c r="AJ15" s="61">
        <v>0</v>
      </c>
      <c r="AK15" s="64">
        <f t="shared" si="6"/>
        <v>39900</v>
      </c>
      <c r="AL15" s="61">
        <v>1500</v>
      </c>
      <c r="AM15" s="61">
        <v>54480</v>
      </c>
      <c r="AN15" s="64">
        <f t="shared" si="7"/>
        <v>55980</v>
      </c>
      <c r="AO15" s="56">
        <v>0</v>
      </c>
      <c r="AP15" s="56">
        <v>52040</v>
      </c>
      <c r="AQ15" s="56">
        <f t="shared" si="8"/>
        <v>2475120</v>
      </c>
      <c r="AR15" s="63">
        <f t="shared" si="26"/>
        <v>2233720</v>
      </c>
      <c r="AS15" s="63">
        <f t="shared" si="27"/>
        <v>241400</v>
      </c>
      <c r="AT15" s="56">
        <f t="shared" si="28"/>
        <v>181180</v>
      </c>
      <c r="AU15" s="63">
        <f t="shared" si="29"/>
        <v>129140</v>
      </c>
      <c r="AV15" s="63">
        <f t="shared" si="30"/>
        <v>52040</v>
      </c>
      <c r="AW15" s="56">
        <f t="shared" si="31"/>
        <v>2656300</v>
      </c>
      <c r="AX15" s="63">
        <f t="shared" si="32"/>
        <v>2362860</v>
      </c>
      <c r="AY15" s="75">
        <f t="shared" si="32"/>
        <v>293440</v>
      </c>
    </row>
    <row r="16" spans="1:51" s="72" customFormat="1" ht="12.75" x14ac:dyDescent="0.2">
      <c r="A16" s="54" t="s">
        <v>3</v>
      </c>
      <c r="B16" s="55" t="s">
        <v>18</v>
      </c>
      <c r="C16" s="56">
        <f>SUM(C13:C15)</f>
        <v>3467280</v>
      </c>
      <c r="D16" s="56">
        <f t="shared" ref="D16:AY16" si="33">SUM(D13:D15)</f>
        <v>2567280</v>
      </c>
      <c r="E16" s="56">
        <f t="shared" si="33"/>
        <v>900000</v>
      </c>
      <c r="F16" s="56">
        <f t="shared" si="33"/>
        <v>1111270</v>
      </c>
      <c r="G16" s="56">
        <f t="shared" si="33"/>
        <v>417400</v>
      </c>
      <c r="H16" s="56">
        <f t="shared" si="33"/>
        <v>693870</v>
      </c>
      <c r="I16" s="56">
        <f t="shared" si="33"/>
        <v>10000</v>
      </c>
      <c r="J16" s="56">
        <f t="shared" si="33"/>
        <v>1121270</v>
      </c>
      <c r="K16" s="56">
        <f t="shared" si="2"/>
        <v>8433420</v>
      </c>
      <c r="L16" s="56">
        <f>SUM(L13:L15)</f>
        <v>7857280</v>
      </c>
      <c r="M16" s="56">
        <f t="shared" ref="M16:R16" si="34">SUM(M13:M15)</f>
        <v>0</v>
      </c>
      <c r="N16" s="56">
        <f t="shared" si="34"/>
        <v>7857280</v>
      </c>
      <c r="O16" s="56">
        <f t="shared" si="34"/>
        <v>398520</v>
      </c>
      <c r="P16" s="56">
        <f t="shared" si="34"/>
        <v>0</v>
      </c>
      <c r="Q16" s="56">
        <f t="shared" si="34"/>
        <v>13620</v>
      </c>
      <c r="R16" s="56">
        <f t="shared" si="34"/>
        <v>412140</v>
      </c>
      <c r="S16" s="56">
        <f>SUM(S13:S15)</f>
        <v>19000</v>
      </c>
      <c r="T16" s="56">
        <f>SUM(T13:T15)</f>
        <v>130000</v>
      </c>
      <c r="U16" s="56">
        <f t="shared" ref="U16:W16" si="35">SUM(U13:U15)</f>
        <v>15000</v>
      </c>
      <c r="V16" s="56">
        <f t="shared" si="35"/>
        <v>164000</v>
      </c>
      <c r="W16" s="56">
        <f t="shared" si="35"/>
        <v>1055680</v>
      </c>
      <c r="X16" s="56">
        <f t="shared" si="33"/>
        <v>13000</v>
      </c>
      <c r="Y16" s="56">
        <f t="shared" si="33"/>
        <v>120000</v>
      </c>
      <c r="Z16" s="56">
        <f t="shared" si="33"/>
        <v>468000</v>
      </c>
      <c r="AA16" s="56">
        <f t="shared" si="33"/>
        <v>6780</v>
      </c>
      <c r="AB16" s="56">
        <f t="shared" si="33"/>
        <v>30600</v>
      </c>
      <c r="AC16" s="56">
        <f t="shared" si="33"/>
        <v>411000</v>
      </c>
      <c r="AD16" s="56">
        <f t="shared" si="33"/>
        <v>6300</v>
      </c>
      <c r="AE16" s="56">
        <f t="shared" si="33"/>
        <v>0</v>
      </c>
      <c r="AF16" s="56">
        <f t="shared" si="33"/>
        <v>166800</v>
      </c>
      <c r="AG16" s="56">
        <f t="shared" si="33"/>
        <v>319700</v>
      </c>
      <c r="AH16" s="56">
        <f t="shared" si="33"/>
        <v>0</v>
      </c>
      <c r="AI16" s="56">
        <f t="shared" si="33"/>
        <v>153900</v>
      </c>
      <c r="AJ16" s="56">
        <f>SUM(AJ13:AJ15)</f>
        <v>27320</v>
      </c>
      <c r="AK16" s="56">
        <f t="shared" ref="AK16:AN16" si="36">SUM(AK13:AK15)</f>
        <v>181220</v>
      </c>
      <c r="AL16" s="56">
        <f t="shared" si="36"/>
        <v>4000</v>
      </c>
      <c r="AM16" s="56">
        <f t="shared" si="36"/>
        <v>134480</v>
      </c>
      <c r="AN16" s="56">
        <f t="shared" si="36"/>
        <v>138480</v>
      </c>
      <c r="AO16" s="56">
        <f t="shared" si="33"/>
        <v>2240</v>
      </c>
      <c r="AP16" s="56">
        <f t="shared" si="33"/>
        <v>210040</v>
      </c>
      <c r="AQ16" s="56">
        <f>SUM(AQ13:AQ15)</f>
        <v>13990250</v>
      </c>
      <c r="AR16" s="56">
        <f t="shared" ref="AR16:AS16" si="37">SUM(AR13:AR15)</f>
        <v>12195920</v>
      </c>
      <c r="AS16" s="56">
        <f t="shared" si="37"/>
        <v>1794330</v>
      </c>
      <c r="AT16" s="56">
        <f t="shared" si="33"/>
        <v>786180</v>
      </c>
      <c r="AU16" s="56">
        <f t="shared" si="33"/>
        <v>412140</v>
      </c>
      <c r="AV16" s="56">
        <f t="shared" si="33"/>
        <v>374040</v>
      </c>
      <c r="AW16" s="56">
        <f t="shared" si="33"/>
        <v>14776430</v>
      </c>
      <c r="AX16" s="56">
        <f t="shared" si="33"/>
        <v>12608060</v>
      </c>
      <c r="AY16" s="57">
        <f t="shared" si="33"/>
        <v>2168370</v>
      </c>
    </row>
    <row r="17" spans="1:51" s="72" customFormat="1" ht="12.75" x14ac:dyDescent="0.2">
      <c r="A17" s="54" t="s">
        <v>4</v>
      </c>
      <c r="B17" s="55" t="s">
        <v>19</v>
      </c>
      <c r="C17" s="56">
        <f>ROUND(C12+C16,2)</f>
        <v>7625280</v>
      </c>
      <c r="D17" s="56">
        <f t="shared" ref="D17:AY17" si="38">ROUND(D12+D16,2)</f>
        <v>5805280</v>
      </c>
      <c r="E17" s="56">
        <f t="shared" si="38"/>
        <v>1820000</v>
      </c>
      <c r="F17" s="56">
        <f t="shared" si="38"/>
        <v>3399390</v>
      </c>
      <c r="G17" s="56">
        <f t="shared" si="38"/>
        <v>1279000</v>
      </c>
      <c r="H17" s="56">
        <f t="shared" si="38"/>
        <v>2120390</v>
      </c>
      <c r="I17" s="56">
        <f t="shared" si="38"/>
        <v>20000</v>
      </c>
      <c r="J17" s="56">
        <f t="shared" si="38"/>
        <v>3419390</v>
      </c>
      <c r="K17" s="56">
        <f t="shared" si="2"/>
        <v>19058630</v>
      </c>
      <c r="L17" s="56">
        <f t="shared" si="38"/>
        <v>17878020</v>
      </c>
      <c r="M17" s="56">
        <f t="shared" si="38"/>
        <v>0</v>
      </c>
      <c r="N17" s="56">
        <f t="shared" si="38"/>
        <v>17878020</v>
      </c>
      <c r="O17" s="56">
        <f t="shared" si="38"/>
        <v>819020</v>
      </c>
      <c r="P17" s="56">
        <f t="shared" si="38"/>
        <v>0</v>
      </c>
      <c r="Q17" s="56">
        <f t="shared" si="38"/>
        <v>28620</v>
      </c>
      <c r="R17" s="56">
        <f t="shared" si="38"/>
        <v>847640</v>
      </c>
      <c r="S17" s="56">
        <f>ROUND(S12+S16,2)</f>
        <v>31840</v>
      </c>
      <c r="T17" s="56">
        <f>ROUND(T12+T16,2)</f>
        <v>274610</v>
      </c>
      <c r="U17" s="56">
        <f t="shared" ref="U17:W17" si="39">ROUND(U12+U16,2)</f>
        <v>26520</v>
      </c>
      <c r="V17" s="56">
        <f t="shared" si="39"/>
        <v>332970</v>
      </c>
      <c r="W17" s="56">
        <f t="shared" si="39"/>
        <v>3010110</v>
      </c>
      <c r="X17" s="56">
        <f t="shared" si="38"/>
        <v>39000</v>
      </c>
      <c r="Y17" s="56">
        <f t="shared" si="38"/>
        <v>558000</v>
      </c>
      <c r="Z17" s="56">
        <f t="shared" si="38"/>
        <v>936000</v>
      </c>
      <c r="AA17" s="56">
        <f t="shared" si="38"/>
        <v>14780</v>
      </c>
      <c r="AB17" s="56">
        <f t="shared" si="38"/>
        <v>61060</v>
      </c>
      <c r="AC17" s="56">
        <f t="shared" si="38"/>
        <v>859160</v>
      </c>
      <c r="AD17" s="56">
        <f t="shared" si="38"/>
        <v>12590</v>
      </c>
      <c r="AE17" s="56">
        <f t="shared" si="38"/>
        <v>529520</v>
      </c>
      <c r="AF17" s="56">
        <f t="shared" si="38"/>
        <v>346260</v>
      </c>
      <c r="AG17" s="56">
        <f t="shared" si="38"/>
        <v>712840</v>
      </c>
      <c r="AH17" s="56">
        <f t="shared" si="38"/>
        <v>31140</v>
      </c>
      <c r="AI17" s="56">
        <f t="shared" si="38"/>
        <v>324900</v>
      </c>
      <c r="AJ17" s="56">
        <f t="shared" si="38"/>
        <v>97320</v>
      </c>
      <c r="AK17" s="56">
        <f t="shared" si="38"/>
        <v>453360</v>
      </c>
      <c r="AL17" s="56">
        <f t="shared" si="38"/>
        <v>6000</v>
      </c>
      <c r="AM17" s="56">
        <f t="shared" si="38"/>
        <v>253480</v>
      </c>
      <c r="AN17" s="56">
        <f t="shared" si="38"/>
        <v>259480</v>
      </c>
      <c r="AO17" s="56">
        <f t="shared" si="38"/>
        <v>5240</v>
      </c>
      <c r="AP17" s="56">
        <f t="shared" si="38"/>
        <v>466040</v>
      </c>
      <c r="AQ17" s="56">
        <f>ROUND(AQ12+AQ16,2)</f>
        <v>32997140</v>
      </c>
      <c r="AR17" s="56">
        <f t="shared" ref="AR17:AS17" si="40">ROUND(AR12+AR16,2)</f>
        <v>28553150</v>
      </c>
      <c r="AS17" s="56">
        <f t="shared" si="40"/>
        <v>4443990</v>
      </c>
      <c r="AT17" s="56">
        <f t="shared" si="38"/>
        <v>1646650</v>
      </c>
      <c r="AU17" s="56">
        <f t="shared" si="38"/>
        <v>847640</v>
      </c>
      <c r="AV17" s="56">
        <f t="shared" si="38"/>
        <v>799010</v>
      </c>
      <c r="AW17" s="56">
        <f t="shared" si="38"/>
        <v>34643790</v>
      </c>
      <c r="AX17" s="56">
        <f t="shared" si="38"/>
        <v>29400790</v>
      </c>
      <c r="AY17" s="57">
        <f t="shared" si="38"/>
        <v>5243000</v>
      </c>
    </row>
    <row r="18" spans="1:51" s="58" customFormat="1" ht="12.75" x14ac:dyDescent="0.2">
      <c r="A18" s="59">
        <v>11</v>
      </c>
      <c r="B18" s="14" t="s">
        <v>20</v>
      </c>
      <c r="C18" s="56">
        <f t="shared" ref="C18:C20" si="41">ROUND(D18+E18,2)</f>
        <v>0</v>
      </c>
      <c r="D18" s="74"/>
      <c r="E18" s="74"/>
      <c r="F18" s="56">
        <f t="shared" ref="F18:F20" si="42">ROUND(G18+H18,2)</f>
        <v>0</v>
      </c>
      <c r="G18" s="74"/>
      <c r="H18" s="74"/>
      <c r="I18" s="74"/>
      <c r="J18" s="56">
        <f t="shared" ref="J18:J20" si="43">ROUND(F18+I18,2)</f>
        <v>0</v>
      </c>
      <c r="K18" s="56">
        <f t="shared" si="2"/>
        <v>0</v>
      </c>
      <c r="L18" s="74"/>
      <c r="M18" s="74"/>
      <c r="N18" s="63">
        <f t="shared" ref="N18:N20" si="44">ROUND(L18+M18,2)</f>
        <v>0</v>
      </c>
      <c r="O18" s="74"/>
      <c r="P18" s="74"/>
      <c r="Q18" s="74"/>
      <c r="R18" s="63">
        <f t="shared" ref="R18:R20" si="45">ROUND(O18+P18+Q18,2)</f>
        <v>0</v>
      </c>
      <c r="S18" s="74"/>
      <c r="T18" s="74"/>
      <c r="U18" s="74"/>
      <c r="V18" s="64">
        <f t="shared" ref="V18:V20" si="46">ROUND(S18+T18+U18,2)</f>
        <v>0</v>
      </c>
      <c r="W18" s="56">
        <f t="shared" ref="W18:W20" si="47">ROUND(X18+Y18+Z18+AA18+AB18+AC18+AD18+AE18,2)</f>
        <v>0</v>
      </c>
      <c r="X18" s="74"/>
      <c r="Y18" s="74"/>
      <c r="Z18" s="74"/>
      <c r="AA18" s="74"/>
      <c r="AB18" s="74"/>
      <c r="AC18" s="74"/>
      <c r="AD18" s="74"/>
      <c r="AE18" s="74"/>
      <c r="AF18" s="56"/>
      <c r="AG18" s="56">
        <f t="shared" ref="AG18:AG20" si="48">ROUND(AK18+AN18,2)</f>
        <v>0</v>
      </c>
      <c r="AH18" s="74"/>
      <c r="AI18" s="74"/>
      <c r="AJ18" s="74"/>
      <c r="AK18" s="64">
        <f t="shared" ref="AK18:AK20" si="49">ROUND(AH18+AI18+AJ18,2)</f>
        <v>0</v>
      </c>
      <c r="AL18" s="74"/>
      <c r="AM18" s="74"/>
      <c r="AN18" s="64">
        <f t="shared" ref="AN18:AN20" si="50">ROUND(AL18+AM18,2)</f>
        <v>0</v>
      </c>
      <c r="AO18" s="56"/>
      <c r="AP18" s="56"/>
      <c r="AQ18" s="56">
        <f t="shared" ref="AQ18:AQ20" si="51">ROUND(AR18+AS18,2)</f>
        <v>0</v>
      </c>
      <c r="AR18" s="63">
        <f t="shared" ref="AR18:AR20" si="52">ROUND(D18+G18+I18+N18+Y18+Z18+AA18+AB18+AC18+AD18+AE18+AF18+AM18,2)</f>
        <v>0</v>
      </c>
      <c r="AS18" s="63">
        <f t="shared" ref="AS18:AS20" si="53">ROUND(E18+H18+X18+AK18+AL18+AO18,2)</f>
        <v>0</v>
      </c>
      <c r="AT18" s="56">
        <f t="shared" ref="AT18:AT20" si="54">ROUND(AU18+AV18,2)</f>
        <v>0</v>
      </c>
      <c r="AU18" s="63">
        <f t="shared" ref="AU18:AU20" si="55">ROUND(R18,2)</f>
        <v>0</v>
      </c>
      <c r="AV18" s="63">
        <f t="shared" ref="AV18:AV20" si="56">ROUND(V18+AP18,2)</f>
        <v>0</v>
      </c>
      <c r="AW18" s="56">
        <f t="shared" ref="AW18:AW20" si="57">ROUND(AX18+AY18,2)</f>
        <v>0</v>
      </c>
      <c r="AX18" s="63">
        <f t="shared" ref="AX18:AY20" si="58">ROUND(AR18+AU18,2)</f>
        <v>0</v>
      </c>
      <c r="AY18" s="75">
        <f t="shared" si="58"/>
        <v>0</v>
      </c>
    </row>
    <row r="19" spans="1:51" s="66" customFormat="1" ht="12.75" x14ac:dyDescent="0.2">
      <c r="A19" s="59">
        <v>12</v>
      </c>
      <c r="B19" s="14" t="s">
        <v>21</v>
      </c>
      <c r="C19" s="56">
        <f t="shared" si="41"/>
        <v>0</v>
      </c>
      <c r="D19" s="74"/>
      <c r="E19" s="74"/>
      <c r="F19" s="56">
        <f t="shared" si="42"/>
        <v>0</v>
      </c>
      <c r="G19" s="74"/>
      <c r="H19" s="74"/>
      <c r="I19" s="74"/>
      <c r="J19" s="56">
        <f t="shared" si="43"/>
        <v>0</v>
      </c>
      <c r="K19" s="56">
        <f t="shared" si="2"/>
        <v>0</v>
      </c>
      <c r="L19" s="74"/>
      <c r="M19" s="74"/>
      <c r="N19" s="63">
        <f t="shared" si="44"/>
        <v>0</v>
      </c>
      <c r="O19" s="74"/>
      <c r="P19" s="74"/>
      <c r="Q19" s="74"/>
      <c r="R19" s="63">
        <f t="shared" si="45"/>
        <v>0</v>
      </c>
      <c r="S19" s="74"/>
      <c r="T19" s="74"/>
      <c r="U19" s="74"/>
      <c r="V19" s="64">
        <f t="shared" si="46"/>
        <v>0</v>
      </c>
      <c r="W19" s="56">
        <f t="shared" si="47"/>
        <v>0</v>
      </c>
      <c r="X19" s="74"/>
      <c r="Y19" s="74"/>
      <c r="Z19" s="74"/>
      <c r="AA19" s="74"/>
      <c r="AB19" s="74"/>
      <c r="AC19" s="74"/>
      <c r="AD19" s="74"/>
      <c r="AE19" s="74"/>
      <c r="AF19" s="56"/>
      <c r="AG19" s="56">
        <f t="shared" si="48"/>
        <v>0</v>
      </c>
      <c r="AH19" s="74"/>
      <c r="AI19" s="74"/>
      <c r="AJ19" s="74"/>
      <c r="AK19" s="64">
        <f t="shared" si="49"/>
        <v>0</v>
      </c>
      <c r="AL19" s="74"/>
      <c r="AM19" s="74"/>
      <c r="AN19" s="64">
        <f t="shared" si="50"/>
        <v>0</v>
      </c>
      <c r="AO19" s="56"/>
      <c r="AP19" s="56"/>
      <c r="AQ19" s="56">
        <f t="shared" si="51"/>
        <v>0</v>
      </c>
      <c r="AR19" s="63">
        <f t="shared" si="52"/>
        <v>0</v>
      </c>
      <c r="AS19" s="63">
        <f t="shared" si="53"/>
        <v>0</v>
      </c>
      <c r="AT19" s="56">
        <f t="shared" si="54"/>
        <v>0</v>
      </c>
      <c r="AU19" s="63">
        <f t="shared" si="55"/>
        <v>0</v>
      </c>
      <c r="AV19" s="63">
        <f t="shared" si="56"/>
        <v>0</v>
      </c>
      <c r="AW19" s="56">
        <f t="shared" si="57"/>
        <v>0</v>
      </c>
      <c r="AX19" s="63">
        <f t="shared" si="58"/>
        <v>0</v>
      </c>
      <c r="AY19" s="75">
        <f t="shared" si="58"/>
        <v>0</v>
      </c>
    </row>
    <row r="20" spans="1:51" s="66" customFormat="1" ht="12.75" x14ac:dyDescent="0.2">
      <c r="A20" s="59">
        <v>13</v>
      </c>
      <c r="B20" s="14" t="s">
        <v>22</v>
      </c>
      <c r="C20" s="56">
        <f t="shared" si="41"/>
        <v>0</v>
      </c>
      <c r="D20" s="74"/>
      <c r="E20" s="74"/>
      <c r="F20" s="56">
        <f t="shared" si="42"/>
        <v>0</v>
      </c>
      <c r="G20" s="74"/>
      <c r="H20" s="74"/>
      <c r="I20" s="74"/>
      <c r="J20" s="56">
        <f t="shared" si="43"/>
        <v>0</v>
      </c>
      <c r="K20" s="56">
        <f t="shared" si="2"/>
        <v>0</v>
      </c>
      <c r="L20" s="74"/>
      <c r="M20" s="74"/>
      <c r="N20" s="63">
        <f t="shared" si="44"/>
        <v>0</v>
      </c>
      <c r="O20" s="74"/>
      <c r="P20" s="74"/>
      <c r="Q20" s="74"/>
      <c r="R20" s="63">
        <f t="shared" si="45"/>
        <v>0</v>
      </c>
      <c r="S20" s="74"/>
      <c r="T20" s="74"/>
      <c r="U20" s="74"/>
      <c r="V20" s="64">
        <f t="shared" si="46"/>
        <v>0</v>
      </c>
      <c r="W20" s="56">
        <f t="shared" si="47"/>
        <v>0</v>
      </c>
      <c r="X20" s="74"/>
      <c r="Y20" s="74"/>
      <c r="Z20" s="74"/>
      <c r="AA20" s="74"/>
      <c r="AB20" s="74"/>
      <c r="AC20" s="74"/>
      <c r="AD20" s="74"/>
      <c r="AE20" s="74"/>
      <c r="AF20" s="56"/>
      <c r="AG20" s="56">
        <f t="shared" si="48"/>
        <v>0</v>
      </c>
      <c r="AH20" s="74"/>
      <c r="AI20" s="74"/>
      <c r="AJ20" s="74"/>
      <c r="AK20" s="64">
        <f t="shared" si="49"/>
        <v>0</v>
      </c>
      <c r="AL20" s="74"/>
      <c r="AM20" s="74"/>
      <c r="AN20" s="64">
        <f t="shared" si="50"/>
        <v>0</v>
      </c>
      <c r="AO20" s="56"/>
      <c r="AP20" s="56"/>
      <c r="AQ20" s="56">
        <f t="shared" si="51"/>
        <v>0</v>
      </c>
      <c r="AR20" s="63">
        <f t="shared" si="52"/>
        <v>0</v>
      </c>
      <c r="AS20" s="63">
        <f t="shared" si="53"/>
        <v>0</v>
      </c>
      <c r="AT20" s="56">
        <f t="shared" si="54"/>
        <v>0</v>
      </c>
      <c r="AU20" s="63">
        <f t="shared" si="55"/>
        <v>0</v>
      </c>
      <c r="AV20" s="63">
        <f t="shared" si="56"/>
        <v>0</v>
      </c>
      <c r="AW20" s="56">
        <f t="shared" si="57"/>
        <v>0</v>
      </c>
      <c r="AX20" s="63">
        <f t="shared" si="58"/>
        <v>0</v>
      </c>
      <c r="AY20" s="75">
        <f t="shared" si="58"/>
        <v>0</v>
      </c>
    </row>
    <row r="21" spans="1:51" s="58" customFormat="1" ht="25.5" x14ac:dyDescent="0.2">
      <c r="A21" s="54" t="s">
        <v>5</v>
      </c>
      <c r="B21" s="55" t="s">
        <v>23</v>
      </c>
      <c r="C21" s="56">
        <f t="shared" ref="C21:AP21" si="59">ROUND(C18+C19+C20,2)</f>
        <v>0</v>
      </c>
      <c r="D21" s="56">
        <f t="shared" si="59"/>
        <v>0</v>
      </c>
      <c r="E21" s="56">
        <f t="shared" si="59"/>
        <v>0</v>
      </c>
      <c r="F21" s="56">
        <f t="shared" si="59"/>
        <v>0</v>
      </c>
      <c r="G21" s="56">
        <f t="shared" si="59"/>
        <v>0</v>
      </c>
      <c r="H21" s="56">
        <f t="shared" si="59"/>
        <v>0</v>
      </c>
      <c r="I21" s="56">
        <f t="shared" si="59"/>
        <v>0</v>
      </c>
      <c r="J21" s="56">
        <f t="shared" si="59"/>
        <v>0</v>
      </c>
      <c r="K21" s="56">
        <f t="shared" si="2"/>
        <v>0</v>
      </c>
      <c r="L21" s="56">
        <f t="shared" si="59"/>
        <v>0</v>
      </c>
      <c r="M21" s="56">
        <f t="shared" si="59"/>
        <v>0</v>
      </c>
      <c r="N21" s="56">
        <f t="shared" si="59"/>
        <v>0</v>
      </c>
      <c r="O21" s="56">
        <f t="shared" si="59"/>
        <v>0</v>
      </c>
      <c r="P21" s="56">
        <f t="shared" si="59"/>
        <v>0</v>
      </c>
      <c r="Q21" s="56">
        <f t="shared" si="59"/>
        <v>0</v>
      </c>
      <c r="R21" s="56">
        <f t="shared" si="59"/>
        <v>0</v>
      </c>
      <c r="S21" s="56">
        <f>ROUND(S18+S19+S20,2)</f>
        <v>0</v>
      </c>
      <c r="T21" s="56">
        <f>ROUND(T18+T19+T20,2)</f>
        <v>0</v>
      </c>
      <c r="U21" s="56">
        <f>ROUND(U18+U19+U20,2)</f>
        <v>0</v>
      </c>
      <c r="V21" s="56">
        <f>ROUND(V18+V19+V20,2)</f>
        <v>0</v>
      </c>
      <c r="W21" s="56">
        <f t="shared" ref="W21" si="60">ROUND(W18+W19+W20,2)</f>
        <v>0</v>
      </c>
      <c r="X21" s="56">
        <f t="shared" si="59"/>
        <v>0</v>
      </c>
      <c r="Y21" s="56">
        <f t="shared" si="59"/>
        <v>0</v>
      </c>
      <c r="Z21" s="56">
        <f t="shared" si="59"/>
        <v>0</v>
      </c>
      <c r="AA21" s="56">
        <f t="shared" si="59"/>
        <v>0</v>
      </c>
      <c r="AB21" s="56">
        <f t="shared" si="59"/>
        <v>0</v>
      </c>
      <c r="AC21" s="56">
        <f t="shared" si="59"/>
        <v>0</v>
      </c>
      <c r="AD21" s="56">
        <f t="shared" si="59"/>
        <v>0</v>
      </c>
      <c r="AE21" s="56">
        <f t="shared" si="59"/>
        <v>0</v>
      </c>
      <c r="AF21" s="56">
        <f t="shared" si="59"/>
        <v>0</v>
      </c>
      <c r="AG21" s="56">
        <f>ROUND(AG18+AG19+AG20,2)</f>
        <v>0</v>
      </c>
      <c r="AH21" s="56">
        <f t="shared" si="59"/>
        <v>0</v>
      </c>
      <c r="AI21" s="56">
        <f t="shared" si="59"/>
        <v>0</v>
      </c>
      <c r="AJ21" s="56">
        <f t="shared" si="59"/>
        <v>0</v>
      </c>
      <c r="AK21" s="56">
        <f t="shared" si="59"/>
        <v>0</v>
      </c>
      <c r="AL21" s="56">
        <f t="shared" si="59"/>
        <v>0</v>
      </c>
      <c r="AM21" s="56">
        <f t="shared" si="59"/>
        <v>0</v>
      </c>
      <c r="AN21" s="56">
        <f t="shared" si="59"/>
        <v>0</v>
      </c>
      <c r="AO21" s="56">
        <f t="shared" si="59"/>
        <v>0</v>
      </c>
      <c r="AP21" s="56">
        <f t="shared" si="59"/>
        <v>0</v>
      </c>
      <c r="AQ21" s="56">
        <f>SUM(AQ18:AQ20)</f>
        <v>0</v>
      </c>
      <c r="AR21" s="56">
        <f t="shared" ref="AR21:AS21" si="61">SUM(AR18:AR20)</f>
        <v>0</v>
      </c>
      <c r="AS21" s="56">
        <f t="shared" si="61"/>
        <v>0</v>
      </c>
      <c r="AT21" s="56">
        <f>SUM(AT18:AT20)</f>
        <v>0</v>
      </c>
      <c r="AU21" s="56">
        <f t="shared" ref="AU21:AY21" si="62">SUM(AU18:AU20)</f>
        <v>0</v>
      </c>
      <c r="AV21" s="56">
        <f t="shared" si="62"/>
        <v>0</v>
      </c>
      <c r="AW21" s="56">
        <f t="shared" si="62"/>
        <v>0</v>
      </c>
      <c r="AX21" s="56">
        <f t="shared" si="62"/>
        <v>0</v>
      </c>
      <c r="AY21" s="57">
        <f t="shared" si="62"/>
        <v>0</v>
      </c>
    </row>
    <row r="22" spans="1:51" s="58" customFormat="1" ht="12.75" x14ac:dyDescent="0.2">
      <c r="A22" s="54" t="s">
        <v>6</v>
      </c>
      <c r="B22" s="55" t="s">
        <v>24</v>
      </c>
      <c r="C22" s="56">
        <f>ROUND(C12+C16+C21,2)</f>
        <v>7625280</v>
      </c>
      <c r="D22" s="56">
        <f t="shared" ref="D22:AP22" si="63">ROUND(D12+D16+D21,2)</f>
        <v>5805280</v>
      </c>
      <c r="E22" s="56">
        <f t="shared" si="63"/>
        <v>1820000</v>
      </c>
      <c r="F22" s="56">
        <f t="shared" si="63"/>
        <v>3399390</v>
      </c>
      <c r="G22" s="56">
        <f t="shared" si="63"/>
        <v>1279000</v>
      </c>
      <c r="H22" s="56">
        <f t="shared" si="63"/>
        <v>2120390</v>
      </c>
      <c r="I22" s="56">
        <f t="shared" si="63"/>
        <v>20000</v>
      </c>
      <c r="J22" s="56">
        <f t="shared" si="63"/>
        <v>3419390</v>
      </c>
      <c r="K22" s="56">
        <f t="shared" si="2"/>
        <v>19058630</v>
      </c>
      <c r="L22" s="56">
        <f t="shared" si="63"/>
        <v>17878020</v>
      </c>
      <c r="M22" s="56">
        <f t="shared" si="63"/>
        <v>0</v>
      </c>
      <c r="N22" s="56">
        <f t="shared" si="63"/>
        <v>17878020</v>
      </c>
      <c r="O22" s="56">
        <f t="shared" si="63"/>
        <v>819020</v>
      </c>
      <c r="P22" s="56">
        <f t="shared" si="63"/>
        <v>0</v>
      </c>
      <c r="Q22" s="56">
        <f t="shared" si="63"/>
        <v>28620</v>
      </c>
      <c r="R22" s="56">
        <f t="shared" si="63"/>
        <v>847640</v>
      </c>
      <c r="S22" s="56">
        <f>ROUND(S12+S16+S21,2)</f>
        <v>31840</v>
      </c>
      <c r="T22" s="56">
        <f>ROUND(T12+T16+T21,2)</f>
        <v>274610</v>
      </c>
      <c r="U22" s="56">
        <f t="shared" ref="U22:W22" si="64">ROUND(U12+U16+U21,2)</f>
        <v>26520</v>
      </c>
      <c r="V22" s="56">
        <f t="shared" si="64"/>
        <v>332970</v>
      </c>
      <c r="W22" s="56">
        <f t="shared" si="64"/>
        <v>3010110</v>
      </c>
      <c r="X22" s="56">
        <f t="shared" si="63"/>
        <v>39000</v>
      </c>
      <c r="Y22" s="56">
        <f t="shared" si="63"/>
        <v>558000</v>
      </c>
      <c r="Z22" s="56">
        <f t="shared" si="63"/>
        <v>936000</v>
      </c>
      <c r="AA22" s="56">
        <f t="shared" si="63"/>
        <v>14780</v>
      </c>
      <c r="AB22" s="56">
        <f t="shared" si="63"/>
        <v>61060</v>
      </c>
      <c r="AC22" s="56">
        <f t="shared" si="63"/>
        <v>859160</v>
      </c>
      <c r="AD22" s="56">
        <f t="shared" si="63"/>
        <v>12590</v>
      </c>
      <c r="AE22" s="56">
        <f t="shared" si="63"/>
        <v>529520</v>
      </c>
      <c r="AF22" s="56">
        <f t="shared" si="63"/>
        <v>346260</v>
      </c>
      <c r="AG22" s="56">
        <f>ROUND(AG12+AG16+AG21,2)</f>
        <v>712840</v>
      </c>
      <c r="AH22" s="56">
        <f t="shared" si="63"/>
        <v>31140</v>
      </c>
      <c r="AI22" s="56">
        <f t="shared" si="63"/>
        <v>324900</v>
      </c>
      <c r="AJ22" s="56">
        <f t="shared" si="63"/>
        <v>97320</v>
      </c>
      <c r="AK22" s="56">
        <f t="shared" si="63"/>
        <v>453360</v>
      </c>
      <c r="AL22" s="56">
        <f t="shared" si="63"/>
        <v>6000</v>
      </c>
      <c r="AM22" s="56">
        <f t="shared" si="63"/>
        <v>253480</v>
      </c>
      <c r="AN22" s="56">
        <f t="shared" si="63"/>
        <v>259480</v>
      </c>
      <c r="AO22" s="56">
        <f t="shared" si="63"/>
        <v>5240</v>
      </c>
      <c r="AP22" s="56">
        <f t="shared" si="63"/>
        <v>466040</v>
      </c>
      <c r="AQ22" s="56">
        <f>ROUND(AQ17+AQ21,2)</f>
        <v>32997140</v>
      </c>
      <c r="AR22" s="56">
        <f t="shared" ref="AR22:AS22" si="65">ROUND(AR17+AR21,2)</f>
        <v>28553150</v>
      </c>
      <c r="AS22" s="56">
        <f t="shared" si="65"/>
        <v>4443990</v>
      </c>
      <c r="AT22" s="56">
        <f>ROUND(AT17+AT21,2)</f>
        <v>1646650</v>
      </c>
      <c r="AU22" s="56">
        <f t="shared" ref="AU22:AY22" si="66">ROUND(AU17+AU21,2)</f>
        <v>847640</v>
      </c>
      <c r="AV22" s="56">
        <f t="shared" si="66"/>
        <v>799010</v>
      </c>
      <c r="AW22" s="56">
        <f t="shared" si="66"/>
        <v>34643790</v>
      </c>
      <c r="AX22" s="56">
        <f t="shared" si="66"/>
        <v>29400790</v>
      </c>
      <c r="AY22" s="57">
        <f t="shared" si="66"/>
        <v>5243000</v>
      </c>
    </row>
    <row r="23" spans="1:51" s="66" customFormat="1" ht="12.75" x14ac:dyDescent="0.2">
      <c r="A23" s="59">
        <v>16</v>
      </c>
      <c r="B23" s="76" t="s">
        <v>25</v>
      </c>
      <c r="C23" s="56">
        <f t="shared" ref="C23:C25" si="67">ROUND(D23+E23,2)</f>
        <v>0</v>
      </c>
      <c r="D23" s="74"/>
      <c r="E23" s="74"/>
      <c r="F23" s="56">
        <f t="shared" ref="F23:F25" si="68">ROUND(G23+H23,2)</f>
        <v>0</v>
      </c>
      <c r="G23" s="74"/>
      <c r="H23" s="74"/>
      <c r="I23" s="74"/>
      <c r="J23" s="56">
        <f t="shared" ref="J23:J25" si="69">ROUND(F23+I23,2)</f>
        <v>0</v>
      </c>
      <c r="K23" s="56">
        <f t="shared" si="2"/>
        <v>0</v>
      </c>
      <c r="L23" s="74"/>
      <c r="M23" s="74"/>
      <c r="N23" s="63">
        <f t="shared" ref="N23:N25" si="70">ROUND(L23+M23,2)</f>
        <v>0</v>
      </c>
      <c r="O23" s="74"/>
      <c r="P23" s="74"/>
      <c r="Q23" s="74"/>
      <c r="R23" s="63">
        <f t="shared" ref="R23:R25" si="71">ROUND(O23+P23+Q23,2)</f>
        <v>0</v>
      </c>
      <c r="S23" s="74"/>
      <c r="T23" s="74"/>
      <c r="U23" s="74"/>
      <c r="V23" s="64">
        <f t="shared" ref="V23:V25" si="72">ROUND(S23+T23+U23,2)</f>
        <v>0</v>
      </c>
      <c r="W23" s="56">
        <f t="shared" ref="W23:W25" si="73">ROUND(X23+Y23+Z23+AA23+AB23+AC23+AD23+AE23,2)</f>
        <v>0</v>
      </c>
      <c r="X23" s="74"/>
      <c r="Y23" s="74"/>
      <c r="Z23" s="74"/>
      <c r="AA23" s="74"/>
      <c r="AB23" s="74"/>
      <c r="AC23" s="74"/>
      <c r="AD23" s="74"/>
      <c r="AE23" s="74"/>
      <c r="AF23" s="56"/>
      <c r="AG23" s="56">
        <f t="shared" ref="AG23:AG25" si="74">ROUND(AK23+AN23,2)</f>
        <v>0</v>
      </c>
      <c r="AH23" s="74"/>
      <c r="AI23" s="74"/>
      <c r="AJ23" s="74"/>
      <c r="AK23" s="64">
        <f t="shared" ref="AK23:AK25" si="75">ROUND(AH23+AI23+AJ23,2)</f>
        <v>0</v>
      </c>
      <c r="AL23" s="74"/>
      <c r="AM23" s="74"/>
      <c r="AN23" s="64">
        <f t="shared" ref="AN23:AN25" si="76">ROUND(AL23+AM23,2)</f>
        <v>0</v>
      </c>
      <c r="AO23" s="56"/>
      <c r="AP23" s="56"/>
      <c r="AQ23" s="56">
        <f t="shared" ref="AQ23:AQ25" si="77">ROUND(AR23+AS23,2)</f>
        <v>0</v>
      </c>
      <c r="AR23" s="63">
        <f t="shared" ref="AR23:AR25" si="78">ROUND(D23+G23+I23+N23+Y23+Z23+AA23+AB23+AC23+AD23+AE23+AF23+AM23,2)</f>
        <v>0</v>
      </c>
      <c r="AS23" s="63">
        <f t="shared" ref="AS23:AS25" si="79">ROUND(E23+H23+X23+AK23+AL23+AO23,2)</f>
        <v>0</v>
      </c>
      <c r="AT23" s="56">
        <f t="shared" ref="AT23:AT25" si="80">ROUND(AU23+AV23,2)</f>
        <v>0</v>
      </c>
      <c r="AU23" s="63">
        <f t="shared" ref="AU23:AU25" si="81">ROUND(R23,2)</f>
        <v>0</v>
      </c>
      <c r="AV23" s="63">
        <f t="shared" ref="AV23:AV25" si="82">ROUND(V23+AP23,2)</f>
        <v>0</v>
      </c>
      <c r="AW23" s="56">
        <f t="shared" ref="AW23:AW25" si="83">ROUND(AX23+AY23,2)</f>
        <v>0</v>
      </c>
      <c r="AX23" s="63">
        <f t="shared" ref="AX23:AY25" si="84">ROUND(AR23+AU23,2)</f>
        <v>0</v>
      </c>
      <c r="AY23" s="75">
        <f t="shared" si="84"/>
        <v>0</v>
      </c>
    </row>
    <row r="24" spans="1:51" s="66" customFormat="1" ht="12.75" x14ac:dyDescent="0.2">
      <c r="A24" s="59">
        <v>17</v>
      </c>
      <c r="B24" s="76" t="s">
        <v>26</v>
      </c>
      <c r="C24" s="56">
        <f t="shared" si="67"/>
        <v>0</v>
      </c>
      <c r="D24" s="74"/>
      <c r="E24" s="74"/>
      <c r="F24" s="56">
        <f t="shared" si="68"/>
        <v>0</v>
      </c>
      <c r="G24" s="74"/>
      <c r="H24" s="74"/>
      <c r="I24" s="74"/>
      <c r="J24" s="56">
        <f t="shared" si="69"/>
        <v>0</v>
      </c>
      <c r="K24" s="56">
        <f t="shared" si="2"/>
        <v>0</v>
      </c>
      <c r="L24" s="74"/>
      <c r="M24" s="74"/>
      <c r="N24" s="63">
        <f t="shared" si="70"/>
        <v>0</v>
      </c>
      <c r="O24" s="74"/>
      <c r="P24" s="74"/>
      <c r="Q24" s="74"/>
      <c r="R24" s="63">
        <f t="shared" si="71"/>
        <v>0</v>
      </c>
      <c r="S24" s="74"/>
      <c r="T24" s="74"/>
      <c r="U24" s="74"/>
      <c r="V24" s="64">
        <f t="shared" si="72"/>
        <v>0</v>
      </c>
      <c r="W24" s="56">
        <f t="shared" si="73"/>
        <v>0</v>
      </c>
      <c r="X24" s="74"/>
      <c r="Y24" s="74"/>
      <c r="Z24" s="74"/>
      <c r="AA24" s="74"/>
      <c r="AB24" s="74"/>
      <c r="AC24" s="74"/>
      <c r="AD24" s="74"/>
      <c r="AE24" s="74"/>
      <c r="AF24" s="56"/>
      <c r="AG24" s="56">
        <f t="shared" si="74"/>
        <v>0</v>
      </c>
      <c r="AH24" s="74"/>
      <c r="AI24" s="74"/>
      <c r="AJ24" s="74"/>
      <c r="AK24" s="64">
        <f t="shared" si="75"/>
        <v>0</v>
      </c>
      <c r="AL24" s="74"/>
      <c r="AM24" s="74"/>
      <c r="AN24" s="64">
        <f t="shared" si="76"/>
        <v>0</v>
      </c>
      <c r="AO24" s="56"/>
      <c r="AP24" s="56"/>
      <c r="AQ24" s="56">
        <f t="shared" si="77"/>
        <v>0</v>
      </c>
      <c r="AR24" s="63">
        <f t="shared" si="78"/>
        <v>0</v>
      </c>
      <c r="AS24" s="63">
        <f t="shared" si="79"/>
        <v>0</v>
      </c>
      <c r="AT24" s="56">
        <f t="shared" si="80"/>
        <v>0</v>
      </c>
      <c r="AU24" s="63">
        <f t="shared" si="81"/>
        <v>0</v>
      </c>
      <c r="AV24" s="63">
        <f t="shared" si="82"/>
        <v>0</v>
      </c>
      <c r="AW24" s="56">
        <f t="shared" si="83"/>
        <v>0</v>
      </c>
      <c r="AX24" s="63">
        <f t="shared" si="84"/>
        <v>0</v>
      </c>
      <c r="AY24" s="75">
        <f t="shared" si="84"/>
        <v>0</v>
      </c>
    </row>
    <row r="25" spans="1:51" s="66" customFormat="1" ht="12.75" x14ac:dyDescent="0.2">
      <c r="A25" s="59">
        <v>18</v>
      </c>
      <c r="B25" s="76" t="s">
        <v>27</v>
      </c>
      <c r="C25" s="56">
        <f t="shared" si="67"/>
        <v>0</v>
      </c>
      <c r="D25" s="74"/>
      <c r="E25" s="74"/>
      <c r="F25" s="56">
        <f t="shared" si="68"/>
        <v>0</v>
      </c>
      <c r="G25" s="74"/>
      <c r="H25" s="74"/>
      <c r="I25" s="74"/>
      <c r="J25" s="56">
        <f t="shared" si="69"/>
        <v>0</v>
      </c>
      <c r="K25" s="56">
        <f t="shared" si="2"/>
        <v>0</v>
      </c>
      <c r="L25" s="74"/>
      <c r="M25" s="74"/>
      <c r="N25" s="63">
        <f t="shared" si="70"/>
        <v>0</v>
      </c>
      <c r="O25" s="74"/>
      <c r="P25" s="74"/>
      <c r="Q25" s="74"/>
      <c r="R25" s="63">
        <f t="shared" si="71"/>
        <v>0</v>
      </c>
      <c r="S25" s="74"/>
      <c r="T25" s="74"/>
      <c r="U25" s="74"/>
      <c r="V25" s="64">
        <f t="shared" si="72"/>
        <v>0</v>
      </c>
      <c r="W25" s="56">
        <f t="shared" si="73"/>
        <v>0</v>
      </c>
      <c r="X25" s="74"/>
      <c r="Y25" s="74"/>
      <c r="Z25" s="74"/>
      <c r="AA25" s="74"/>
      <c r="AB25" s="74"/>
      <c r="AC25" s="74"/>
      <c r="AD25" s="74"/>
      <c r="AE25" s="74"/>
      <c r="AF25" s="56"/>
      <c r="AG25" s="56">
        <f t="shared" si="74"/>
        <v>0</v>
      </c>
      <c r="AH25" s="74"/>
      <c r="AI25" s="74"/>
      <c r="AJ25" s="74"/>
      <c r="AK25" s="64">
        <f t="shared" si="75"/>
        <v>0</v>
      </c>
      <c r="AL25" s="74"/>
      <c r="AM25" s="74"/>
      <c r="AN25" s="64">
        <f t="shared" si="76"/>
        <v>0</v>
      </c>
      <c r="AO25" s="56"/>
      <c r="AP25" s="56"/>
      <c r="AQ25" s="56">
        <f t="shared" si="77"/>
        <v>0</v>
      </c>
      <c r="AR25" s="63">
        <f t="shared" si="78"/>
        <v>0</v>
      </c>
      <c r="AS25" s="63">
        <f t="shared" si="79"/>
        <v>0</v>
      </c>
      <c r="AT25" s="56">
        <f t="shared" si="80"/>
        <v>0</v>
      </c>
      <c r="AU25" s="63">
        <f t="shared" si="81"/>
        <v>0</v>
      </c>
      <c r="AV25" s="63">
        <f t="shared" si="82"/>
        <v>0</v>
      </c>
      <c r="AW25" s="56">
        <f t="shared" si="83"/>
        <v>0</v>
      </c>
      <c r="AX25" s="63">
        <f t="shared" si="84"/>
        <v>0</v>
      </c>
      <c r="AY25" s="75">
        <f t="shared" si="84"/>
        <v>0</v>
      </c>
    </row>
    <row r="26" spans="1:51" s="58" customFormat="1" ht="25.5" x14ac:dyDescent="0.2">
      <c r="A26" s="54" t="s">
        <v>7</v>
      </c>
      <c r="B26" s="55" t="s">
        <v>28</v>
      </c>
      <c r="C26" s="56">
        <f>ROUND(C23+C24+C25,2)</f>
        <v>0</v>
      </c>
      <c r="D26" s="56">
        <f t="shared" ref="D26:AP26" si="85">ROUND(D23+D24+D25,2)</f>
        <v>0</v>
      </c>
      <c r="E26" s="56">
        <f t="shared" si="85"/>
        <v>0</v>
      </c>
      <c r="F26" s="56">
        <f t="shared" si="85"/>
        <v>0</v>
      </c>
      <c r="G26" s="56">
        <f t="shared" si="85"/>
        <v>0</v>
      </c>
      <c r="H26" s="56">
        <f t="shared" si="85"/>
        <v>0</v>
      </c>
      <c r="I26" s="56">
        <f t="shared" si="85"/>
        <v>0</v>
      </c>
      <c r="J26" s="56">
        <f t="shared" si="85"/>
        <v>0</v>
      </c>
      <c r="K26" s="56">
        <f t="shared" si="2"/>
        <v>0</v>
      </c>
      <c r="L26" s="56">
        <f t="shared" si="85"/>
        <v>0</v>
      </c>
      <c r="M26" s="56">
        <f t="shared" si="85"/>
        <v>0</v>
      </c>
      <c r="N26" s="56">
        <f t="shared" si="85"/>
        <v>0</v>
      </c>
      <c r="O26" s="56">
        <f t="shared" si="85"/>
        <v>0</v>
      </c>
      <c r="P26" s="56">
        <f t="shared" si="85"/>
        <v>0</v>
      </c>
      <c r="Q26" s="56">
        <f t="shared" si="85"/>
        <v>0</v>
      </c>
      <c r="R26" s="56">
        <f t="shared" si="85"/>
        <v>0</v>
      </c>
      <c r="S26" s="56">
        <f>ROUND(S23+S24+S25,2)</f>
        <v>0</v>
      </c>
      <c r="T26" s="56">
        <f>ROUND(T23+T24+T25,2)</f>
        <v>0</v>
      </c>
      <c r="U26" s="56">
        <f t="shared" ref="U26:W26" si="86">ROUND(U23+U24+U25,2)</f>
        <v>0</v>
      </c>
      <c r="V26" s="56">
        <f t="shared" si="86"/>
        <v>0</v>
      </c>
      <c r="W26" s="56">
        <f t="shared" si="86"/>
        <v>0</v>
      </c>
      <c r="X26" s="56">
        <f t="shared" si="85"/>
        <v>0</v>
      </c>
      <c r="Y26" s="56">
        <f t="shared" si="85"/>
        <v>0</v>
      </c>
      <c r="Z26" s="56">
        <f t="shared" si="85"/>
        <v>0</v>
      </c>
      <c r="AA26" s="56">
        <f t="shared" si="85"/>
        <v>0</v>
      </c>
      <c r="AB26" s="56">
        <f t="shared" si="85"/>
        <v>0</v>
      </c>
      <c r="AC26" s="56">
        <f t="shared" si="85"/>
        <v>0</v>
      </c>
      <c r="AD26" s="56">
        <f t="shared" si="85"/>
        <v>0</v>
      </c>
      <c r="AE26" s="56">
        <f t="shared" si="85"/>
        <v>0</v>
      </c>
      <c r="AF26" s="56">
        <f t="shared" si="85"/>
        <v>0</v>
      </c>
      <c r="AG26" s="56">
        <f>ROUND(AG23+AG24+AG25,2)</f>
        <v>0</v>
      </c>
      <c r="AH26" s="56">
        <f t="shared" si="85"/>
        <v>0</v>
      </c>
      <c r="AI26" s="56">
        <f t="shared" si="85"/>
        <v>0</v>
      </c>
      <c r="AJ26" s="56">
        <f t="shared" si="85"/>
        <v>0</v>
      </c>
      <c r="AK26" s="56">
        <f t="shared" si="85"/>
        <v>0</v>
      </c>
      <c r="AL26" s="56">
        <f t="shared" si="85"/>
        <v>0</v>
      </c>
      <c r="AM26" s="56">
        <f t="shared" si="85"/>
        <v>0</v>
      </c>
      <c r="AN26" s="56">
        <f t="shared" si="85"/>
        <v>0</v>
      </c>
      <c r="AO26" s="56">
        <f t="shared" si="85"/>
        <v>0</v>
      </c>
      <c r="AP26" s="56">
        <f t="shared" si="85"/>
        <v>0</v>
      </c>
      <c r="AQ26" s="56">
        <f>SUM(AQ23:AQ25)</f>
        <v>0</v>
      </c>
      <c r="AR26" s="56">
        <f t="shared" ref="AR26:AS26" si="87">SUM(AR23:AR25)</f>
        <v>0</v>
      </c>
      <c r="AS26" s="56">
        <f t="shared" si="87"/>
        <v>0</v>
      </c>
      <c r="AT26" s="56">
        <f>SUM(AT23:AT25)</f>
        <v>0</v>
      </c>
      <c r="AU26" s="56">
        <f t="shared" ref="AU26:AY26" si="88">SUM(AU23:AU25)</f>
        <v>0</v>
      </c>
      <c r="AV26" s="56">
        <f t="shared" si="88"/>
        <v>0</v>
      </c>
      <c r="AW26" s="56">
        <f t="shared" si="88"/>
        <v>0</v>
      </c>
      <c r="AX26" s="56">
        <f t="shared" si="88"/>
        <v>0</v>
      </c>
      <c r="AY26" s="57">
        <f t="shared" si="88"/>
        <v>0</v>
      </c>
    </row>
    <row r="27" spans="1:51" s="6" customFormat="1" ht="25.5" x14ac:dyDescent="0.2">
      <c r="A27" s="77" t="s">
        <v>8</v>
      </c>
      <c r="B27" s="55" t="s">
        <v>29</v>
      </c>
      <c r="C27" s="56">
        <f>ROUND(C12+C16+C21+C26,2)</f>
        <v>7625280</v>
      </c>
      <c r="D27" s="56">
        <f t="shared" ref="D27:AP27" si="89">ROUND(D12+D16+D21+D26,2)</f>
        <v>5805280</v>
      </c>
      <c r="E27" s="56">
        <f t="shared" si="89"/>
        <v>1820000</v>
      </c>
      <c r="F27" s="56">
        <f t="shared" si="89"/>
        <v>3399390</v>
      </c>
      <c r="G27" s="56">
        <f t="shared" si="89"/>
        <v>1279000</v>
      </c>
      <c r="H27" s="56">
        <f t="shared" si="89"/>
        <v>2120390</v>
      </c>
      <c r="I27" s="56">
        <f t="shared" si="89"/>
        <v>20000</v>
      </c>
      <c r="J27" s="56">
        <f t="shared" si="89"/>
        <v>3419390</v>
      </c>
      <c r="K27" s="56">
        <f t="shared" si="2"/>
        <v>19058630</v>
      </c>
      <c r="L27" s="56">
        <f t="shared" si="89"/>
        <v>17878020</v>
      </c>
      <c r="M27" s="56">
        <f t="shared" si="89"/>
        <v>0</v>
      </c>
      <c r="N27" s="56">
        <f t="shared" si="89"/>
        <v>17878020</v>
      </c>
      <c r="O27" s="56">
        <f t="shared" si="89"/>
        <v>819020</v>
      </c>
      <c r="P27" s="56">
        <f t="shared" si="89"/>
        <v>0</v>
      </c>
      <c r="Q27" s="56">
        <f t="shared" si="89"/>
        <v>28620</v>
      </c>
      <c r="R27" s="56">
        <f t="shared" si="89"/>
        <v>847640</v>
      </c>
      <c r="S27" s="56">
        <f>ROUND(S12+S16+S21+S26,2)</f>
        <v>31840</v>
      </c>
      <c r="T27" s="56">
        <f>ROUND(T12+T16+T21+T26,2)</f>
        <v>274610</v>
      </c>
      <c r="U27" s="56">
        <f t="shared" ref="U27:W27" si="90">ROUND(U12+U16+U21+U26,2)</f>
        <v>26520</v>
      </c>
      <c r="V27" s="56">
        <f t="shared" si="90"/>
        <v>332970</v>
      </c>
      <c r="W27" s="56">
        <f t="shared" si="90"/>
        <v>3010110</v>
      </c>
      <c r="X27" s="56">
        <f t="shared" si="89"/>
        <v>39000</v>
      </c>
      <c r="Y27" s="56">
        <f t="shared" si="89"/>
        <v>558000</v>
      </c>
      <c r="Z27" s="56">
        <f t="shared" si="89"/>
        <v>936000</v>
      </c>
      <c r="AA27" s="56">
        <f t="shared" si="89"/>
        <v>14780</v>
      </c>
      <c r="AB27" s="56">
        <f t="shared" si="89"/>
        <v>61060</v>
      </c>
      <c r="AC27" s="56">
        <f t="shared" si="89"/>
        <v>859160</v>
      </c>
      <c r="AD27" s="56">
        <f t="shared" si="89"/>
        <v>12590</v>
      </c>
      <c r="AE27" s="56">
        <f t="shared" si="89"/>
        <v>529520</v>
      </c>
      <c r="AF27" s="56">
        <f t="shared" si="89"/>
        <v>346260</v>
      </c>
      <c r="AG27" s="56">
        <f>ROUND(AG12+AG16+AG21+AG26,2)</f>
        <v>712840</v>
      </c>
      <c r="AH27" s="56">
        <f t="shared" si="89"/>
        <v>31140</v>
      </c>
      <c r="AI27" s="56">
        <f t="shared" si="89"/>
        <v>324900</v>
      </c>
      <c r="AJ27" s="56">
        <f t="shared" si="89"/>
        <v>97320</v>
      </c>
      <c r="AK27" s="56">
        <f t="shared" si="89"/>
        <v>453360</v>
      </c>
      <c r="AL27" s="56">
        <f t="shared" si="89"/>
        <v>6000</v>
      </c>
      <c r="AM27" s="56">
        <f t="shared" si="89"/>
        <v>253480</v>
      </c>
      <c r="AN27" s="56">
        <f t="shared" si="89"/>
        <v>259480</v>
      </c>
      <c r="AO27" s="56">
        <f t="shared" si="89"/>
        <v>5240</v>
      </c>
      <c r="AP27" s="56">
        <f t="shared" si="89"/>
        <v>466040</v>
      </c>
      <c r="AQ27" s="56">
        <f>ROUND(AQ22+AQ26,2)</f>
        <v>32997140</v>
      </c>
      <c r="AR27" s="56">
        <f t="shared" ref="AR27:AS27" si="91">ROUND(AR22+AR26,2)</f>
        <v>28553150</v>
      </c>
      <c r="AS27" s="56">
        <f t="shared" si="91"/>
        <v>4443990</v>
      </c>
      <c r="AT27" s="56">
        <f>ROUND(AT22+AT26,2)</f>
        <v>1646650</v>
      </c>
      <c r="AU27" s="56">
        <f t="shared" ref="AU27:AY27" si="92">ROUND(AU22+AU26,2)</f>
        <v>847640</v>
      </c>
      <c r="AV27" s="56">
        <f t="shared" si="92"/>
        <v>799010</v>
      </c>
      <c r="AW27" s="56">
        <f t="shared" si="92"/>
        <v>34643790</v>
      </c>
      <c r="AX27" s="56">
        <f t="shared" si="92"/>
        <v>29400790</v>
      </c>
      <c r="AY27" s="57">
        <f t="shared" si="92"/>
        <v>5243000</v>
      </c>
    </row>
    <row r="28" spans="1:51" s="66" customFormat="1" ht="25.5" x14ac:dyDescent="0.2">
      <c r="A28" s="78" t="s">
        <v>108</v>
      </c>
      <c r="B28" s="4" t="s">
        <v>109</v>
      </c>
      <c r="C28" s="79">
        <f t="shared" ref="C28:C35" si="93">ROUND(D28+E28,2)</f>
        <v>2667198.64</v>
      </c>
      <c r="D28" s="12">
        <f>ROUND(D8+D9+D11,2)</f>
        <v>2232774.2799999998</v>
      </c>
      <c r="E28" s="12">
        <f>ROUND(E8+E9+E11,2)</f>
        <v>434424.36</v>
      </c>
      <c r="F28" s="79">
        <f t="shared" ref="F28:F35" si="94">ROUND(G28+H28,2)</f>
        <v>1189454.02</v>
      </c>
      <c r="G28" s="12">
        <f t="shared" ref="G28:I28" si="95">ROUND(G8+G9+G11,2)</f>
        <v>543388.69999999995</v>
      </c>
      <c r="H28" s="12">
        <f t="shared" si="95"/>
        <v>646065.31999999995</v>
      </c>
      <c r="I28" s="12">
        <f t="shared" si="95"/>
        <v>4532.68</v>
      </c>
      <c r="J28" s="79">
        <f t="shared" ref="J28:J35" si="96">ROUND(F28+I28,2)</f>
        <v>1193986.7</v>
      </c>
      <c r="K28" s="56">
        <f t="shared" si="2"/>
        <v>7499735.46</v>
      </c>
      <c r="L28" s="12">
        <f t="shared" ref="L28:M28" si="97">ROUND(L8+L9+L11,2)</f>
        <v>7131859.7000000002</v>
      </c>
      <c r="M28" s="12">
        <f t="shared" si="97"/>
        <v>0</v>
      </c>
      <c r="N28" s="5">
        <f t="shared" ref="N28:N35" si="98">ROUND(L28+M28,2)</f>
        <v>7131859.7000000002</v>
      </c>
      <c r="O28" s="12">
        <f t="shared" ref="O28:Q28" si="99">ROUND(O8+O9+O11,2)</f>
        <v>295117.2</v>
      </c>
      <c r="P28" s="12">
        <f t="shared" si="99"/>
        <v>0</v>
      </c>
      <c r="Q28" s="12">
        <f t="shared" si="99"/>
        <v>8760</v>
      </c>
      <c r="R28" s="5">
        <f>ROUND(O28+P28+Q28,2)</f>
        <v>303877.2</v>
      </c>
      <c r="S28" s="12">
        <f t="shared" ref="S28:U28" si="100">ROUND(S8+S9+S11,2)</f>
        <v>5069.76</v>
      </c>
      <c r="T28" s="12">
        <f t="shared" si="100"/>
        <v>53115.65</v>
      </c>
      <c r="U28" s="12">
        <f t="shared" si="100"/>
        <v>5813.15</v>
      </c>
      <c r="V28" s="80">
        <f>ROUND(S28+T28+U28,2)</f>
        <v>63998.559999999998</v>
      </c>
      <c r="W28" s="56">
        <f t="shared" ref="W28:W35" si="101">ROUND(X28+Y28+Z28+AA28+AB28+AC28+AD28+AE28,2)</f>
        <v>1269440.95</v>
      </c>
      <c r="X28" s="12">
        <f t="shared" ref="X28:AF28" si="102">ROUND(X8+X9+X11,2)</f>
        <v>0</v>
      </c>
      <c r="Y28" s="12">
        <f t="shared" si="102"/>
        <v>256866.52</v>
      </c>
      <c r="Z28" s="12">
        <f t="shared" si="102"/>
        <v>303938.82</v>
      </c>
      <c r="AA28" s="12">
        <f t="shared" si="102"/>
        <v>4452.57</v>
      </c>
      <c r="AB28" s="12">
        <f t="shared" si="102"/>
        <v>20273.3</v>
      </c>
      <c r="AC28" s="12">
        <f t="shared" si="102"/>
        <v>282631.01</v>
      </c>
      <c r="AD28" s="12">
        <f t="shared" si="102"/>
        <v>4161.2</v>
      </c>
      <c r="AE28" s="12">
        <f t="shared" si="102"/>
        <v>397117.53</v>
      </c>
      <c r="AF28" s="56">
        <f t="shared" si="102"/>
        <v>122703.97</v>
      </c>
      <c r="AG28" s="56">
        <f t="shared" ref="AG28:AG35" si="103">ROUND(AK28+AN28,2)</f>
        <v>249283.43</v>
      </c>
      <c r="AH28" s="12">
        <f t="shared" ref="AH28:AJ28" si="104">ROUND(AH8+AH9+AH11,2)</f>
        <v>6753.73</v>
      </c>
      <c r="AI28" s="12">
        <f t="shared" si="104"/>
        <v>110665.61</v>
      </c>
      <c r="AJ28" s="12">
        <f t="shared" si="104"/>
        <v>53467.01</v>
      </c>
      <c r="AK28" s="80">
        <f t="shared" ref="AK28:AK35" si="105">ROUND(AH28+AI28+AJ28,2)</f>
        <v>170886.35</v>
      </c>
      <c r="AL28" s="12">
        <f t="shared" ref="AL28:AM28" si="106">ROUND(AL8+AL9+AL11,2)</f>
        <v>0</v>
      </c>
      <c r="AM28" s="12">
        <f t="shared" si="106"/>
        <v>78397.08</v>
      </c>
      <c r="AN28" s="80">
        <f t="shared" ref="AN28:AN35" si="107">ROUND(AL28+AM28,2)</f>
        <v>78397.08</v>
      </c>
      <c r="AO28" s="56">
        <f t="shared" ref="AO28:AP28" si="108">ROUND(AO8+AO9+AO11,2)</f>
        <v>0</v>
      </c>
      <c r="AP28" s="56">
        <f t="shared" si="108"/>
        <v>99248.86</v>
      </c>
      <c r="AQ28" s="56">
        <f t="shared" ref="AQ28:AQ35" si="109">ROUND(AR28+AS28,2)</f>
        <v>12634473.390000001</v>
      </c>
      <c r="AR28" s="62">
        <f t="shared" ref="AR28:AS28" si="110">ROUND(AR8+AR9+AR11,2)</f>
        <v>11383097.359999999</v>
      </c>
      <c r="AS28" s="62">
        <f t="shared" si="110"/>
        <v>1251376.03</v>
      </c>
      <c r="AT28" s="56">
        <f t="shared" ref="AT28:AT35" si="111">ROUND(AU28+AV28,2)</f>
        <v>467124.62</v>
      </c>
      <c r="AU28" s="62">
        <f t="shared" ref="AU28:AV28" si="112">ROUND(AU8+AU9+AU11,2)</f>
        <v>303877.2</v>
      </c>
      <c r="AV28" s="62">
        <f t="shared" si="112"/>
        <v>163247.42000000001</v>
      </c>
      <c r="AW28" s="56">
        <f t="shared" ref="AW28:AW35" si="113">ROUND(AX28+AY28,2)</f>
        <v>13101598.01</v>
      </c>
      <c r="AX28" s="63">
        <f t="shared" ref="AX28:AY35" si="114">ROUND(AR28+AU28,2)</f>
        <v>11686974.560000001</v>
      </c>
      <c r="AY28" s="75">
        <f t="shared" si="114"/>
        <v>1414623.45</v>
      </c>
    </row>
    <row r="29" spans="1:51" s="81" customFormat="1" ht="12.75" x14ac:dyDescent="0.2">
      <c r="A29" s="59" t="s">
        <v>9</v>
      </c>
      <c r="B29" s="4" t="s">
        <v>30</v>
      </c>
      <c r="C29" s="79">
        <f t="shared" si="93"/>
        <v>4958081.3600000003</v>
      </c>
      <c r="D29" s="12">
        <f t="shared" ref="D29:Q29" si="115">ROUND(D7-D28,2)</f>
        <v>3572505.72</v>
      </c>
      <c r="E29" s="12">
        <f t="shared" si="115"/>
        <v>1385575.64</v>
      </c>
      <c r="F29" s="79">
        <f t="shared" si="94"/>
        <v>2209935.98</v>
      </c>
      <c r="G29" s="12">
        <f t="shared" ref="G29:H29" si="116">ROUND(G7-G28,2)</f>
        <v>735611.3</v>
      </c>
      <c r="H29" s="12">
        <f t="shared" si="116"/>
        <v>1474324.68</v>
      </c>
      <c r="I29" s="12">
        <f t="shared" si="115"/>
        <v>15467.32</v>
      </c>
      <c r="J29" s="79">
        <f t="shared" si="96"/>
        <v>2225403.2999999998</v>
      </c>
      <c r="K29" s="56">
        <f t="shared" si="2"/>
        <v>11558894.539999999</v>
      </c>
      <c r="L29" s="12">
        <f t="shared" si="115"/>
        <v>10746160.300000001</v>
      </c>
      <c r="M29" s="12">
        <f t="shared" si="115"/>
        <v>0</v>
      </c>
      <c r="N29" s="5">
        <f t="shared" si="98"/>
        <v>10746160.300000001</v>
      </c>
      <c r="O29" s="12">
        <f t="shared" si="115"/>
        <v>523902.8</v>
      </c>
      <c r="P29" s="12">
        <f t="shared" si="115"/>
        <v>0</v>
      </c>
      <c r="Q29" s="12">
        <f t="shared" si="115"/>
        <v>19860</v>
      </c>
      <c r="R29" s="5">
        <f t="shared" ref="R29:R32" si="117">ROUND(O29+P29+Q29,2)</f>
        <v>543762.80000000005</v>
      </c>
      <c r="S29" s="12">
        <f>ROUND(S7-S28,2)</f>
        <v>26770.240000000002</v>
      </c>
      <c r="T29" s="12">
        <f>ROUND(T7-T28,2)</f>
        <v>221494.35</v>
      </c>
      <c r="U29" s="12">
        <f>ROUND(U7-U28,2)</f>
        <v>20706.849999999999</v>
      </c>
      <c r="V29" s="80">
        <f t="shared" ref="V29:V35" si="118">ROUND(S29+T29+U29,2)</f>
        <v>268971.44</v>
      </c>
      <c r="W29" s="56">
        <f t="shared" si="101"/>
        <v>1740669.05</v>
      </c>
      <c r="X29" s="12">
        <f t="shared" ref="X29:AE29" si="119">ROUND(X7-X28,2)</f>
        <v>39000</v>
      </c>
      <c r="Y29" s="12">
        <f t="shared" si="119"/>
        <v>301133.48</v>
      </c>
      <c r="Z29" s="12">
        <f t="shared" si="119"/>
        <v>632061.18000000005</v>
      </c>
      <c r="AA29" s="12">
        <f t="shared" si="119"/>
        <v>10327.43</v>
      </c>
      <c r="AB29" s="12">
        <f t="shared" si="119"/>
        <v>40786.699999999997</v>
      </c>
      <c r="AC29" s="12">
        <f t="shared" si="119"/>
        <v>576528.99</v>
      </c>
      <c r="AD29" s="12">
        <f t="shared" si="119"/>
        <v>8428.7999999999993</v>
      </c>
      <c r="AE29" s="12">
        <f t="shared" si="119"/>
        <v>132402.47</v>
      </c>
      <c r="AF29" s="56">
        <f>ROUND(AF7-AF28,2)</f>
        <v>223556.03</v>
      </c>
      <c r="AG29" s="56">
        <f t="shared" si="103"/>
        <v>463556.57</v>
      </c>
      <c r="AH29" s="12">
        <f>ROUND(AH7-AH28,2)</f>
        <v>24386.27</v>
      </c>
      <c r="AI29" s="12">
        <f>ROUND(AI7-AI28,2)</f>
        <v>214234.39</v>
      </c>
      <c r="AJ29" s="12">
        <f>ROUND(AJ7-AJ28,2)</f>
        <v>43852.99</v>
      </c>
      <c r="AK29" s="80">
        <f t="shared" si="105"/>
        <v>282473.65000000002</v>
      </c>
      <c r="AL29" s="12">
        <f>ROUND(AL7-AL28,2)</f>
        <v>6000</v>
      </c>
      <c r="AM29" s="12">
        <f t="shared" ref="AM29" si="120">ROUND(AM7-AM28,2)</f>
        <v>175082.92</v>
      </c>
      <c r="AN29" s="80">
        <f t="shared" si="107"/>
        <v>181082.92</v>
      </c>
      <c r="AO29" s="56">
        <f>ROUND(AO7-AO28,2)</f>
        <v>5240</v>
      </c>
      <c r="AP29" s="56">
        <f>ROUND(AP7-AP28,2)</f>
        <v>366791.14</v>
      </c>
      <c r="AQ29" s="56">
        <f t="shared" si="109"/>
        <v>20362666.609999999</v>
      </c>
      <c r="AR29" s="62">
        <f t="shared" ref="AR29:AS29" si="121">ROUND(AR7-AR28,2)</f>
        <v>17170052.640000001</v>
      </c>
      <c r="AS29" s="62">
        <f t="shared" si="121"/>
        <v>3192613.97</v>
      </c>
      <c r="AT29" s="56">
        <f t="shared" si="111"/>
        <v>1179525.3799999999</v>
      </c>
      <c r="AU29" s="62">
        <f t="shared" ref="AU29:AU35" si="122">ROUND(R29,2)</f>
        <v>543762.80000000005</v>
      </c>
      <c r="AV29" s="62">
        <f t="shared" ref="AV29:AV35" si="123">ROUND(V29+AP29,2)</f>
        <v>635762.57999999996</v>
      </c>
      <c r="AW29" s="56">
        <f t="shared" si="113"/>
        <v>21542191.989999998</v>
      </c>
      <c r="AX29" s="63">
        <f t="shared" si="114"/>
        <v>17713815.440000001</v>
      </c>
      <c r="AY29" s="75">
        <f t="shared" si="114"/>
        <v>3828376.55</v>
      </c>
    </row>
    <row r="30" spans="1:51" s="20" customFormat="1" ht="12.75" x14ac:dyDescent="0.2">
      <c r="A30" s="15" t="s">
        <v>110</v>
      </c>
      <c r="B30" s="16" t="s">
        <v>111</v>
      </c>
      <c r="C30" s="82">
        <f t="shared" si="93"/>
        <v>0</v>
      </c>
      <c r="D30" s="17">
        <f>ROUND(D7-D17,2)</f>
        <v>0</v>
      </c>
      <c r="E30" s="17">
        <f>ROUND(E7-E17,2)</f>
        <v>0</v>
      </c>
      <c r="F30" s="82">
        <f t="shared" si="94"/>
        <v>0</v>
      </c>
      <c r="G30" s="17">
        <f t="shared" ref="G30:I30" si="124">ROUND(G7-G17,2)</f>
        <v>0</v>
      </c>
      <c r="H30" s="17">
        <f t="shared" si="124"/>
        <v>0</v>
      </c>
      <c r="I30" s="17">
        <f t="shared" si="124"/>
        <v>0</v>
      </c>
      <c r="J30" s="82">
        <f t="shared" si="96"/>
        <v>0</v>
      </c>
      <c r="K30" s="56">
        <f t="shared" si="2"/>
        <v>0</v>
      </c>
      <c r="L30" s="17">
        <f>ROUND(L7-L17,2)</f>
        <v>0</v>
      </c>
      <c r="M30" s="17">
        <f t="shared" ref="M30" si="125">ROUND(M16,2)</f>
        <v>0</v>
      </c>
      <c r="N30" s="18">
        <f t="shared" si="98"/>
        <v>0</v>
      </c>
      <c r="O30" s="17">
        <f t="shared" ref="O30:Q30" si="126">ROUND(O7-O17,2)</f>
        <v>0</v>
      </c>
      <c r="P30" s="17">
        <f t="shared" si="126"/>
        <v>0</v>
      </c>
      <c r="Q30" s="17">
        <f t="shared" si="126"/>
        <v>0</v>
      </c>
      <c r="R30" s="18">
        <f t="shared" si="117"/>
        <v>0</v>
      </c>
      <c r="S30" s="17">
        <f t="shared" ref="S30:U30" si="127">ROUND(S7-S17,2)</f>
        <v>0</v>
      </c>
      <c r="T30" s="17">
        <f t="shared" si="127"/>
        <v>0</v>
      </c>
      <c r="U30" s="17">
        <f t="shared" si="127"/>
        <v>0</v>
      </c>
      <c r="V30" s="83">
        <f t="shared" si="118"/>
        <v>0</v>
      </c>
      <c r="W30" s="84">
        <f t="shared" si="101"/>
        <v>0</v>
      </c>
      <c r="X30" s="17">
        <f t="shared" ref="X30:AV30" si="128">ROUND(X7-X17,2)</f>
        <v>0</v>
      </c>
      <c r="Y30" s="17">
        <f t="shared" si="128"/>
        <v>0</v>
      </c>
      <c r="Z30" s="17">
        <f t="shared" si="128"/>
        <v>0</v>
      </c>
      <c r="AA30" s="17">
        <f t="shared" si="128"/>
        <v>0</v>
      </c>
      <c r="AB30" s="17">
        <f t="shared" si="128"/>
        <v>0</v>
      </c>
      <c r="AC30" s="17">
        <f t="shared" si="128"/>
        <v>0</v>
      </c>
      <c r="AD30" s="17">
        <f t="shared" si="128"/>
        <v>0</v>
      </c>
      <c r="AE30" s="17">
        <f t="shared" si="128"/>
        <v>0</v>
      </c>
      <c r="AF30" s="84">
        <f t="shared" si="128"/>
        <v>0</v>
      </c>
      <c r="AG30" s="84">
        <f t="shared" si="103"/>
        <v>0</v>
      </c>
      <c r="AH30" s="17">
        <f t="shared" si="128"/>
        <v>0</v>
      </c>
      <c r="AI30" s="17">
        <f t="shared" si="128"/>
        <v>0</v>
      </c>
      <c r="AJ30" s="17">
        <f t="shared" si="128"/>
        <v>0</v>
      </c>
      <c r="AK30" s="83">
        <f t="shared" si="105"/>
        <v>0</v>
      </c>
      <c r="AL30" s="17">
        <f t="shared" si="128"/>
        <v>0</v>
      </c>
      <c r="AM30" s="17">
        <f t="shared" si="128"/>
        <v>0</v>
      </c>
      <c r="AN30" s="83">
        <f t="shared" si="107"/>
        <v>0</v>
      </c>
      <c r="AO30" s="84">
        <f t="shared" si="128"/>
        <v>0</v>
      </c>
      <c r="AP30" s="84">
        <f t="shared" si="128"/>
        <v>0</v>
      </c>
      <c r="AQ30" s="84">
        <f t="shared" si="109"/>
        <v>0</v>
      </c>
      <c r="AR30" s="85">
        <f t="shared" si="128"/>
        <v>0</v>
      </c>
      <c r="AS30" s="85">
        <f t="shared" si="128"/>
        <v>0</v>
      </c>
      <c r="AT30" s="84">
        <f t="shared" si="111"/>
        <v>0</v>
      </c>
      <c r="AU30" s="85">
        <f t="shared" si="128"/>
        <v>0</v>
      </c>
      <c r="AV30" s="85">
        <f t="shared" si="128"/>
        <v>0</v>
      </c>
      <c r="AW30" s="84">
        <f t="shared" si="113"/>
        <v>0</v>
      </c>
      <c r="AX30" s="19">
        <f t="shared" si="114"/>
        <v>0</v>
      </c>
      <c r="AY30" s="86">
        <f t="shared" si="114"/>
        <v>0</v>
      </c>
    </row>
    <row r="31" spans="1:51" s="20" customFormat="1" ht="17.25" customHeight="1" x14ac:dyDescent="0.2">
      <c r="A31" s="87">
        <v>24</v>
      </c>
      <c r="B31" s="16" t="s">
        <v>112</v>
      </c>
      <c r="C31" s="82">
        <f t="shared" si="93"/>
        <v>0</v>
      </c>
      <c r="D31" s="17">
        <v>0</v>
      </c>
      <c r="E31" s="17">
        <v>0</v>
      </c>
      <c r="F31" s="82">
        <f t="shared" si="94"/>
        <v>0</v>
      </c>
      <c r="G31" s="17">
        <v>0</v>
      </c>
      <c r="H31" s="17">
        <v>0</v>
      </c>
      <c r="I31" s="17">
        <v>0</v>
      </c>
      <c r="J31" s="82">
        <f t="shared" si="96"/>
        <v>0</v>
      </c>
      <c r="K31" s="56">
        <f t="shared" si="2"/>
        <v>0</v>
      </c>
      <c r="L31" s="17">
        <v>0</v>
      </c>
      <c r="M31" s="17">
        <v>0</v>
      </c>
      <c r="N31" s="18">
        <f t="shared" si="98"/>
        <v>0</v>
      </c>
      <c r="O31" s="17">
        <v>0</v>
      </c>
      <c r="P31" s="17">
        <v>0</v>
      </c>
      <c r="Q31" s="17">
        <v>0</v>
      </c>
      <c r="R31" s="18">
        <f t="shared" si="117"/>
        <v>0</v>
      </c>
      <c r="S31" s="17">
        <v>0</v>
      </c>
      <c r="T31" s="17">
        <v>0</v>
      </c>
      <c r="U31" s="17">
        <v>0</v>
      </c>
      <c r="V31" s="83">
        <f t="shared" si="118"/>
        <v>0</v>
      </c>
      <c r="W31" s="84">
        <f t="shared" si="101"/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84">
        <v>0</v>
      </c>
      <c r="AG31" s="84">
        <f t="shared" si="103"/>
        <v>0</v>
      </c>
      <c r="AH31" s="17">
        <v>0</v>
      </c>
      <c r="AI31" s="17">
        <v>0</v>
      </c>
      <c r="AJ31" s="17">
        <v>0</v>
      </c>
      <c r="AK31" s="83">
        <f t="shared" si="105"/>
        <v>0</v>
      </c>
      <c r="AL31" s="17">
        <v>0</v>
      </c>
      <c r="AM31" s="17">
        <v>0</v>
      </c>
      <c r="AN31" s="83">
        <f t="shared" si="107"/>
        <v>0</v>
      </c>
      <c r="AO31" s="84">
        <v>0</v>
      </c>
      <c r="AP31" s="84">
        <v>0</v>
      </c>
      <c r="AQ31" s="84">
        <f t="shared" si="109"/>
        <v>0</v>
      </c>
      <c r="AR31" s="85">
        <v>0</v>
      </c>
      <c r="AS31" s="85">
        <v>0</v>
      </c>
      <c r="AT31" s="84">
        <f t="shared" si="111"/>
        <v>0</v>
      </c>
      <c r="AU31" s="85">
        <f t="shared" si="122"/>
        <v>0</v>
      </c>
      <c r="AV31" s="85">
        <f t="shared" si="123"/>
        <v>0</v>
      </c>
      <c r="AW31" s="84">
        <f t="shared" si="113"/>
        <v>0</v>
      </c>
      <c r="AX31" s="19">
        <f t="shared" si="114"/>
        <v>0</v>
      </c>
      <c r="AY31" s="86">
        <f t="shared" si="114"/>
        <v>0</v>
      </c>
    </row>
    <row r="32" spans="1:51" s="58" customFormat="1" ht="18" customHeight="1" x14ac:dyDescent="0.2">
      <c r="A32" s="59">
        <v>25</v>
      </c>
      <c r="B32" s="4" t="s">
        <v>113</v>
      </c>
      <c r="C32" s="79">
        <f t="shared" si="93"/>
        <v>1196069.99</v>
      </c>
      <c r="D32" s="12">
        <v>945964.65</v>
      </c>
      <c r="E32" s="88">
        <v>250105.34</v>
      </c>
      <c r="F32" s="79">
        <f t="shared" si="94"/>
        <v>556207.06999999995</v>
      </c>
      <c r="G32" s="12">
        <v>262964.06</v>
      </c>
      <c r="H32" s="88">
        <v>293243.01</v>
      </c>
      <c r="I32" s="12">
        <v>4532.6799999999994</v>
      </c>
      <c r="J32" s="79">
        <f t="shared" si="96"/>
        <v>560739.75</v>
      </c>
      <c r="K32" s="56">
        <f t="shared" si="2"/>
        <v>3119344.4</v>
      </c>
      <c r="L32" s="12">
        <v>2963586.74</v>
      </c>
      <c r="M32" s="12">
        <v>823.07</v>
      </c>
      <c r="N32" s="5">
        <f t="shared" si="98"/>
        <v>2964409.81</v>
      </c>
      <c r="O32" s="12">
        <v>136492.14000000001</v>
      </c>
      <c r="P32" s="12">
        <v>120</v>
      </c>
      <c r="Q32" s="12">
        <v>4770</v>
      </c>
      <c r="R32" s="5">
        <f t="shared" si="117"/>
        <v>141382.14000000001</v>
      </c>
      <c r="S32" s="12">
        <v>3378.25</v>
      </c>
      <c r="T32" s="12">
        <v>10174.200000000001</v>
      </c>
      <c r="U32" s="12">
        <v>0</v>
      </c>
      <c r="V32" s="80">
        <f t="shared" si="118"/>
        <v>13552.45</v>
      </c>
      <c r="W32" s="56">
        <f t="shared" si="101"/>
        <v>411385.16</v>
      </c>
      <c r="X32" s="12">
        <v>14104.74</v>
      </c>
      <c r="Y32" s="12">
        <v>23584.639999999999</v>
      </c>
      <c r="Z32" s="12">
        <v>44949.08</v>
      </c>
      <c r="AA32" s="12">
        <v>2462.7199999999998</v>
      </c>
      <c r="AB32" s="12">
        <v>10176.6</v>
      </c>
      <c r="AC32" s="12">
        <v>137513.03</v>
      </c>
      <c r="AD32" s="12">
        <v>2097.67</v>
      </c>
      <c r="AE32" s="12">
        <v>176496.68</v>
      </c>
      <c r="AF32" s="56">
        <v>56600.42</v>
      </c>
      <c r="AG32" s="56">
        <f t="shared" si="103"/>
        <v>121546.71</v>
      </c>
      <c r="AH32" s="12">
        <v>4873.29</v>
      </c>
      <c r="AI32" s="12">
        <v>53642.92</v>
      </c>
      <c r="AJ32" s="12">
        <v>6659.93</v>
      </c>
      <c r="AK32" s="80">
        <f t="shared" si="105"/>
        <v>65176.14</v>
      </c>
      <c r="AL32" s="12">
        <v>16908.57</v>
      </c>
      <c r="AM32" s="12">
        <v>39462</v>
      </c>
      <c r="AN32" s="80">
        <f t="shared" si="107"/>
        <v>56370.57</v>
      </c>
      <c r="AO32" s="56">
        <v>1321.6</v>
      </c>
      <c r="AP32" s="56">
        <v>113170.53</v>
      </c>
      <c r="AQ32" s="56">
        <f t="shared" si="109"/>
        <v>5312073.4400000004</v>
      </c>
      <c r="AR32" s="62">
        <f t="shared" ref="AR32:AR35" si="129">ROUND(D32+G32+I32+N32+Y32+Z32+AA32+AB32+AC32+AD32+AE32+AF32+AM32,2)</f>
        <v>4671214.04</v>
      </c>
      <c r="AS32" s="62">
        <f t="shared" ref="AS32:AS35" si="130">ROUND(E32+H32+X32+AK32+AL32+AO32,2)</f>
        <v>640859.4</v>
      </c>
      <c r="AT32" s="56">
        <f t="shared" si="111"/>
        <v>268105.12</v>
      </c>
      <c r="AU32" s="62">
        <f t="shared" si="122"/>
        <v>141382.14000000001</v>
      </c>
      <c r="AV32" s="62">
        <f t="shared" si="123"/>
        <v>126722.98</v>
      </c>
      <c r="AW32" s="56">
        <f t="shared" si="113"/>
        <v>5580178.5599999996</v>
      </c>
      <c r="AX32" s="63">
        <f t="shared" si="114"/>
        <v>4812596.18</v>
      </c>
      <c r="AY32" s="75">
        <f t="shared" si="114"/>
        <v>767582.38</v>
      </c>
    </row>
    <row r="33" spans="1:51" s="58" customFormat="1" ht="28.5" customHeight="1" x14ac:dyDescent="0.2">
      <c r="A33" s="59" t="s">
        <v>31</v>
      </c>
      <c r="B33" s="4" t="s">
        <v>114</v>
      </c>
      <c r="C33" s="79">
        <f t="shared" si="93"/>
        <v>1333599.32</v>
      </c>
      <c r="D33" s="12">
        <f>ROUND((D28+D31)/2,2)</f>
        <v>1116387.1399999999</v>
      </c>
      <c r="E33" s="12">
        <f>ROUND((E28+E31)/2,2)</f>
        <v>217212.18</v>
      </c>
      <c r="F33" s="79">
        <f t="shared" si="94"/>
        <v>594727.01</v>
      </c>
      <c r="G33" s="12">
        <f t="shared" ref="G33:I33" si="131">ROUND((G28+G31)/2,2)</f>
        <v>271694.34999999998</v>
      </c>
      <c r="H33" s="12">
        <f t="shared" si="131"/>
        <v>323032.65999999997</v>
      </c>
      <c r="I33" s="12">
        <f t="shared" si="131"/>
        <v>2266.34</v>
      </c>
      <c r="J33" s="79">
        <f t="shared" si="96"/>
        <v>596993.35</v>
      </c>
      <c r="K33" s="56">
        <f t="shared" si="2"/>
        <v>3749867.74</v>
      </c>
      <c r="L33" s="12">
        <f t="shared" ref="L33:M33" si="132">ROUND((L28+L31)/2,2)</f>
        <v>3565929.85</v>
      </c>
      <c r="M33" s="12">
        <f t="shared" si="132"/>
        <v>0</v>
      </c>
      <c r="N33" s="5">
        <f t="shared" si="98"/>
        <v>3565929.85</v>
      </c>
      <c r="O33" s="12">
        <f t="shared" ref="O33:Q33" si="133">ROUND((O28+O31)/2,2)</f>
        <v>147558.6</v>
      </c>
      <c r="P33" s="12">
        <f t="shared" si="133"/>
        <v>0</v>
      </c>
      <c r="Q33" s="12">
        <f t="shared" si="133"/>
        <v>4380</v>
      </c>
      <c r="R33" s="5">
        <f>ROUND(O33+P33+Q33,2)</f>
        <v>151938.6</v>
      </c>
      <c r="S33" s="12">
        <f t="shared" ref="S33:U33" si="134">ROUND((S28+S31)/2,2)</f>
        <v>2534.88</v>
      </c>
      <c r="T33" s="12">
        <f t="shared" si="134"/>
        <v>26557.83</v>
      </c>
      <c r="U33" s="12">
        <f t="shared" si="134"/>
        <v>2906.58</v>
      </c>
      <c r="V33" s="80">
        <f t="shared" si="118"/>
        <v>31999.29</v>
      </c>
      <c r="W33" s="56">
        <f t="shared" si="101"/>
        <v>634720.49</v>
      </c>
      <c r="X33" s="12">
        <f t="shared" ref="X33:AF33" si="135">ROUND((X28+X31)/2,2)</f>
        <v>0</v>
      </c>
      <c r="Y33" s="12">
        <f t="shared" si="135"/>
        <v>128433.26</v>
      </c>
      <c r="Z33" s="12">
        <f t="shared" si="135"/>
        <v>151969.41</v>
      </c>
      <c r="AA33" s="12">
        <f t="shared" si="135"/>
        <v>2226.29</v>
      </c>
      <c r="AB33" s="12">
        <f t="shared" si="135"/>
        <v>10136.65</v>
      </c>
      <c r="AC33" s="12">
        <f t="shared" si="135"/>
        <v>141315.51</v>
      </c>
      <c r="AD33" s="12">
        <f t="shared" si="135"/>
        <v>2080.6</v>
      </c>
      <c r="AE33" s="12">
        <f t="shared" si="135"/>
        <v>198558.77</v>
      </c>
      <c r="AF33" s="56">
        <f t="shared" si="135"/>
        <v>61351.99</v>
      </c>
      <c r="AG33" s="56">
        <f t="shared" si="103"/>
        <v>124641.73</v>
      </c>
      <c r="AH33" s="12">
        <f t="shared" ref="AH33:AJ33" si="136">ROUND((AH28+AH31)/2,2)</f>
        <v>3376.87</v>
      </c>
      <c r="AI33" s="12">
        <f t="shared" si="136"/>
        <v>55332.81</v>
      </c>
      <c r="AJ33" s="12">
        <f t="shared" si="136"/>
        <v>26733.51</v>
      </c>
      <c r="AK33" s="80">
        <f t="shared" si="105"/>
        <v>85443.19</v>
      </c>
      <c r="AL33" s="12">
        <f t="shared" ref="AL33:AM33" si="137">ROUND((AL28+AL31)/2,2)</f>
        <v>0</v>
      </c>
      <c r="AM33" s="12">
        <f t="shared" si="137"/>
        <v>39198.54</v>
      </c>
      <c r="AN33" s="80">
        <f t="shared" si="107"/>
        <v>39198.54</v>
      </c>
      <c r="AO33" s="56">
        <f t="shared" ref="AO33:AP33" si="138">ROUND((AO28+AO31)/2,2)</f>
        <v>0</v>
      </c>
      <c r="AP33" s="56">
        <f t="shared" si="138"/>
        <v>49624.43</v>
      </c>
      <c r="AQ33" s="56">
        <f t="shared" si="109"/>
        <v>6317236.7300000004</v>
      </c>
      <c r="AR33" s="62">
        <f t="shared" si="129"/>
        <v>5691548.7000000002</v>
      </c>
      <c r="AS33" s="62">
        <f t="shared" si="130"/>
        <v>625688.03</v>
      </c>
      <c r="AT33" s="56">
        <f t="shared" si="111"/>
        <v>233562.32</v>
      </c>
      <c r="AU33" s="62">
        <f t="shared" si="122"/>
        <v>151938.6</v>
      </c>
      <c r="AV33" s="62">
        <f t="shared" si="123"/>
        <v>81623.72</v>
      </c>
      <c r="AW33" s="56">
        <f t="shared" si="113"/>
        <v>6550799.0499999998</v>
      </c>
      <c r="AX33" s="63">
        <f t="shared" si="114"/>
        <v>5843487.2999999998</v>
      </c>
      <c r="AY33" s="75">
        <f t="shared" si="114"/>
        <v>707311.75</v>
      </c>
    </row>
    <row r="34" spans="1:51" s="6" customFormat="1" ht="29.25" customHeight="1" x14ac:dyDescent="0.2">
      <c r="A34" s="59" t="s">
        <v>32</v>
      </c>
      <c r="B34" s="4" t="s">
        <v>33</v>
      </c>
      <c r="C34" s="79">
        <f t="shared" si="93"/>
        <v>8377911.8399999999</v>
      </c>
      <c r="D34" s="88">
        <f t="shared" ref="D34:E34" si="139">ROUND(D33*12-D7,2)</f>
        <v>7591365.6799999997</v>
      </c>
      <c r="E34" s="88">
        <f t="shared" si="139"/>
        <v>786546.16</v>
      </c>
      <c r="F34" s="79">
        <f t="shared" si="94"/>
        <v>3737334.12</v>
      </c>
      <c r="G34" s="88">
        <f t="shared" ref="G34:I34" si="140">ROUND(G33*12-G7,2)</f>
        <v>1981332.2</v>
      </c>
      <c r="H34" s="88">
        <f t="shared" si="140"/>
        <v>1756001.92</v>
      </c>
      <c r="I34" s="88">
        <f t="shared" si="140"/>
        <v>7196.08</v>
      </c>
      <c r="J34" s="79">
        <f t="shared" si="96"/>
        <v>3744530.2</v>
      </c>
      <c r="K34" s="56">
        <f t="shared" si="2"/>
        <v>25939782.879999999</v>
      </c>
      <c r="L34" s="88">
        <f t="shared" ref="L34" si="141">ROUND(L33*12-L7,2)</f>
        <v>24913138.199999999</v>
      </c>
      <c r="M34" s="88">
        <f>ROUND(M33*12-M7,2)</f>
        <v>0</v>
      </c>
      <c r="N34" s="5">
        <f t="shared" si="98"/>
        <v>24913138.199999999</v>
      </c>
      <c r="O34" s="88">
        <f t="shared" ref="O34:Q34" si="142">ROUND(O33*12-O7,2)</f>
        <v>951683.2</v>
      </c>
      <c r="P34" s="88">
        <f t="shared" si="142"/>
        <v>0</v>
      </c>
      <c r="Q34" s="88">
        <f t="shared" si="142"/>
        <v>23940</v>
      </c>
      <c r="R34" s="5">
        <f t="shared" ref="R34:R35" si="143">ROUND(O34+P34+Q34,2)</f>
        <v>975623.2</v>
      </c>
      <c r="S34" s="88">
        <f t="shared" ref="S34:U34" si="144">ROUND(S33*12-S7,2)</f>
        <v>-1421.44</v>
      </c>
      <c r="T34" s="88">
        <f t="shared" si="144"/>
        <v>44083.96</v>
      </c>
      <c r="U34" s="88">
        <f t="shared" si="144"/>
        <v>8358.9599999999991</v>
      </c>
      <c r="V34" s="80">
        <f t="shared" si="118"/>
        <v>51021.48</v>
      </c>
      <c r="W34" s="56">
        <f t="shared" si="101"/>
        <v>4606535.88</v>
      </c>
      <c r="X34" s="88">
        <f t="shared" ref="X34:AE34" si="145">ROUND(X33*12-X7,2)</f>
        <v>-39000</v>
      </c>
      <c r="Y34" s="88">
        <f t="shared" si="145"/>
        <v>983199.12</v>
      </c>
      <c r="Z34" s="88">
        <f t="shared" si="145"/>
        <v>887632.92</v>
      </c>
      <c r="AA34" s="88">
        <f t="shared" si="145"/>
        <v>11935.48</v>
      </c>
      <c r="AB34" s="88">
        <f t="shared" si="145"/>
        <v>60579.8</v>
      </c>
      <c r="AC34" s="88">
        <f t="shared" si="145"/>
        <v>836626.12</v>
      </c>
      <c r="AD34" s="88">
        <f t="shared" si="145"/>
        <v>12377.2</v>
      </c>
      <c r="AE34" s="88">
        <f t="shared" si="145"/>
        <v>1853185.24</v>
      </c>
      <c r="AF34" s="56">
        <f>ROUND(AF33*12-AF7,2)</f>
        <v>389963.88</v>
      </c>
      <c r="AG34" s="56">
        <f t="shared" si="103"/>
        <v>782860.76</v>
      </c>
      <c r="AH34" s="88">
        <f t="shared" ref="AH34:AJ34" si="146">ROUND(AH33*12-AH7,2)</f>
        <v>9382.44</v>
      </c>
      <c r="AI34" s="88">
        <f t="shared" si="146"/>
        <v>339093.72</v>
      </c>
      <c r="AJ34" s="88">
        <f t="shared" si="146"/>
        <v>223482.12</v>
      </c>
      <c r="AK34" s="80">
        <f t="shared" si="105"/>
        <v>571958.28</v>
      </c>
      <c r="AL34" s="88">
        <f t="shared" ref="AL34:AM34" si="147">ROUND(AL33*12-AL7,2)</f>
        <v>-6000</v>
      </c>
      <c r="AM34" s="12">
        <f t="shared" si="147"/>
        <v>216902.48</v>
      </c>
      <c r="AN34" s="80">
        <f t="shared" si="107"/>
        <v>210902.48</v>
      </c>
      <c r="AO34" s="56">
        <f t="shared" ref="AO34:AP34" si="148">ROUND(AO33*12-AO7,2)</f>
        <v>-5240</v>
      </c>
      <c r="AP34" s="56">
        <f t="shared" si="148"/>
        <v>129453.16</v>
      </c>
      <c r="AQ34" s="56">
        <f t="shared" si="109"/>
        <v>42809700.759999998</v>
      </c>
      <c r="AR34" s="62">
        <f t="shared" si="129"/>
        <v>39745434.399999999</v>
      </c>
      <c r="AS34" s="62">
        <f t="shared" si="130"/>
        <v>3064266.36</v>
      </c>
      <c r="AT34" s="56">
        <f t="shared" si="111"/>
        <v>1156097.8400000001</v>
      </c>
      <c r="AU34" s="62">
        <f t="shared" si="122"/>
        <v>975623.2</v>
      </c>
      <c r="AV34" s="62">
        <f t="shared" si="123"/>
        <v>180474.64</v>
      </c>
      <c r="AW34" s="56">
        <f t="shared" si="113"/>
        <v>43965798.600000001</v>
      </c>
      <c r="AX34" s="63">
        <f t="shared" si="114"/>
        <v>40721057.600000001</v>
      </c>
      <c r="AY34" s="75">
        <f t="shared" si="114"/>
        <v>3244741</v>
      </c>
    </row>
    <row r="35" spans="1:51" s="23" customFormat="1" ht="26.25" thickBot="1" x14ac:dyDescent="0.25">
      <c r="A35" s="21" t="s">
        <v>34</v>
      </c>
      <c r="B35" s="22" t="s">
        <v>35</v>
      </c>
      <c r="C35" s="89">
        <f t="shared" si="93"/>
        <v>16003191.84</v>
      </c>
      <c r="D35" s="90">
        <f t="shared" ref="D35:E35" si="149">ROUND(D7+D34,2)</f>
        <v>13396645.68</v>
      </c>
      <c r="E35" s="90">
        <f t="shared" si="149"/>
        <v>2606546.16</v>
      </c>
      <c r="F35" s="89">
        <f t="shared" si="94"/>
        <v>7136724.1200000001</v>
      </c>
      <c r="G35" s="90">
        <f t="shared" ref="G35:I35" si="150">ROUND(G7+G34,2)</f>
        <v>3260332.2</v>
      </c>
      <c r="H35" s="90">
        <f t="shared" si="150"/>
        <v>3876391.92</v>
      </c>
      <c r="I35" s="90">
        <f t="shared" si="150"/>
        <v>27196.080000000002</v>
      </c>
      <c r="J35" s="89">
        <f t="shared" si="96"/>
        <v>7163920.2000000002</v>
      </c>
      <c r="K35" s="91">
        <f t="shared" si="2"/>
        <v>44998412.880000003</v>
      </c>
      <c r="L35" s="90">
        <f t="shared" ref="L35" si="151">ROUND(L7+L34,2)</f>
        <v>42791158.200000003</v>
      </c>
      <c r="M35" s="90">
        <f>ROUND(M7+M34,2)</f>
        <v>0</v>
      </c>
      <c r="N35" s="8">
        <f t="shared" si="98"/>
        <v>42791158.200000003</v>
      </c>
      <c r="O35" s="90">
        <f t="shared" ref="O35:Q35" si="152">ROUND(O7+O34,2)</f>
        <v>1770703.2</v>
      </c>
      <c r="P35" s="90">
        <f t="shared" si="152"/>
        <v>0</v>
      </c>
      <c r="Q35" s="90">
        <f t="shared" si="152"/>
        <v>52560</v>
      </c>
      <c r="R35" s="8">
        <f t="shared" si="143"/>
        <v>1823263.2</v>
      </c>
      <c r="S35" s="90">
        <f t="shared" ref="S35:U35" si="153">ROUND(S7+S34,2)</f>
        <v>30418.560000000001</v>
      </c>
      <c r="T35" s="90">
        <f t="shared" si="153"/>
        <v>318693.96000000002</v>
      </c>
      <c r="U35" s="90">
        <f t="shared" si="153"/>
        <v>34878.959999999999</v>
      </c>
      <c r="V35" s="92">
        <f t="shared" si="118"/>
        <v>383991.48</v>
      </c>
      <c r="W35" s="91">
        <f t="shared" si="101"/>
        <v>7616645.8799999999</v>
      </c>
      <c r="X35" s="90">
        <f t="shared" ref="X35:AE35" si="154">ROUND(X7+X34,2)</f>
        <v>0</v>
      </c>
      <c r="Y35" s="90">
        <f t="shared" si="154"/>
        <v>1541199.12</v>
      </c>
      <c r="Z35" s="90">
        <f t="shared" si="154"/>
        <v>1823632.92</v>
      </c>
      <c r="AA35" s="90">
        <f t="shared" si="154"/>
        <v>26715.48</v>
      </c>
      <c r="AB35" s="90">
        <f t="shared" si="154"/>
        <v>121639.8</v>
      </c>
      <c r="AC35" s="90">
        <f t="shared" si="154"/>
        <v>1695786.12</v>
      </c>
      <c r="AD35" s="90">
        <f t="shared" si="154"/>
        <v>24967.200000000001</v>
      </c>
      <c r="AE35" s="90">
        <f t="shared" si="154"/>
        <v>2382705.2400000002</v>
      </c>
      <c r="AF35" s="91">
        <f>ROUND(AF7+AF34,2)</f>
        <v>736223.88</v>
      </c>
      <c r="AG35" s="91">
        <f t="shared" si="103"/>
        <v>1495700.76</v>
      </c>
      <c r="AH35" s="90">
        <f t="shared" ref="AH35:AJ35" si="155">ROUND(AH7+AH34,2)</f>
        <v>40522.44</v>
      </c>
      <c r="AI35" s="90">
        <f t="shared" si="155"/>
        <v>663993.72</v>
      </c>
      <c r="AJ35" s="90">
        <f t="shared" si="155"/>
        <v>320802.12</v>
      </c>
      <c r="AK35" s="92">
        <f t="shared" si="105"/>
        <v>1025318.28</v>
      </c>
      <c r="AL35" s="90">
        <f t="shared" ref="AL35:AM35" si="156">ROUND(AL7+AL34,2)</f>
        <v>0</v>
      </c>
      <c r="AM35" s="90">
        <f t="shared" si="156"/>
        <v>470382.48</v>
      </c>
      <c r="AN35" s="92">
        <f t="shared" si="107"/>
        <v>470382.48</v>
      </c>
      <c r="AO35" s="91">
        <f t="shared" ref="AO35:AP35" si="157">ROUND(AO7+AO34,2)</f>
        <v>0</v>
      </c>
      <c r="AP35" s="91">
        <f t="shared" si="157"/>
        <v>595493.16</v>
      </c>
      <c r="AQ35" s="91">
        <f t="shared" si="109"/>
        <v>75806840.760000005</v>
      </c>
      <c r="AR35" s="93">
        <f t="shared" si="129"/>
        <v>68298584.400000006</v>
      </c>
      <c r="AS35" s="93">
        <f t="shared" si="130"/>
        <v>7508256.3600000003</v>
      </c>
      <c r="AT35" s="91">
        <f t="shared" si="111"/>
        <v>2802747.84</v>
      </c>
      <c r="AU35" s="93">
        <f t="shared" si="122"/>
        <v>1823263.2</v>
      </c>
      <c r="AV35" s="93">
        <f t="shared" si="123"/>
        <v>979484.64</v>
      </c>
      <c r="AW35" s="91">
        <f t="shared" si="113"/>
        <v>78609588.599999994</v>
      </c>
      <c r="AX35" s="94">
        <f t="shared" si="114"/>
        <v>70121847.599999994</v>
      </c>
      <c r="AY35" s="95">
        <f t="shared" si="114"/>
        <v>8487741</v>
      </c>
    </row>
    <row r="36" spans="1:51" x14ac:dyDescent="0.25"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</row>
    <row r="38" spans="1:51" x14ac:dyDescent="0.25">
      <c r="G38" s="98"/>
      <c r="AP38" s="99"/>
      <c r="AQ38" s="100"/>
      <c r="AR38" s="100"/>
      <c r="AS38" s="100"/>
      <c r="AT38" s="100"/>
      <c r="AU38" s="100"/>
      <c r="AX38" s="7"/>
    </row>
    <row r="39" spans="1:51" x14ac:dyDescent="0.25">
      <c r="AP39" s="3"/>
      <c r="AQ39" s="9"/>
      <c r="AR39" s="9"/>
      <c r="AS39" s="9"/>
      <c r="AT39" s="9"/>
      <c r="AU39" s="9"/>
      <c r="AX39" s="7"/>
    </row>
  </sheetData>
  <mergeCells count="2">
    <mergeCell ref="C3:P3"/>
    <mergeCell ref="C2:P2"/>
  </mergeCells>
  <phoneticPr fontId="8" type="noConversion"/>
  <pageMargins left="0.15748031496062992" right="0.15748031496062992" top="0.19685039370078741" bottom="0.15748031496062992" header="0.19685039370078741" footer="0.15748031496062992"/>
  <pageSetup paperSize="9" scale="60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Foaie1!Print_Titles</vt:lpstr>
    </vt:vector>
  </TitlesOfParts>
  <Company>cas olt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2023-04-06T13:24:10Z</cp:lastPrinted>
  <dcterms:created xsi:type="dcterms:W3CDTF">2019-01-29T08:53:27Z</dcterms:created>
  <dcterms:modified xsi:type="dcterms:W3CDTF">2023-04-06T13:24:13Z</dcterms:modified>
</cp:coreProperties>
</file>