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CRED.BUG.2021\"/>
    </mc:Choice>
  </mc:AlternateContent>
  <xr:revisionPtr revIDLastSave="0" documentId="13_ncr:1_{D0CC719F-1450-4183-A583-2D700D48A8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Q71" i="1"/>
  <c r="N71" i="1"/>
  <c r="M71" i="1"/>
  <c r="L71" i="1"/>
  <c r="K71" i="1"/>
  <c r="J71" i="1"/>
  <c r="I71" i="1"/>
  <c r="H71" i="1"/>
  <c r="G71" i="1"/>
  <c r="G70" i="1"/>
  <c r="F69" i="1"/>
  <c r="D69" i="1"/>
  <c r="E69" i="1" s="1"/>
  <c r="F68" i="1"/>
  <c r="D68" i="1"/>
  <c r="F67" i="1"/>
  <c r="E67" i="1"/>
  <c r="D67" i="1"/>
  <c r="F66" i="1"/>
  <c r="D66" i="1"/>
  <c r="R65" i="1"/>
  <c r="R71" i="1" s="1"/>
  <c r="P65" i="1"/>
  <c r="P71" i="1" s="1"/>
  <c r="I65" i="1"/>
  <c r="F65" i="1" s="1"/>
  <c r="I64" i="1"/>
  <c r="F64" i="1" s="1"/>
  <c r="D64" i="1"/>
  <c r="R63" i="1"/>
  <c r="F63" i="1" s="1"/>
  <c r="D63" i="1"/>
  <c r="E63" i="1" s="1"/>
  <c r="F62" i="1"/>
  <c r="D62" i="1"/>
  <c r="F61" i="1"/>
  <c r="E61" i="1"/>
  <c r="D61" i="1"/>
  <c r="I60" i="1"/>
  <c r="F60" i="1" s="1"/>
  <c r="D60" i="1"/>
  <c r="O59" i="1"/>
  <c r="O71" i="1" s="1"/>
  <c r="D59" i="1"/>
  <c r="E59" i="1" s="1"/>
  <c r="F58" i="1"/>
  <c r="M55" i="1"/>
  <c r="R54" i="1"/>
  <c r="Q54" i="1"/>
  <c r="P54" i="1"/>
  <c r="O54" i="1"/>
  <c r="N54" i="1"/>
  <c r="M54" i="1"/>
  <c r="L54" i="1"/>
  <c r="K54" i="1"/>
  <c r="J54" i="1"/>
  <c r="I54" i="1"/>
  <c r="H54" i="1"/>
  <c r="G54" i="1"/>
  <c r="M53" i="1"/>
  <c r="M52" i="1" s="1"/>
  <c r="M51" i="1" s="1"/>
  <c r="L53" i="1"/>
  <c r="H53" i="1"/>
  <c r="H52" i="1" s="1"/>
  <c r="F48" i="1"/>
  <c r="D48" i="1"/>
  <c r="F47" i="1"/>
  <c r="D47" i="1"/>
  <c r="D46" i="1" s="1"/>
  <c r="S46" i="1"/>
  <c r="S40" i="1" s="1"/>
  <c r="R46" i="1"/>
  <c r="Q46" i="1"/>
  <c r="Q40" i="1" s="1"/>
  <c r="P46" i="1"/>
  <c r="P40" i="1" s="1"/>
  <c r="O46" i="1"/>
  <c r="O40" i="1" s="1"/>
  <c r="N46" i="1"/>
  <c r="L46" i="1"/>
  <c r="L40" i="1" s="1"/>
  <c r="K46" i="1"/>
  <c r="K40" i="1" s="1"/>
  <c r="J46" i="1"/>
  <c r="J40" i="1" s="1"/>
  <c r="I46" i="1"/>
  <c r="H46" i="1"/>
  <c r="H40" i="1" s="1"/>
  <c r="G46" i="1"/>
  <c r="F45" i="1"/>
  <c r="D45" i="1"/>
  <c r="F44" i="1"/>
  <c r="D44" i="1"/>
  <c r="E44" i="1" s="1"/>
  <c r="F43" i="1"/>
  <c r="D43" i="1"/>
  <c r="E43" i="1" s="1"/>
  <c r="F42" i="1"/>
  <c r="E42" i="1"/>
  <c r="D42" i="1"/>
  <c r="S41" i="1"/>
  <c r="R41" i="1"/>
  <c r="R55" i="1" s="1"/>
  <c r="Q41" i="1"/>
  <c r="P41" i="1"/>
  <c r="O41" i="1"/>
  <c r="N41" i="1"/>
  <c r="L41" i="1"/>
  <c r="K41" i="1"/>
  <c r="J41" i="1"/>
  <c r="J55" i="1" s="1"/>
  <c r="I41" i="1"/>
  <c r="H41" i="1"/>
  <c r="G41" i="1"/>
  <c r="F41" i="1" s="1"/>
  <c r="E41" i="1"/>
  <c r="D41" i="1"/>
  <c r="C41" i="1"/>
  <c r="R40" i="1"/>
  <c r="N40" i="1"/>
  <c r="I40" i="1"/>
  <c r="C40" i="1"/>
  <c r="F39" i="1"/>
  <c r="E39" i="1"/>
  <c r="D39" i="1"/>
  <c r="F38" i="1"/>
  <c r="D38" i="1"/>
  <c r="F37" i="1"/>
  <c r="D37" i="1"/>
  <c r="F36" i="1"/>
  <c r="D36" i="1"/>
  <c r="Q35" i="1"/>
  <c r="Q55" i="1" s="1"/>
  <c r="P35" i="1"/>
  <c r="P55" i="1" s="1"/>
  <c r="O35" i="1"/>
  <c r="O55" i="1" s="1"/>
  <c r="N35" i="1"/>
  <c r="L35" i="1"/>
  <c r="L33" i="1" s="1"/>
  <c r="L55" i="1" s="1"/>
  <c r="K35" i="1"/>
  <c r="K33" i="1" s="1"/>
  <c r="K55" i="1" s="1"/>
  <c r="J35" i="1"/>
  <c r="I35" i="1"/>
  <c r="H35" i="1"/>
  <c r="H33" i="1" s="1"/>
  <c r="H55" i="1" s="1"/>
  <c r="G35" i="1"/>
  <c r="D35" i="1"/>
  <c r="E35" i="1" s="1"/>
  <c r="E33" i="1" s="1"/>
  <c r="F34" i="1"/>
  <c r="S33" i="1"/>
  <c r="R33" i="1"/>
  <c r="O33" i="1"/>
  <c r="N33" i="1"/>
  <c r="N55" i="1" s="1"/>
  <c r="I33" i="1"/>
  <c r="I55" i="1" s="1"/>
  <c r="G33" i="1"/>
  <c r="G55" i="1" s="1"/>
  <c r="F32" i="1"/>
  <c r="E32" i="1"/>
  <c r="D32" i="1"/>
  <c r="F31" i="1"/>
  <c r="E31" i="1"/>
  <c r="F30" i="1"/>
  <c r="E30" i="1"/>
  <c r="D30" i="1"/>
  <c r="F29" i="1"/>
  <c r="E29" i="1"/>
  <c r="D29" i="1"/>
  <c r="F28" i="1"/>
  <c r="D28" i="1"/>
  <c r="F27" i="1"/>
  <c r="E27" i="1"/>
  <c r="D27" i="1"/>
  <c r="F26" i="1"/>
  <c r="E26" i="1"/>
  <c r="D26" i="1"/>
  <c r="F25" i="1"/>
  <c r="D25" i="1"/>
  <c r="E25" i="1" s="1"/>
  <c r="F24" i="1"/>
  <c r="D24" i="1"/>
  <c r="E24" i="1" s="1"/>
  <c r="F23" i="1"/>
  <c r="E23" i="1"/>
  <c r="D23" i="1"/>
  <c r="S22" i="1"/>
  <c r="R22" i="1"/>
  <c r="R5" i="1" s="1"/>
  <c r="Q22" i="1"/>
  <c r="P22" i="1"/>
  <c r="O22" i="1"/>
  <c r="N22" i="1"/>
  <c r="L22" i="1"/>
  <c r="K22" i="1"/>
  <c r="J22" i="1"/>
  <c r="I22" i="1"/>
  <c r="H22" i="1"/>
  <c r="G22" i="1"/>
  <c r="F22" i="1" s="1"/>
  <c r="C22" i="1"/>
  <c r="D21" i="1"/>
  <c r="F20" i="1"/>
  <c r="E20" i="1"/>
  <c r="D20" i="1"/>
  <c r="F19" i="1"/>
  <c r="E19" i="1"/>
  <c r="D19" i="1"/>
  <c r="F18" i="1"/>
  <c r="D18" i="1"/>
  <c r="E18" i="1" s="1"/>
  <c r="S17" i="1"/>
  <c r="S5" i="1" s="1"/>
  <c r="R17" i="1"/>
  <c r="R53" i="1" s="1"/>
  <c r="Q17" i="1"/>
  <c r="Q53" i="1" s="1"/>
  <c r="Q52" i="1" s="1"/>
  <c r="Q51" i="1" s="1"/>
  <c r="P17" i="1"/>
  <c r="P53" i="1" s="1"/>
  <c r="O17" i="1"/>
  <c r="O53" i="1" s="1"/>
  <c r="O52" i="1" s="1"/>
  <c r="N17" i="1"/>
  <c r="N53" i="1" s="1"/>
  <c r="L17" i="1"/>
  <c r="K17" i="1"/>
  <c r="K53" i="1" s="1"/>
  <c r="K52" i="1" s="1"/>
  <c r="J17" i="1"/>
  <c r="J53" i="1" s="1"/>
  <c r="I17" i="1"/>
  <c r="I53" i="1" s="1"/>
  <c r="I52" i="1" s="1"/>
  <c r="H17" i="1"/>
  <c r="G17" i="1"/>
  <c r="G53" i="1" s="1"/>
  <c r="C17" i="1"/>
  <c r="F16" i="1"/>
  <c r="D16" i="1"/>
  <c r="E16" i="1" s="1"/>
  <c r="F15" i="1"/>
  <c r="D15" i="1"/>
  <c r="D54" i="1" s="1"/>
  <c r="F14" i="1"/>
  <c r="D14" i="1"/>
  <c r="D13" i="1" s="1"/>
  <c r="D12" i="1" s="1"/>
  <c r="S13" i="1"/>
  <c r="S12" i="1" s="1"/>
  <c r="R13" i="1"/>
  <c r="R12" i="1" s="1"/>
  <c r="Q13" i="1"/>
  <c r="P13" i="1"/>
  <c r="O13" i="1"/>
  <c r="O12" i="1" s="1"/>
  <c r="O6" i="1" s="1"/>
  <c r="N13" i="1"/>
  <c r="N12" i="1" s="1"/>
  <c r="L13" i="1"/>
  <c r="L12" i="1" s="1"/>
  <c r="K13" i="1"/>
  <c r="K12" i="1" s="1"/>
  <c r="J13" i="1"/>
  <c r="J12" i="1" s="1"/>
  <c r="J6" i="1" s="1"/>
  <c r="J5" i="1" s="1"/>
  <c r="I13" i="1"/>
  <c r="I12" i="1" s="1"/>
  <c r="H13" i="1"/>
  <c r="G13" i="1"/>
  <c r="F13" i="1" s="1"/>
  <c r="Q12" i="1"/>
  <c r="P12" i="1"/>
  <c r="H12" i="1"/>
  <c r="C12" i="1"/>
  <c r="F11" i="1"/>
  <c r="D11" i="1"/>
  <c r="F10" i="1"/>
  <c r="D10" i="1"/>
  <c r="S9" i="1"/>
  <c r="R9" i="1"/>
  <c r="Q9" i="1"/>
  <c r="Q7" i="1" s="1"/>
  <c r="P9" i="1"/>
  <c r="P7" i="1" s="1"/>
  <c r="O9" i="1"/>
  <c r="N9" i="1"/>
  <c r="L9" i="1"/>
  <c r="L7" i="1" s="1"/>
  <c r="K9" i="1"/>
  <c r="K7" i="1" s="1"/>
  <c r="J9" i="1"/>
  <c r="H9" i="1"/>
  <c r="G9" i="1"/>
  <c r="F9" i="1" s="1"/>
  <c r="F8" i="1"/>
  <c r="E8" i="1"/>
  <c r="D8" i="1"/>
  <c r="D55" i="1" s="1"/>
  <c r="S7" i="1"/>
  <c r="R7" i="1"/>
  <c r="R49" i="1" s="1"/>
  <c r="O7" i="1"/>
  <c r="N7" i="1"/>
  <c r="J7" i="1"/>
  <c r="I7" i="1"/>
  <c r="I6" i="1" s="1"/>
  <c r="I5" i="1" s="1"/>
  <c r="H7" i="1"/>
  <c r="H6" i="1" s="1"/>
  <c r="C7" i="1"/>
  <c r="M6" i="1"/>
  <c r="M49" i="1" s="1"/>
  <c r="M5" i="1"/>
  <c r="P52" i="1" l="1"/>
  <c r="L52" i="1"/>
  <c r="L51" i="1" s="1"/>
  <c r="F54" i="1"/>
  <c r="N52" i="1"/>
  <c r="R52" i="1"/>
  <c r="R51" i="1" s="1"/>
  <c r="F46" i="1"/>
  <c r="I51" i="1"/>
  <c r="N51" i="1"/>
  <c r="P33" i="1"/>
  <c r="H51" i="1"/>
  <c r="O51" i="1"/>
  <c r="Q33" i="1"/>
  <c r="Q5" i="1" s="1"/>
  <c r="H5" i="1"/>
  <c r="P51" i="1"/>
  <c r="F35" i="1"/>
  <c r="K6" i="1"/>
  <c r="K5" i="1" s="1"/>
  <c r="J52" i="1"/>
  <c r="J51" i="1" s="1"/>
  <c r="G12" i="1"/>
  <c r="F12" i="1" s="1"/>
  <c r="E12" i="1"/>
  <c r="L6" i="1"/>
  <c r="L5" i="1" s="1"/>
  <c r="D40" i="1"/>
  <c r="E46" i="1"/>
  <c r="E40" i="1" s="1"/>
  <c r="D53" i="1"/>
  <c r="D52" i="1" s="1"/>
  <c r="H49" i="1"/>
  <c r="O49" i="1"/>
  <c r="O5" i="1"/>
  <c r="G52" i="1"/>
  <c r="F53" i="1"/>
  <c r="K51" i="1"/>
  <c r="F55" i="1"/>
  <c r="I49" i="1"/>
  <c r="P49" i="1"/>
  <c r="P6" i="1"/>
  <c r="P5" i="1" s="1"/>
  <c r="N6" i="1"/>
  <c r="N5" i="1" s="1"/>
  <c r="C49" i="1"/>
  <c r="K49" i="1"/>
  <c r="C5" i="1"/>
  <c r="G7" i="1"/>
  <c r="G40" i="1"/>
  <c r="F40" i="1" s="1"/>
  <c r="F59" i="1"/>
  <c r="F70" i="1" s="1"/>
  <c r="F17" i="1"/>
  <c r="D22" i="1"/>
  <c r="E22" i="1" s="1"/>
  <c r="F33" i="1"/>
  <c r="J49" i="1"/>
  <c r="D65" i="1"/>
  <c r="E65" i="1" s="1"/>
  <c r="D9" i="1"/>
  <c r="D17" i="1"/>
  <c r="E17" i="1" s="1"/>
  <c r="Q49" i="1" l="1"/>
  <c r="J50" i="1"/>
  <c r="L49" i="1"/>
  <c r="D7" i="1"/>
  <c r="E9" i="1"/>
  <c r="F7" i="1"/>
  <c r="G6" i="1"/>
  <c r="G51" i="1"/>
  <c r="F51" i="1" s="1"/>
  <c r="F52" i="1"/>
  <c r="N49" i="1"/>
  <c r="N75" i="1" s="1"/>
  <c r="D49" i="1" l="1"/>
  <c r="E49" i="1" s="1"/>
  <c r="D5" i="1"/>
  <c r="E7" i="1"/>
  <c r="F6" i="1"/>
  <c r="F49" i="1" s="1"/>
  <c r="G5" i="1"/>
  <c r="F5" i="1" s="1"/>
  <c r="G49" i="1"/>
  <c r="D51" i="1" l="1"/>
  <c r="E5" i="1"/>
</calcChain>
</file>

<file path=xl/sharedStrings.xml><?xml version="1.0" encoding="utf-8"?>
<sst xmlns="http://schemas.openxmlformats.org/spreadsheetml/2006/main" count="104" uniqueCount="87">
  <si>
    <t>CREDITE BUGETARE 2021 FARMACII SI PNS SPITALE</t>
  </si>
  <si>
    <t>DENUMIRE INDICATOR</t>
  </si>
  <si>
    <t>CREDITE DE ANGAJAMENT 2020</t>
  </si>
  <si>
    <t>CREDITE BUGETARE 2021</t>
  </si>
  <si>
    <t>PLATI  LA 31.12.2021</t>
  </si>
  <si>
    <t>CREDITE BUGETARE RAMASE</t>
  </si>
  <si>
    <t>TOTAL CONSUM  AN 2021 IN LIMITA CA</t>
  </si>
  <si>
    <t>IANUARIE 2021</t>
  </si>
  <si>
    <t>FEBRUARIE 2021</t>
  </si>
  <si>
    <t>MARTIE 2021</t>
  </si>
  <si>
    <t>APRILIE 2021</t>
  </si>
  <si>
    <t>MAI 2021</t>
  </si>
  <si>
    <t xml:space="preserve">IUNIE </t>
  </si>
  <si>
    <t>IULIE 2021</t>
  </si>
  <si>
    <t>AUGUST 2021</t>
  </si>
  <si>
    <t>SEPTEMBRIE 2021</t>
  </si>
  <si>
    <t>OCTOMBRIE2021</t>
  </si>
  <si>
    <t>NOIEMBRIE2021</t>
  </si>
  <si>
    <t>DECEMBRIE 2021</t>
  </si>
  <si>
    <t>PLĂŢI PENTRU 2020</t>
  </si>
  <si>
    <t>Medicamente pentru boli cronice cu risc crescut utilizate în programele naţionale cu scop curativ</t>
  </si>
  <si>
    <t>TOTAL ONCOLOGIE</t>
  </si>
  <si>
    <t>TOTAL COST VOLUM</t>
  </si>
  <si>
    <t>Tratamentul bolnavilor cu afecţiuni oncologice, COST VOLUM FARM</t>
  </si>
  <si>
    <t>Tratamentul bolnavilor cu afecţiuni oncologice, COST VOLUM-SPITAL</t>
  </si>
  <si>
    <t>COST VOLUM-SPITAL SLATINA</t>
  </si>
  <si>
    <t>COST VOLUM-SPITAL CARACAL</t>
  </si>
  <si>
    <t>Tratamentul bolnavilor cu afecţiuni oncologice, din care:</t>
  </si>
  <si>
    <t>-medicamente pentru tratamentul în spital, din care:</t>
  </si>
  <si>
    <t>- SPITAL SLATINA</t>
  </si>
  <si>
    <t>- SPITAL CARACAL</t>
  </si>
  <si>
    <t>-medicamente pentru tratamentul ambulatoriu (FARM)</t>
  </si>
  <si>
    <t>Programul naţional de diagnostic şi tratament pentru HEMOFILIE ŞI TALASEMIE (SPITAL SLATINA)</t>
  </si>
  <si>
    <t>hemofilie fără intervenţie chirurgicală majoră</t>
  </si>
  <si>
    <t>hemofilie profilaxie</t>
  </si>
  <si>
    <t>talasemie</t>
  </si>
  <si>
    <t>hemofilie INTERMITENTA</t>
  </si>
  <si>
    <t>Programul naţional de diagnostic şi tratament pentru boli rare, din care:</t>
  </si>
  <si>
    <t>tirozinemie (SPITAL CARACAL)</t>
  </si>
  <si>
    <t>boala Hunter (SPITAL SLATINA)</t>
  </si>
  <si>
    <t>-mucoviscidoză copii (FARM)</t>
  </si>
  <si>
    <t>-mucoviscidoză adulti (FARM)</t>
  </si>
  <si>
    <t>-scleroza (FARM)</t>
  </si>
  <si>
    <t>P.6.28</t>
  </si>
  <si>
    <t>Fibroza pulmonara idiopatica 6.20</t>
  </si>
  <si>
    <t>Angiodem ereditar6.22</t>
  </si>
  <si>
    <t>Boala Fabry</t>
  </si>
  <si>
    <t>Program naţional de boli endocrine</t>
  </si>
  <si>
    <t>Tratamentul bolnavilor cu diabet zaharat, din care:</t>
  </si>
  <si>
    <t>-medicamente pentru tratamentul în spital (SPITAL SLATINA)</t>
  </si>
  <si>
    <t>-medicamente pentru tratamentul ambulatoriu (FARM), din care:</t>
  </si>
  <si>
    <t>ADO</t>
  </si>
  <si>
    <t>INSULINA</t>
  </si>
  <si>
    <t>MIXT</t>
  </si>
  <si>
    <t>Tratamentul stării de posttransplant în ambulatoriu a pacienţilor cu transplant (FARM)</t>
  </si>
  <si>
    <t>Materiale sanitare specifice utilizate în programele naţionale cu scop curativ, din care:</t>
  </si>
  <si>
    <t>Program naţional de diabet zaharat (FARM), din care:</t>
  </si>
  <si>
    <t>-copii cu diabet zaharat insulinodependent automonitorizate</t>
  </si>
  <si>
    <t>- adulti cu diabet zaharat insulinotratat cu varsta peste 40 de ani automonitorizati</t>
  </si>
  <si>
    <t>MATERIALE DIABET SPITAL pompe</t>
  </si>
  <si>
    <t>SENZORI MONIT.GLICEMICA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</si>
  <si>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</si>
  <si>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</si>
  <si>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</si>
  <si>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</si>
  <si>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TOTAL PNS, DIN CARE:</t>
  </si>
  <si>
    <t>PNS SPITAL 2021, DIN CARE:</t>
  </si>
  <si>
    <t>-SPITAL CARACAL</t>
  </si>
  <si>
    <t>PNS FARMACII 2021</t>
  </si>
  <si>
    <t>PLATI  LA31.12.2021</t>
  </si>
  <si>
    <t>IUNIE 2021</t>
  </si>
  <si>
    <t>Plati actv.curenta</t>
  </si>
  <si>
    <t>cost volum</t>
  </si>
  <si>
    <t>cost volum plati</t>
  </si>
  <si>
    <t>cost volum PENS.0-1139 RAP50CV</t>
  </si>
  <si>
    <t>PLATI CV 50</t>
  </si>
  <si>
    <t>cost volum PENS.0-1139 RAP40CV</t>
  </si>
  <si>
    <t>PLATI 40CV</t>
  </si>
  <si>
    <t>Plati 40%</t>
  </si>
  <si>
    <t>personal contractual PLATI</t>
  </si>
  <si>
    <t>TOTAL GENERAL C+G 2021</t>
  </si>
  <si>
    <t>Intocmit,</t>
  </si>
  <si>
    <t>V.Marinas</t>
  </si>
  <si>
    <t>CREDITE BUGETARE  an 2021</t>
  </si>
  <si>
    <t xml:space="preserve">activitate curenta C+G </t>
  </si>
  <si>
    <t xml:space="preserve">medicamente 40% MS </t>
  </si>
  <si>
    <t xml:space="preserve">personal contractual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</si>
</sst>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2" fillId="0" borderId="0" xfId="0" applyFont="1"/>
    <xf numFmtId="40" fontId="3" fillId="0" borderId="1" xfId="0" applyNumberFormat="1" applyFont="1" applyBorder="1" applyAlignment="1">
      <alignment horizontal="center" vertical="top" wrapText="1"/>
    </xf>
    <xf numFmtId="40" fontId="4" fillId="0" borderId="2" xfId="0" applyNumberFormat="1" applyFont="1" applyBorder="1" applyAlignment="1">
      <alignment horizontal="center" vertical="top" wrapText="1"/>
    </xf>
    <xf numFmtId="40" fontId="5" fillId="0" borderId="2" xfId="0" applyNumberFormat="1" applyFont="1" applyBorder="1" applyAlignment="1">
      <alignment horizontal="center" vertical="top" wrapText="1"/>
    </xf>
    <xf numFmtId="40" fontId="5" fillId="2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0" fontId="3" fillId="0" borderId="5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0" fontId="3" fillId="3" borderId="9" xfId="0" applyNumberFormat="1" applyFont="1" applyFill="1" applyBorder="1" applyAlignment="1">
      <alignment vertical="top" wrapText="1"/>
    </xf>
    <xf numFmtId="4" fontId="2" fillId="3" borderId="10" xfId="0" applyNumberFormat="1" applyFont="1" applyFill="1" applyBorder="1" applyAlignment="1">
      <alignment wrapText="1"/>
    </xf>
    <xf numFmtId="4" fontId="2" fillId="3" borderId="11" xfId="0" applyNumberFormat="1" applyFont="1" applyFill="1" applyBorder="1" applyAlignment="1">
      <alignment wrapText="1"/>
    </xf>
    <xf numFmtId="4" fontId="2" fillId="3" borderId="12" xfId="0" applyNumberFormat="1" applyFont="1" applyFill="1" applyBorder="1" applyAlignment="1">
      <alignment wrapText="1"/>
    </xf>
    <xf numFmtId="4" fontId="0" fillId="0" borderId="0" xfId="0" applyNumberFormat="1"/>
    <xf numFmtId="4" fontId="2" fillId="4" borderId="10" xfId="0" applyNumberFormat="1" applyFont="1" applyFill="1" applyBorder="1" applyAlignment="1">
      <alignment wrapText="1"/>
    </xf>
    <xf numFmtId="4" fontId="2" fillId="4" borderId="11" xfId="0" applyNumberFormat="1" applyFont="1" applyFill="1" applyBorder="1" applyAlignment="1">
      <alignment wrapText="1"/>
    </xf>
    <xf numFmtId="40" fontId="3" fillId="0" borderId="9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/>
    <xf numFmtId="4" fontId="2" fillId="0" borderId="12" xfId="0" applyNumberFormat="1" applyFont="1" applyBorder="1"/>
    <xf numFmtId="40" fontId="6" fillId="0" borderId="9" xfId="0" quotePrefix="1" applyNumberFormat="1" applyFont="1" applyBorder="1" applyAlignment="1">
      <alignment vertical="top" wrapText="1"/>
    </xf>
    <xf numFmtId="40" fontId="6" fillId="3" borderId="9" xfId="0" quotePrefix="1" applyNumberFormat="1" applyFont="1" applyFill="1" applyBorder="1" applyAlignment="1">
      <alignment vertical="top"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40" fontId="6" fillId="0" borderId="9" xfId="0" applyNumberFormat="1" applyFont="1" applyBorder="1" applyAlignment="1">
      <alignment vertical="top" wrapText="1"/>
    </xf>
    <xf numFmtId="4" fontId="2" fillId="4" borderId="11" xfId="0" applyNumberFormat="1" applyFont="1" applyFill="1" applyBorder="1"/>
    <xf numFmtId="4" fontId="7" fillId="4" borderId="12" xfId="0" applyNumberFormat="1" applyFont="1" applyFill="1" applyBorder="1" applyAlignment="1">
      <alignment wrapText="1"/>
    </xf>
    <xf numFmtId="40" fontId="3" fillId="4" borderId="9" xfId="0" applyNumberFormat="1" applyFont="1" applyFill="1" applyBorder="1" applyAlignment="1">
      <alignment vertical="top" wrapText="1"/>
    </xf>
    <xf numFmtId="40" fontId="8" fillId="0" borderId="9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wrapText="1"/>
    </xf>
    <xf numFmtId="40" fontId="8" fillId="0" borderId="9" xfId="1" applyNumberFormat="1" applyFont="1" applyBorder="1" applyAlignment="1">
      <alignment vertical="top" wrapText="1"/>
    </xf>
    <xf numFmtId="40" fontId="8" fillId="3" borderId="9" xfId="1" applyNumberFormat="1" applyFont="1" applyFill="1" applyBorder="1" applyAlignment="1">
      <alignment vertical="top" wrapText="1"/>
    </xf>
    <xf numFmtId="40" fontId="6" fillId="0" borderId="13" xfId="0" quotePrefix="1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2" fillId="3" borderId="15" xfId="0" applyNumberFormat="1" applyFont="1" applyFill="1" applyBorder="1" applyAlignment="1">
      <alignment wrapText="1"/>
    </xf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40" fontId="3" fillId="0" borderId="18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2" fillId="3" borderId="19" xfId="0" applyNumberFormat="1" applyFont="1" applyFill="1" applyBorder="1" applyAlignment="1">
      <alignment wrapText="1"/>
    </xf>
    <xf numFmtId="4" fontId="2" fillId="0" borderId="20" xfId="0" applyNumberFormat="1" applyFont="1" applyBorder="1"/>
    <xf numFmtId="40" fontId="3" fillId="0" borderId="21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4" fontId="2" fillId="3" borderId="23" xfId="0" applyNumberFormat="1" applyFont="1" applyFill="1" applyBorder="1" applyAlignment="1">
      <alignment wrapText="1"/>
    </xf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40" fontId="3" fillId="0" borderId="9" xfId="0" applyNumberFormat="1" applyFont="1" applyBorder="1" applyAlignment="1">
      <alignment vertical="top"/>
    </xf>
    <xf numFmtId="4" fontId="2" fillId="0" borderId="26" xfId="0" applyNumberFormat="1" applyFont="1" applyBorder="1"/>
    <xf numFmtId="40" fontId="6" fillId="0" borderId="9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 wrapText="1"/>
    </xf>
    <xf numFmtId="40" fontId="6" fillId="0" borderId="9" xfId="0" quotePrefix="1" applyNumberFormat="1" applyFont="1" applyBorder="1" applyAlignment="1">
      <alignment vertical="top"/>
    </xf>
    <xf numFmtId="40" fontId="6" fillId="0" borderId="21" xfId="0" applyNumberFormat="1" applyFont="1" applyBorder="1" applyAlignment="1">
      <alignment horizontal="center" vertical="top"/>
    </xf>
    <xf numFmtId="40" fontId="3" fillId="0" borderId="18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wrapText="1"/>
    </xf>
    <xf numFmtId="40" fontId="5" fillId="0" borderId="18" xfId="0" applyNumberFormat="1" applyFont="1" applyBorder="1" applyAlignment="1">
      <alignment horizontal="center" vertical="top" wrapText="1"/>
    </xf>
    <xf numFmtId="40" fontId="4" fillId="0" borderId="27" xfId="0" applyNumberFormat="1" applyFont="1" applyBorder="1" applyAlignment="1">
      <alignment horizontal="center" vertical="top" wrapText="1"/>
    </xf>
    <xf numFmtId="40" fontId="5" fillId="0" borderId="28" xfId="0" applyNumberFormat="1" applyFont="1" applyBorder="1" applyAlignment="1">
      <alignment horizontal="center" vertical="top" wrapText="1"/>
    </xf>
    <xf numFmtId="4" fontId="4" fillId="3" borderId="29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0" fontId="5" fillId="3" borderId="27" xfId="0" applyNumberFormat="1" applyFont="1" applyFill="1" applyBorder="1" applyAlignment="1">
      <alignment horizontal="center" vertical="top" wrapText="1"/>
    </xf>
    <xf numFmtId="40" fontId="6" fillId="0" borderId="32" xfId="0" applyNumberFormat="1" applyFont="1" applyBorder="1" applyAlignment="1">
      <alignment vertical="top" wrapText="1"/>
    </xf>
    <xf numFmtId="4" fontId="2" fillId="0" borderId="7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0" fontId="6" fillId="3" borderId="9" xfId="0" applyNumberFormat="1" applyFont="1" applyFill="1" applyBorder="1" applyAlignment="1">
      <alignment vertical="top" wrapText="1"/>
    </xf>
    <xf numFmtId="4" fontId="2" fillId="3" borderId="26" xfId="0" applyNumberFormat="1" applyFont="1" applyFill="1" applyBorder="1"/>
    <xf numFmtId="4" fontId="2" fillId="3" borderId="35" xfId="0" applyNumberFormat="1" applyFont="1" applyFill="1" applyBorder="1"/>
    <xf numFmtId="4" fontId="2" fillId="0" borderId="35" xfId="0" applyNumberFormat="1" applyFont="1" applyBorder="1"/>
    <xf numFmtId="4" fontId="7" fillId="3" borderId="11" xfId="0" applyNumberFormat="1" applyFont="1" applyFill="1" applyBorder="1" applyAlignment="1">
      <alignment wrapText="1"/>
    </xf>
    <xf numFmtId="4" fontId="7" fillId="3" borderId="11" xfId="0" applyNumberFormat="1" applyFont="1" applyFill="1" applyBorder="1"/>
    <xf numFmtId="4" fontId="7" fillId="0" borderId="11" xfId="0" applyNumberFormat="1" applyFont="1" applyBorder="1"/>
    <xf numFmtId="0" fontId="2" fillId="3" borderId="36" xfId="0" applyFont="1" applyFill="1" applyBorder="1"/>
    <xf numFmtId="40" fontId="3" fillId="0" borderId="13" xfId="0" applyNumberFormat="1" applyFont="1" applyBorder="1" applyAlignment="1">
      <alignment vertical="top" wrapText="1"/>
    </xf>
    <xf numFmtId="4" fontId="2" fillId="0" borderId="37" xfId="0" applyNumberFormat="1" applyFont="1" applyBorder="1"/>
    <xf numFmtId="40" fontId="6" fillId="3" borderId="18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wrapText="1"/>
    </xf>
    <xf numFmtId="4" fontId="2" fillId="3" borderId="28" xfId="0" applyNumberFormat="1" applyFont="1" applyFill="1" applyBorder="1"/>
    <xf numFmtId="0" fontId="0" fillId="3" borderId="0" xfId="0" applyFill="1"/>
    <xf numFmtId="4" fontId="10" fillId="0" borderId="0" xfId="0" applyNumberFormat="1" applyFont="1" applyAlignment="1">
      <alignment wrapText="1"/>
    </xf>
    <xf numFmtId="4" fontId="11" fillId="0" borderId="15" xfId="0" applyNumberFormat="1" applyFont="1" applyBorder="1" applyAlignment="1">
      <alignment wrapText="1"/>
    </xf>
  </cellXfs>
  <cellStyles count="2">
    <cellStyle name="Normal" xfId="0" builtinId="0"/>
    <cellStyle name="Normal_BUGET RECTIFICARE OUG 89 VIRARI FINALE" xfId="1" xr:uid="{6A6C9B13-0003-4E59-8F4E-4C653C3DB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X77"/>
  <sheetViews>
    <sheetView tabSelected="1" topLeftCell="A49" workbookViewId="0">
      <selection activeCell="Y68" sqref="Y68"/>
    </sheetView>
  </sheetViews>
  <sheetFormatPr defaultRowHeight="15" x14ac:dyDescent="0.25"/>
  <cols>
    <col min="1" max="1" width="33" customWidth="1"/>
    <col min="2" max="2" width="11.85546875" style="2" hidden="1" customWidth="1"/>
    <col min="3" max="3" width="22.85546875" style="2" customWidth="1"/>
    <col min="4" max="4" width="12.42578125" style="2" hidden="1" customWidth="1"/>
    <col min="5" max="5" width="10.140625" style="2" hidden="1" customWidth="1"/>
    <col min="6" max="6" width="11.5703125" style="2" hidden="1" customWidth="1"/>
    <col min="7" max="7" width="12.42578125" style="2" hidden="1" customWidth="1"/>
    <col min="8" max="8" width="10.7109375" style="2" hidden="1" customWidth="1"/>
    <col min="9" max="9" width="11.140625" style="2" hidden="1" customWidth="1"/>
    <col min="10" max="10" width="11.7109375" style="2" hidden="1" customWidth="1"/>
    <col min="11" max="11" width="11.5703125" style="2" hidden="1" customWidth="1"/>
    <col min="12" max="12" width="11.42578125" style="3" hidden="1" customWidth="1"/>
    <col min="13" max="13" width="12.140625" style="4" hidden="1" customWidth="1"/>
    <col min="14" max="14" width="14.7109375" style="4" hidden="1" customWidth="1"/>
    <col min="15" max="15" width="14.28515625" style="4" hidden="1" customWidth="1"/>
    <col min="16" max="16" width="14.5703125" style="4" hidden="1" customWidth="1"/>
    <col min="17" max="17" width="14.85546875" style="4" hidden="1" customWidth="1"/>
    <col min="18" max="18" width="11.140625" style="4" hidden="1" customWidth="1"/>
    <col min="19" max="19" width="12" hidden="1" customWidth="1"/>
    <col min="20" max="20" width="11.7109375" hidden="1" customWidth="1"/>
    <col min="21" max="21" width="15" customWidth="1"/>
    <col min="22" max="22" width="14" customWidth="1"/>
    <col min="23" max="23" width="10.140625" customWidth="1"/>
    <col min="257" max="257" width="33" customWidth="1"/>
    <col min="258" max="258" width="0" hidden="1" customWidth="1"/>
    <col min="259" max="259" width="22.85546875" customWidth="1"/>
    <col min="260" max="276" width="0" hidden="1" customWidth="1"/>
    <col min="277" max="277" width="15" customWidth="1"/>
    <col min="278" max="278" width="14" customWidth="1"/>
    <col min="279" max="279" width="10.140625" customWidth="1"/>
    <col min="513" max="513" width="33" customWidth="1"/>
    <col min="514" max="514" width="0" hidden="1" customWidth="1"/>
    <col min="515" max="515" width="22.85546875" customWidth="1"/>
    <col min="516" max="532" width="0" hidden="1" customWidth="1"/>
    <col min="533" max="533" width="15" customWidth="1"/>
    <col min="534" max="534" width="14" customWidth="1"/>
    <col min="535" max="535" width="10.140625" customWidth="1"/>
    <col min="769" max="769" width="33" customWidth="1"/>
    <col min="770" max="770" width="0" hidden="1" customWidth="1"/>
    <col min="771" max="771" width="22.85546875" customWidth="1"/>
    <col min="772" max="788" width="0" hidden="1" customWidth="1"/>
    <col min="789" max="789" width="15" customWidth="1"/>
    <col min="790" max="790" width="14" customWidth="1"/>
    <col min="791" max="791" width="10.140625" customWidth="1"/>
    <col min="1025" max="1025" width="33" customWidth="1"/>
    <col min="1026" max="1026" width="0" hidden="1" customWidth="1"/>
    <col min="1027" max="1027" width="22.85546875" customWidth="1"/>
    <col min="1028" max="1044" width="0" hidden="1" customWidth="1"/>
    <col min="1045" max="1045" width="15" customWidth="1"/>
    <col min="1046" max="1046" width="14" customWidth="1"/>
    <col min="1047" max="1047" width="10.140625" customWidth="1"/>
    <col min="1281" max="1281" width="33" customWidth="1"/>
    <col min="1282" max="1282" width="0" hidden="1" customWidth="1"/>
    <col min="1283" max="1283" width="22.85546875" customWidth="1"/>
    <col min="1284" max="1300" width="0" hidden="1" customWidth="1"/>
    <col min="1301" max="1301" width="15" customWidth="1"/>
    <col min="1302" max="1302" width="14" customWidth="1"/>
    <col min="1303" max="1303" width="10.140625" customWidth="1"/>
    <col min="1537" max="1537" width="33" customWidth="1"/>
    <col min="1538" max="1538" width="0" hidden="1" customWidth="1"/>
    <col min="1539" max="1539" width="22.85546875" customWidth="1"/>
    <col min="1540" max="1556" width="0" hidden="1" customWidth="1"/>
    <col min="1557" max="1557" width="15" customWidth="1"/>
    <col min="1558" max="1558" width="14" customWidth="1"/>
    <col min="1559" max="1559" width="10.140625" customWidth="1"/>
    <col min="1793" max="1793" width="33" customWidth="1"/>
    <col min="1794" max="1794" width="0" hidden="1" customWidth="1"/>
    <col min="1795" max="1795" width="22.85546875" customWidth="1"/>
    <col min="1796" max="1812" width="0" hidden="1" customWidth="1"/>
    <col min="1813" max="1813" width="15" customWidth="1"/>
    <col min="1814" max="1814" width="14" customWidth="1"/>
    <col min="1815" max="1815" width="10.140625" customWidth="1"/>
    <col min="2049" max="2049" width="33" customWidth="1"/>
    <col min="2050" max="2050" width="0" hidden="1" customWidth="1"/>
    <col min="2051" max="2051" width="22.85546875" customWidth="1"/>
    <col min="2052" max="2068" width="0" hidden="1" customWidth="1"/>
    <col min="2069" max="2069" width="15" customWidth="1"/>
    <col min="2070" max="2070" width="14" customWidth="1"/>
    <col min="2071" max="2071" width="10.140625" customWidth="1"/>
    <col min="2305" max="2305" width="33" customWidth="1"/>
    <col min="2306" max="2306" width="0" hidden="1" customWidth="1"/>
    <col min="2307" max="2307" width="22.85546875" customWidth="1"/>
    <col min="2308" max="2324" width="0" hidden="1" customWidth="1"/>
    <col min="2325" max="2325" width="15" customWidth="1"/>
    <col min="2326" max="2326" width="14" customWidth="1"/>
    <col min="2327" max="2327" width="10.140625" customWidth="1"/>
    <col min="2561" max="2561" width="33" customWidth="1"/>
    <col min="2562" max="2562" width="0" hidden="1" customWidth="1"/>
    <col min="2563" max="2563" width="22.85546875" customWidth="1"/>
    <col min="2564" max="2580" width="0" hidden="1" customWidth="1"/>
    <col min="2581" max="2581" width="15" customWidth="1"/>
    <col min="2582" max="2582" width="14" customWidth="1"/>
    <col min="2583" max="2583" width="10.140625" customWidth="1"/>
    <col min="2817" max="2817" width="33" customWidth="1"/>
    <col min="2818" max="2818" width="0" hidden="1" customWidth="1"/>
    <col min="2819" max="2819" width="22.85546875" customWidth="1"/>
    <col min="2820" max="2836" width="0" hidden="1" customWidth="1"/>
    <col min="2837" max="2837" width="15" customWidth="1"/>
    <col min="2838" max="2838" width="14" customWidth="1"/>
    <col min="2839" max="2839" width="10.140625" customWidth="1"/>
    <col min="3073" max="3073" width="33" customWidth="1"/>
    <col min="3074" max="3074" width="0" hidden="1" customWidth="1"/>
    <col min="3075" max="3075" width="22.85546875" customWidth="1"/>
    <col min="3076" max="3092" width="0" hidden="1" customWidth="1"/>
    <col min="3093" max="3093" width="15" customWidth="1"/>
    <col min="3094" max="3094" width="14" customWidth="1"/>
    <col min="3095" max="3095" width="10.140625" customWidth="1"/>
    <col min="3329" max="3329" width="33" customWidth="1"/>
    <col min="3330" max="3330" width="0" hidden="1" customWidth="1"/>
    <col min="3331" max="3331" width="22.85546875" customWidth="1"/>
    <col min="3332" max="3348" width="0" hidden="1" customWidth="1"/>
    <col min="3349" max="3349" width="15" customWidth="1"/>
    <col min="3350" max="3350" width="14" customWidth="1"/>
    <col min="3351" max="3351" width="10.140625" customWidth="1"/>
    <col min="3585" max="3585" width="33" customWidth="1"/>
    <col min="3586" max="3586" width="0" hidden="1" customWidth="1"/>
    <col min="3587" max="3587" width="22.85546875" customWidth="1"/>
    <col min="3588" max="3604" width="0" hidden="1" customWidth="1"/>
    <col min="3605" max="3605" width="15" customWidth="1"/>
    <col min="3606" max="3606" width="14" customWidth="1"/>
    <col min="3607" max="3607" width="10.140625" customWidth="1"/>
    <col min="3841" max="3841" width="33" customWidth="1"/>
    <col min="3842" max="3842" width="0" hidden="1" customWidth="1"/>
    <col min="3843" max="3843" width="22.85546875" customWidth="1"/>
    <col min="3844" max="3860" width="0" hidden="1" customWidth="1"/>
    <col min="3861" max="3861" width="15" customWidth="1"/>
    <col min="3862" max="3862" width="14" customWidth="1"/>
    <col min="3863" max="3863" width="10.140625" customWidth="1"/>
    <col min="4097" max="4097" width="33" customWidth="1"/>
    <col min="4098" max="4098" width="0" hidden="1" customWidth="1"/>
    <col min="4099" max="4099" width="22.85546875" customWidth="1"/>
    <col min="4100" max="4116" width="0" hidden="1" customWidth="1"/>
    <col min="4117" max="4117" width="15" customWidth="1"/>
    <col min="4118" max="4118" width="14" customWidth="1"/>
    <col min="4119" max="4119" width="10.140625" customWidth="1"/>
    <col min="4353" max="4353" width="33" customWidth="1"/>
    <col min="4354" max="4354" width="0" hidden="1" customWidth="1"/>
    <col min="4355" max="4355" width="22.85546875" customWidth="1"/>
    <col min="4356" max="4372" width="0" hidden="1" customWidth="1"/>
    <col min="4373" max="4373" width="15" customWidth="1"/>
    <col min="4374" max="4374" width="14" customWidth="1"/>
    <col min="4375" max="4375" width="10.140625" customWidth="1"/>
    <col min="4609" max="4609" width="33" customWidth="1"/>
    <col min="4610" max="4610" width="0" hidden="1" customWidth="1"/>
    <col min="4611" max="4611" width="22.85546875" customWidth="1"/>
    <col min="4612" max="4628" width="0" hidden="1" customWidth="1"/>
    <col min="4629" max="4629" width="15" customWidth="1"/>
    <col min="4630" max="4630" width="14" customWidth="1"/>
    <col min="4631" max="4631" width="10.140625" customWidth="1"/>
    <col min="4865" max="4865" width="33" customWidth="1"/>
    <col min="4866" max="4866" width="0" hidden="1" customWidth="1"/>
    <col min="4867" max="4867" width="22.85546875" customWidth="1"/>
    <col min="4868" max="4884" width="0" hidden="1" customWidth="1"/>
    <col min="4885" max="4885" width="15" customWidth="1"/>
    <col min="4886" max="4886" width="14" customWidth="1"/>
    <col min="4887" max="4887" width="10.140625" customWidth="1"/>
    <col min="5121" max="5121" width="33" customWidth="1"/>
    <col min="5122" max="5122" width="0" hidden="1" customWidth="1"/>
    <col min="5123" max="5123" width="22.85546875" customWidth="1"/>
    <col min="5124" max="5140" width="0" hidden="1" customWidth="1"/>
    <col min="5141" max="5141" width="15" customWidth="1"/>
    <col min="5142" max="5142" width="14" customWidth="1"/>
    <col min="5143" max="5143" width="10.140625" customWidth="1"/>
    <col min="5377" max="5377" width="33" customWidth="1"/>
    <col min="5378" max="5378" width="0" hidden="1" customWidth="1"/>
    <col min="5379" max="5379" width="22.85546875" customWidth="1"/>
    <col min="5380" max="5396" width="0" hidden="1" customWidth="1"/>
    <col min="5397" max="5397" width="15" customWidth="1"/>
    <col min="5398" max="5398" width="14" customWidth="1"/>
    <col min="5399" max="5399" width="10.140625" customWidth="1"/>
    <col min="5633" max="5633" width="33" customWidth="1"/>
    <col min="5634" max="5634" width="0" hidden="1" customWidth="1"/>
    <col min="5635" max="5635" width="22.85546875" customWidth="1"/>
    <col min="5636" max="5652" width="0" hidden="1" customWidth="1"/>
    <col min="5653" max="5653" width="15" customWidth="1"/>
    <col min="5654" max="5654" width="14" customWidth="1"/>
    <col min="5655" max="5655" width="10.140625" customWidth="1"/>
    <col min="5889" max="5889" width="33" customWidth="1"/>
    <col min="5890" max="5890" width="0" hidden="1" customWidth="1"/>
    <col min="5891" max="5891" width="22.85546875" customWidth="1"/>
    <col min="5892" max="5908" width="0" hidden="1" customWidth="1"/>
    <col min="5909" max="5909" width="15" customWidth="1"/>
    <col min="5910" max="5910" width="14" customWidth="1"/>
    <col min="5911" max="5911" width="10.140625" customWidth="1"/>
    <col min="6145" max="6145" width="33" customWidth="1"/>
    <col min="6146" max="6146" width="0" hidden="1" customWidth="1"/>
    <col min="6147" max="6147" width="22.85546875" customWidth="1"/>
    <col min="6148" max="6164" width="0" hidden="1" customWidth="1"/>
    <col min="6165" max="6165" width="15" customWidth="1"/>
    <col min="6166" max="6166" width="14" customWidth="1"/>
    <col min="6167" max="6167" width="10.140625" customWidth="1"/>
    <col min="6401" max="6401" width="33" customWidth="1"/>
    <col min="6402" max="6402" width="0" hidden="1" customWidth="1"/>
    <col min="6403" max="6403" width="22.85546875" customWidth="1"/>
    <col min="6404" max="6420" width="0" hidden="1" customWidth="1"/>
    <col min="6421" max="6421" width="15" customWidth="1"/>
    <col min="6422" max="6422" width="14" customWidth="1"/>
    <col min="6423" max="6423" width="10.140625" customWidth="1"/>
    <col min="6657" max="6657" width="33" customWidth="1"/>
    <col min="6658" max="6658" width="0" hidden="1" customWidth="1"/>
    <col min="6659" max="6659" width="22.85546875" customWidth="1"/>
    <col min="6660" max="6676" width="0" hidden="1" customWidth="1"/>
    <col min="6677" max="6677" width="15" customWidth="1"/>
    <col min="6678" max="6678" width="14" customWidth="1"/>
    <col min="6679" max="6679" width="10.140625" customWidth="1"/>
    <col min="6913" max="6913" width="33" customWidth="1"/>
    <col min="6914" max="6914" width="0" hidden="1" customWidth="1"/>
    <col min="6915" max="6915" width="22.85546875" customWidth="1"/>
    <col min="6916" max="6932" width="0" hidden="1" customWidth="1"/>
    <col min="6933" max="6933" width="15" customWidth="1"/>
    <col min="6934" max="6934" width="14" customWidth="1"/>
    <col min="6935" max="6935" width="10.140625" customWidth="1"/>
    <col min="7169" max="7169" width="33" customWidth="1"/>
    <col min="7170" max="7170" width="0" hidden="1" customWidth="1"/>
    <col min="7171" max="7171" width="22.85546875" customWidth="1"/>
    <col min="7172" max="7188" width="0" hidden="1" customWidth="1"/>
    <col min="7189" max="7189" width="15" customWidth="1"/>
    <col min="7190" max="7190" width="14" customWidth="1"/>
    <col min="7191" max="7191" width="10.140625" customWidth="1"/>
    <col min="7425" max="7425" width="33" customWidth="1"/>
    <col min="7426" max="7426" width="0" hidden="1" customWidth="1"/>
    <col min="7427" max="7427" width="22.85546875" customWidth="1"/>
    <col min="7428" max="7444" width="0" hidden="1" customWidth="1"/>
    <col min="7445" max="7445" width="15" customWidth="1"/>
    <col min="7446" max="7446" width="14" customWidth="1"/>
    <col min="7447" max="7447" width="10.140625" customWidth="1"/>
    <col min="7681" max="7681" width="33" customWidth="1"/>
    <col min="7682" max="7682" width="0" hidden="1" customWidth="1"/>
    <col min="7683" max="7683" width="22.85546875" customWidth="1"/>
    <col min="7684" max="7700" width="0" hidden="1" customWidth="1"/>
    <col min="7701" max="7701" width="15" customWidth="1"/>
    <col min="7702" max="7702" width="14" customWidth="1"/>
    <col min="7703" max="7703" width="10.140625" customWidth="1"/>
    <col min="7937" max="7937" width="33" customWidth="1"/>
    <col min="7938" max="7938" width="0" hidden="1" customWidth="1"/>
    <col min="7939" max="7939" width="22.85546875" customWidth="1"/>
    <col min="7940" max="7956" width="0" hidden="1" customWidth="1"/>
    <col min="7957" max="7957" width="15" customWidth="1"/>
    <col min="7958" max="7958" width="14" customWidth="1"/>
    <col min="7959" max="7959" width="10.140625" customWidth="1"/>
    <col min="8193" max="8193" width="33" customWidth="1"/>
    <col min="8194" max="8194" width="0" hidden="1" customWidth="1"/>
    <col min="8195" max="8195" width="22.85546875" customWidth="1"/>
    <col min="8196" max="8212" width="0" hidden="1" customWidth="1"/>
    <col min="8213" max="8213" width="15" customWidth="1"/>
    <col min="8214" max="8214" width="14" customWidth="1"/>
    <col min="8215" max="8215" width="10.140625" customWidth="1"/>
    <col min="8449" max="8449" width="33" customWidth="1"/>
    <col min="8450" max="8450" width="0" hidden="1" customWidth="1"/>
    <col min="8451" max="8451" width="22.85546875" customWidth="1"/>
    <col min="8452" max="8468" width="0" hidden="1" customWidth="1"/>
    <col min="8469" max="8469" width="15" customWidth="1"/>
    <col min="8470" max="8470" width="14" customWidth="1"/>
    <col min="8471" max="8471" width="10.140625" customWidth="1"/>
    <col min="8705" max="8705" width="33" customWidth="1"/>
    <col min="8706" max="8706" width="0" hidden="1" customWidth="1"/>
    <col min="8707" max="8707" width="22.85546875" customWidth="1"/>
    <col min="8708" max="8724" width="0" hidden="1" customWidth="1"/>
    <col min="8725" max="8725" width="15" customWidth="1"/>
    <col min="8726" max="8726" width="14" customWidth="1"/>
    <col min="8727" max="8727" width="10.140625" customWidth="1"/>
    <col min="8961" max="8961" width="33" customWidth="1"/>
    <col min="8962" max="8962" width="0" hidden="1" customWidth="1"/>
    <col min="8963" max="8963" width="22.85546875" customWidth="1"/>
    <col min="8964" max="8980" width="0" hidden="1" customWidth="1"/>
    <col min="8981" max="8981" width="15" customWidth="1"/>
    <col min="8982" max="8982" width="14" customWidth="1"/>
    <col min="8983" max="8983" width="10.140625" customWidth="1"/>
    <col min="9217" max="9217" width="33" customWidth="1"/>
    <col min="9218" max="9218" width="0" hidden="1" customWidth="1"/>
    <col min="9219" max="9219" width="22.85546875" customWidth="1"/>
    <col min="9220" max="9236" width="0" hidden="1" customWidth="1"/>
    <col min="9237" max="9237" width="15" customWidth="1"/>
    <col min="9238" max="9238" width="14" customWidth="1"/>
    <col min="9239" max="9239" width="10.140625" customWidth="1"/>
    <col min="9473" max="9473" width="33" customWidth="1"/>
    <col min="9474" max="9474" width="0" hidden="1" customWidth="1"/>
    <col min="9475" max="9475" width="22.85546875" customWidth="1"/>
    <col min="9476" max="9492" width="0" hidden="1" customWidth="1"/>
    <col min="9493" max="9493" width="15" customWidth="1"/>
    <col min="9494" max="9494" width="14" customWidth="1"/>
    <col min="9495" max="9495" width="10.140625" customWidth="1"/>
    <col min="9729" max="9729" width="33" customWidth="1"/>
    <col min="9730" max="9730" width="0" hidden="1" customWidth="1"/>
    <col min="9731" max="9731" width="22.85546875" customWidth="1"/>
    <col min="9732" max="9748" width="0" hidden="1" customWidth="1"/>
    <col min="9749" max="9749" width="15" customWidth="1"/>
    <col min="9750" max="9750" width="14" customWidth="1"/>
    <col min="9751" max="9751" width="10.140625" customWidth="1"/>
    <col min="9985" max="9985" width="33" customWidth="1"/>
    <col min="9986" max="9986" width="0" hidden="1" customWidth="1"/>
    <col min="9987" max="9987" width="22.85546875" customWidth="1"/>
    <col min="9988" max="10004" width="0" hidden="1" customWidth="1"/>
    <col min="10005" max="10005" width="15" customWidth="1"/>
    <col min="10006" max="10006" width="14" customWidth="1"/>
    <col min="10007" max="10007" width="10.140625" customWidth="1"/>
    <col min="10241" max="10241" width="33" customWidth="1"/>
    <col min="10242" max="10242" width="0" hidden="1" customWidth="1"/>
    <col min="10243" max="10243" width="22.85546875" customWidth="1"/>
    <col min="10244" max="10260" width="0" hidden="1" customWidth="1"/>
    <col min="10261" max="10261" width="15" customWidth="1"/>
    <col min="10262" max="10262" width="14" customWidth="1"/>
    <col min="10263" max="10263" width="10.140625" customWidth="1"/>
    <col min="10497" max="10497" width="33" customWidth="1"/>
    <col min="10498" max="10498" width="0" hidden="1" customWidth="1"/>
    <col min="10499" max="10499" width="22.85546875" customWidth="1"/>
    <col min="10500" max="10516" width="0" hidden="1" customWidth="1"/>
    <col min="10517" max="10517" width="15" customWidth="1"/>
    <col min="10518" max="10518" width="14" customWidth="1"/>
    <col min="10519" max="10519" width="10.140625" customWidth="1"/>
    <col min="10753" max="10753" width="33" customWidth="1"/>
    <col min="10754" max="10754" width="0" hidden="1" customWidth="1"/>
    <col min="10755" max="10755" width="22.85546875" customWidth="1"/>
    <col min="10756" max="10772" width="0" hidden="1" customWidth="1"/>
    <col min="10773" max="10773" width="15" customWidth="1"/>
    <col min="10774" max="10774" width="14" customWidth="1"/>
    <col min="10775" max="10775" width="10.140625" customWidth="1"/>
    <col min="11009" max="11009" width="33" customWidth="1"/>
    <col min="11010" max="11010" width="0" hidden="1" customWidth="1"/>
    <col min="11011" max="11011" width="22.85546875" customWidth="1"/>
    <col min="11012" max="11028" width="0" hidden="1" customWidth="1"/>
    <col min="11029" max="11029" width="15" customWidth="1"/>
    <col min="11030" max="11030" width="14" customWidth="1"/>
    <col min="11031" max="11031" width="10.140625" customWidth="1"/>
    <col min="11265" max="11265" width="33" customWidth="1"/>
    <col min="11266" max="11266" width="0" hidden="1" customWidth="1"/>
    <col min="11267" max="11267" width="22.85546875" customWidth="1"/>
    <col min="11268" max="11284" width="0" hidden="1" customWidth="1"/>
    <col min="11285" max="11285" width="15" customWidth="1"/>
    <col min="11286" max="11286" width="14" customWidth="1"/>
    <col min="11287" max="11287" width="10.140625" customWidth="1"/>
    <col min="11521" max="11521" width="33" customWidth="1"/>
    <col min="11522" max="11522" width="0" hidden="1" customWidth="1"/>
    <col min="11523" max="11523" width="22.85546875" customWidth="1"/>
    <col min="11524" max="11540" width="0" hidden="1" customWidth="1"/>
    <col min="11541" max="11541" width="15" customWidth="1"/>
    <col min="11542" max="11542" width="14" customWidth="1"/>
    <col min="11543" max="11543" width="10.140625" customWidth="1"/>
    <col min="11777" max="11777" width="33" customWidth="1"/>
    <col min="11778" max="11778" width="0" hidden="1" customWidth="1"/>
    <col min="11779" max="11779" width="22.85546875" customWidth="1"/>
    <col min="11780" max="11796" width="0" hidden="1" customWidth="1"/>
    <col min="11797" max="11797" width="15" customWidth="1"/>
    <col min="11798" max="11798" width="14" customWidth="1"/>
    <col min="11799" max="11799" width="10.140625" customWidth="1"/>
    <col min="12033" max="12033" width="33" customWidth="1"/>
    <col min="12034" max="12034" width="0" hidden="1" customWidth="1"/>
    <col min="12035" max="12035" width="22.85546875" customWidth="1"/>
    <col min="12036" max="12052" width="0" hidden="1" customWidth="1"/>
    <col min="12053" max="12053" width="15" customWidth="1"/>
    <col min="12054" max="12054" width="14" customWidth="1"/>
    <col min="12055" max="12055" width="10.140625" customWidth="1"/>
    <col min="12289" max="12289" width="33" customWidth="1"/>
    <col min="12290" max="12290" width="0" hidden="1" customWidth="1"/>
    <col min="12291" max="12291" width="22.85546875" customWidth="1"/>
    <col min="12292" max="12308" width="0" hidden="1" customWidth="1"/>
    <col min="12309" max="12309" width="15" customWidth="1"/>
    <col min="12310" max="12310" width="14" customWidth="1"/>
    <col min="12311" max="12311" width="10.140625" customWidth="1"/>
    <col min="12545" max="12545" width="33" customWidth="1"/>
    <col min="12546" max="12546" width="0" hidden="1" customWidth="1"/>
    <col min="12547" max="12547" width="22.85546875" customWidth="1"/>
    <col min="12548" max="12564" width="0" hidden="1" customWidth="1"/>
    <col min="12565" max="12565" width="15" customWidth="1"/>
    <col min="12566" max="12566" width="14" customWidth="1"/>
    <col min="12567" max="12567" width="10.140625" customWidth="1"/>
    <col min="12801" max="12801" width="33" customWidth="1"/>
    <col min="12802" max="12802" width="0" hidden="1" customWidth="1"/>
    <col min="12803" max="12803" width="22.85546875" customWidth="1"/>
    <col min="12804" max="12820" width="0" hidden="1" customWidth="1"/>
    <col min="12821" max="12821" width="15" customWidth="1"/>
    <col min="12822" max="12822" width="14" customWidth="1"/>
    <col min="12823" max="12823" width="10.140625" customWidth="1"/>
    <col min="13057" max="13057" width="33" customWidth="1"/>
    <col min="13058" max="13058" width="0" hidden="1" customWidth="1"/>
    <col min="13059" max="13059" width="22.85546875" customWidth="1"/>
    <col min="13060" max="13076" width="0" hidden="1" customWidth="1"/>
    <col min="13077" max="13077" width="15" customWidth="1"/>
    <col min="13078" max="13078" width="14" customWidth="1"/>
    <col min="13079" max="13079" width="10.140625" customWidth="1"/>
    <col min="13313" max="13313" width="33" customWidth="1"/>
    <col min="13314" max="13314" width="0" hidden="1" customWidth="1"/>
    <col min="13315" max="13315" width="22.85546875" customWidth="1"/>
    <col min="13316" max="13332" width="0" hidden="1" customWidth="1"/>
    <col min="13333" max="13333" width="15" customWidth="1"/>
    <col min="13334" max="13334" width="14" customWidth="1"/>
    <col min="13335" max="13335" width="10.140625" customWidth="1"/>
    <col min="13569" max="13569" width="33" customWidth="1"/>
    <col min="13570" max="13570" width="0" hidden="1" customWidth="1"/>
    <col min="13571" max="13571" width="22.85546875" customWidth="1"/>
    <col min="13572" max="13588" width="0" hidden="1" customWidth="1"/>
    <col min="13589" max="13589" width="15" customWidth="1"/>
    <col min="13590" max="13590" width="14" customWidth="1"/>
    <col min="13591" max="13591" width="10.140625" customWidth="1"/>
    <col min="13825" max="13825" width="33" customWidth="1"/>
    <col min="13826" max="13826" width="0" hidden="1" customWidth="1"/>
    <col min="13827" max="13827" width="22.85546875" customWidth="1"/>
    <col min="13828" max="13844" width="0" hidden="1" customWidth="1"/>
    <col min="13845" max="13845" width="15" customWidth="1"/>
    <col min="13846" max="13846" width="14" customWidth="1"/>
    <col min="13847" max="13847" width="10.140625" customWidth="1"/>
    <col min="14081" max="14081" width="33" customWidth="1"/>
    <col min="14082" max="14082" width="0" hidden="1" customWidth="1"/>
    <col min="14083" max="14083" width="22.85546875" customWidth="1"/>
    <col min="14084" max="14100" width="0" hidden="1" customWidth="1"/>
    <col min="14101" max="14101" width="15" customWidth="1"/>
    <col min="14102" max="14102" width="14" customWidth="1"/>
    <col min="14103" max="14103" width="10.140625" customWidth="1"/>
    <col min="14337" max="14337" width="33" customWidth="1"/>
    <col min="14338" max="14338" width="0" hidden="1" customWidth="1"/>
    <col min="14339" max="14339" width="22.85546875" customWidth="1"/>
    <col min="14340" max="14356" width="0" hidden="1" customWidth="1"/>
    <col min="14357" max="14357" width="15" customWidth="1"/>
    <col min="14358" max="14358" width="14" customWidth="1"/>
    <col min="14359" max="14359" width="10.140625" customWidth="1"/>
    <col min="14593" max="14593" width="33" customWidth="1"/>
    <col min="14594" max="14594" width="0" hidden="1" customWidth="1"/>
    <col min="14595" max="14595" width="22.85546875" customWidth="1"/>
    <col min="14596" max="14612" width="0" hidden="1" customWidth="1"/>
    <col min="14613" max="14613" width="15" customWidth="1"/>
    <col min="14614" max="14614" width="14" customWidth="1"/>
    <col min="14615" max="14615" width="10.140625" customWidth="1"/>
    <col min="14849" max="14849" width="33" customWidth="1"/>
    <col min="14850" max="14850" width="0" hidden="1" customWidth="1"/>
    <col min="14851" max="14851" width="22.85546875" customWidth="1"/>
    <col min="14852" max="14868" width="0" hidden="1" customWidth="1"/>
    <col min="14869" max="14869" width="15" customWidth="1"/>
    <col min="14870" max="14870" width="14" customWidth="1"/>
    <col min="14871" max="14871" width="10.140625" customWidth="1"/>
    <col min="15105" max="15105" width="33" customWidth="1"/>
    <col min="15106" max="15106" width="0" hidden="1" customWidth="1"/>
    <col min="15107" max="15107" width="22.85546875" customWidth="1"/>
    <col min="15108" max="15124" width="0" hidden="1" customWidth="1"/>
    <col min="15125" max="15125" width="15" customWidth="1"/>
    <col min="15126" max="15126" width="14" customWidth="1"/>
    <col min="15127" max="15127" width="10.140625" customWidth="1"/>
    <col min="15361" max="15361" width="33" customWidth="1"/>
    <col min="15362" max="15362" width="0" hidden="1" customWidth="1"/>
    <col min="15363" max="15363" width="22.85546875" customWidth="1"/>
    <col min="15364" max="15380" width="0" hidden="1" customWidth="1"/>
    <col min="15381" max="15381" width="15" customWidth="1"/>
    <col min="15382" max="15382" width="14" customWidth="1"/>
    <col min="15383" max="15383" width="10.140625" customWidth="1"/>
    <col min="15617" max="15617" width="33" customWidth="1"/>
    <col min="15618" max="15618" width="0" hidden="1" customWidth="1"/>
    <col min="15619" max="15619" width="22.85546875" customWidth="1"/>
    <col min="15620" max="15636" width="0" hidden="1" customWidth="1"/>
    <col min="15637" max="15637" width="15" customWidth="1"/>
    <col min="15638" max="15638" width="14" customWidth="1"/>
    <col min="15639" max="15639" width="10.140625" customWidth="1"/>
    <col min="15873" max="15873" width="33" customWidth="1"/>
    <col min="15874" max="15874" width="0" hidden="1" customWidth="1"/>
    <col min="15875" max="15875" width="22.85546875" customWidth="1"/>
    <col min="15876" max="15892" width="0" hidden="1" customWidth="1"/>
    <col min="15893" max="15893" width="15" customWidth="1"/>
    <col min="15894" max="15894" width="14" customWidth="1"/>
    <col min="15895" max="15895" width="10.140625" customWidth="1"/>
    <col min="16129" max="16129" width="33" customWidth="1"/>
    <col min="16130" max="16130" width="0" hidden="1" customWidth="1"/>
    <col min="16131" max="16131" width="22.85546875" customWidth="1"/>
    <col min="16132" max="16148" width="0" hidden="1" customWidth="1"/>
    <col min="16149" max="16149" width="15" customWidth="1"/>
    <col min="16150" max="16150" width="14" customWidth="1"/>
    <col min="16151" max="16151" width="10.140625" customWidth="1"/>
  </cols>
  <sheetData>
    <row r="3" spans="1:21" ht="15.75" thickBot="1" x14ac:dyDescent="0.3">
      <c r="A3" s="1" t="s">
        <v>0</v>
      </c>
    </row>
    <row r="4" spans="1:21" ht="41.25" customHeight="1" thickBot="1" x14ac:dyDescent="0.3">
      <c r="A4" s="5" t="s">
        <v>1</v>
      </c>
      <c r="B4" s="6" t="s">
        <v>2</v>
      </c>
      <c r="C4" s="7" t="s">
        <v>83</v>
      </c>
      <c r="D4" s="6" t="s">
        <v>4</v>
      </c>
      <c r="E4" s="7" t="s">
        <v>5</v>
      </c>
      <c r="F4" s="8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10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11" t="s">
        <v>18</v>
      </c>
      <c r="S4" s="12" t="s">
        <v>19</v>
      </c>
    </row>
    <row r="5" spans="1:21" ht="48.75" customHeight="1" x14ac:dyDescent="0.25">
      <c r="A5" s="13" t="s">
        <v>20</v>
      </c>
      <c r="B5" s="14"/>
      <c r="C5" s="15">
        <f>C7+C12+C17+C22+C32+C35+C39</f>
        <v>56005840</v>
      </c>
      <c r="D5" s="15">
        <f>D7+D12+D17+D22+D32+D35+D39</f>
        <v>56005670.559999995</v>
      </c>
      <c r="E5" s="15">
        <f>C5-D5</f>
        <v>169.44000000506639</v>
      </c>
      <c r="F5" s="16">
        <f t="shared" ref="F5:F20" si="0">G5+H5+I5+J5+K5+L5+M5+N5+O5+P5+Q5+R5</f>
        <v>51473096.499999993</v>
      </c>
      <c r="G5" s="15">
        <f>G6+G17+G22+G33+G39</f>
        <v>3924443.55</v>
      </c>
      <c r="H5" s="15">
        <f>H6+H17+H22+H33+H39</f>
        <v>3945453.14</v>
      </c>
      <c r="I5" s="15">
        <f>I6+I17+I22+I33+I39</f>
        <v>4640718.71</v>
      </c>
      <c r="J5" s="15">
        <f>J6+J17+J22+J33+J39</f>
        <v>4185543.05</v>
      </c>
      <c r="K5" s="15">
        <f>K6+K17+K22+K33+K39</f>
        <v>4200635.6900000004</v>
      </c>
      <c r="L5" s="15">
        <f>L6+L17+L22+L33+L39+L32</f>
        <v>4338205.54</v>
      </c>
      <c r="M5" s="15">
        <f>M6+M17+M22+M32+M33+M39</f>
        <v>4867422.8099999996</v>
      </c>
      <c r="N5" s="15">
        <f t="shared" ref="N5:S5" si="1">N6+N17+N22+N33+N39</f>
        <v>4440369.6099999994</v>
      </c>
      <c r="O5" s="15">
        <f t="shared" si="1"/>
        <v>4823424.2299999995</v>
      </c>
      <c r="P5" s="15">
        <f t="shared" si="1"/>
        <v>5065869.92</v>
      </c>
      <c r="Q5" s="15">
        <f t="shared" si="1"/>
        <v>3559359.94</v>
      </c>
      <c r="R5" s="15">
        <f t="shared" si="1"/>
        <v>3481650.3100000005</v>
      </c>
      <c r="S5" s="15">
        <f t="shared" si="1"/>
        <v>11913334.75</v>
      </c>
      <c r="U5" s="17"/>
    </row>
    <row r="6" spans="1:21" x14ac:dyDescent="0.25">
      <c r="A6" s="18" t="s">
        <v>21</v>
      </c>
      <c r="B6" s="19"/>
      <c r="C6" s="20"/>
      <c r="D6" s="20"/>
      <c r="E6" s="20"/>
      <c r="F6" s="20">
        <f t="shared" si="0"/>
        <v>12105664.23</v>
      </c>
      <c r="G6" s="20">
        <f>G7+G12+G9</f>
        <v>652573.16999999993</v>
      </c>
      <c r="H6" s="20">
        <f t="shared" ref="H6:P6" si="2">H7+H12</f>
        <v>837595.81</v>
      </c>
      <c r="I6" s="20">
        <f t="shared" si="2"/>
        <v>1200202.6599999999</v>
      </c>
      <c r="J6" s="20">
        <f t="shared" si="2"/>
        <v>1067992.78</v>
      </c>
      <c r="K6" s="20">
        <f t="shared" si="2"/>
        <v>1186757</v>
      </c>
      <c r="L6" s="20">
        <f t="shared" si="2"/>
        <v>1111173.6600000001</v>
      </c>
      <c r="M6" s="20">
        <f t="shared" si="2"/>
        <v>1684992.13</v>
      </c>
      <c r="N6" s="20">
        <f t="shared" si="2"/>
        <v>1212754.7799999998</v>
      </c>
      <c r="O6" s="20">
        <f t="shared" si="2"/>
        <v>1495310.03</v>
      </c>
      <c r="P6" s="20">
        <f t="shared" si="2"/>
        <v>1656312.21</v>
      </c>
      <c r="Q6" s="20"/>
      <c r="R6" s="20"/>
      <c r="S6" s="21"/>
      <c r="U6" s="22"/>
    </row>
    <row r="7" spans="1:21" x14ac:dyDescent="0.25">
      <c r="A7" s="18" t="s">
        <v>22</v>
      </c>
      <c r="B7" s="23"/>
      <c r="C7" s="24">
        <f>C8+C9</f>
        <v>5056820</v>
      </c>
      <c r="D7" s="24">
        <f>D8+D9</f>
        <v>5056806.66</v>
      </c>
      <c r="E7" s="24">
        <f>C7-D7</f>
        <v>13.339999999850988</v>
      </c>
      <c r="F7" s="24">
        <f t="shared" si="0"/>
        <v>5556862</v>
      </c>
      <c r="G7" s="24">
        <f t="shared" ref="G7:L7" si="3">G8+G9</f>
        <v>145865.82</v>
      </c>
      <c r="H7" s="24">
        <f t="shared" si="3"/>
        <v>198485.87</v>
      </c>
      <c r="I7" s="24">
        <f t="shared" si="3"/>
        <v>353025.2</v>
      </c>
      <c r="J7" s="24">
        <f t="shared" si="3"/>
        <v>242344.3</v>
      </c>
      <c r="K7" s="24">
        <f t="shared" si="3"/>
        <v>436249.56</v>
      </c>
      <c r="L7" s="24">
        <f t="shared" si="3"/>
        <v>438741.66000000003</v>
      </c>
      <c r="M7" s="24">
        <v>553175.18000000005</v>
      </c>
      <c r="N7" s="24">
        <f t="shared" ref="N7:S7" si="4">N8+N9</f>
        <v>566068.99</v>
      </c>
      <c r="O7" s="24">
        <f t="shared" si="4"/>
        <v>562974.16999999993</v>
      </c>
      <c r="P7" s="24">
        <f t="shared" si="4"/>
        <v>815484.70000000007</v>
      </c>
      <c r="Q7" s="24">
        <f t="shared" si="4"/>
        <v>601345.72</v>
      </c>
      <c r="R7" s="24">
        <f t="shared" si="4"/>
        <v>643100.83000000007</v>
      </c>
      <c r="S7" s="24">
        <f t="shared" si="4"/>
        <v>1559875.91</v>
      </c>
      <c r="U7" s="22"/>
    </row>
    <row r="8" spans="1:21" ht="25.5" x14ac:dyDescent="0.25">
      <c r="A8" s="25" t="s">
        <v>23</v>
      </c>
      <c r="B8" s="26"/>
      <c r="C8" s="27">
        <v>1844770.69</v>
      </c>
      <c r="D8" s="27">
        <f>131012.56+145865.82+131012.56+G8+H8+I8+J8+K8+L8+M8+N8+O8</f>
        <v>1844757.35</v>
      </c>
      <c r="E8" s="27">
        <f>C8-D8</f>
        <v>13.339999999850988</v>
      </c>
      <c r="F8" s="20">
        <f t="shared" si="0"/>
        <v>2000449.3</v>
      </c>
      <c r="G8" s="27">
        <v>145865.82</v>
      </c>
      <c r="H8" s="27">
        <v>131012.56</v>
      </c>
      <c r="I8" s="27">
        <v>190425.60000000001</v>
      </c>
      <c r="J8" s="27">
        <v>106697.99</v>
      </c>
      <c r="K8" s="27">
        <v>102026.32</v>
      </c>
      <c r="L8" s="28">
        <v>195706.72</v>
      </c>
      <c r="M8" s="28">
        <v>184510.6</v>
      </c>
      <c r="N8" s="28">
        <v>199120.98</v>
      </c>
      <c r="O8" s="28">
        <v>181499.82</v>
      </c>
      <c r="P8" s="28">
        <v>143261.15</v>
      </c>
      <c r="Q8" s="28">
        <v>245758.79</v>
      </c>
      <c r="R8" s="28">
        <v>174562.95</v>
      </c>
      <c r="S8" s="29">
        <v>407890.94</v>
      </c>
    </row>
    <row r="9" spans="1:21" ht="25.5" x14ac:dyDescent="0.25">
      <c r="A9" s="18" t="s">
        <v>24</v>
      </c>
      <c r="B9" s="23"/>
      <c r="C9" s="24">
        <v>3212049.31</v>
      </c>
      <c r="D9" s="24">
        <f>D10+D11</f>
        <v>3212049.3100000005</v>
      </c>
      <c r="E9" s="24">
        <f>C9-D9</f>
        <v>0</v>
      </c>
      <c r="F9" s="24">
        <f t="shared" si="0"/>
        <v>3556412.6999999997</v>
      </c>
      <c r="G9" s="24">
        <f>G10+G11</f>
        <v>0</v>
      </c>
      <c r="H9" s="24">
        <f>H10+H11</f>
        <v>67473.31</v>
      </c>
      <c r="I9" s="24">
        <v>162599.6</v>
      </c>
      <c r="J9" s="24">
        <f>J10+J11</f>
        <v>135646.31</v>
      </c>
      <c r="K9" s="24">
        <f>K10+K11</f>
        <v>334223.24</v>
      </c>
      <c r="L9" s="24">
        <f>L10+L11</f>
        <v>243034.94</v>
      </c>
      <c r="M9" s="24">
        <v>368664.58</v>
      </c>
      <c r="N9" s="24">
        <f t="shared" ref="N9:S9" si="5">N10+N11</f>
        <v>366948.01</v>
      </c>
      <c r="O9" s="24">
        <f t="shared" si="5"/>
        <v>381474.35</v>
      </c>
      <c r="P9" s="24">
        <f t="shared" si="5"/>
        <v>672223.55</v>
      </c>
      <c r="Q9" s="24">
        <f t="shared" si="5"/>
        <v>355586.93</v>
      </c>
      <c r="R9" s="24">
        <f t="shared" si="5"/>
        <v>468537.88</v>
      </c>
      <c r="S9" s="24">
        <f t="shared" si="5"/>
        <v>1151984.97</v>
      </c>
    </row>
    <row r="10" spans="1:21" x14ac:dyDescent="0.25">
      <c r="A10" s="18" t="s">
        <v>25</v>
      </c>
      <c r="B10" s="26"/>
      <c r="C10" s="27"/>
      <c r="D10" s="27">
        <f>266423.82+269170.4+178119.08+438271.67+G10+H10+I10+J10+K10+L10+M10+N10+O10</f>
        <v>3159372.7500000005</v>
      </c>
      <c r="E10" s="27"/>
      <c r="F10" s="20">
        <f t="shared" si="0"/>
        <v>3313004.14</v>
      </c>
      <c r="G10" s="27">
        <v>0</v>
      </c>
      <c r="H10" s="27">
        <v>67473.31</v>
      </c>
      <c r="I10" s="27">
        <v>162599.6</v>
      </c>
      <c r="J10" s="27">
        <v>135646.31</v>
      </c>
      <c r="K10" s="27">
        <v>334223.24</v>
      </c>
      <c r="L10" s="28">
        <v>243034.94</v>
      </c>
      <c r="M10" s="28">
        <v>315988.02</v>
      </c>
      <c r="N10" s="28">
        <v>366948.01</v>
      </c>
      <c r="O10" s="28">
        <v>381474.35</v>
      </c>
      <c r="P10" s="28">
        <v>596123.06000000006</v>
      </c>
      <c r="Q10" s="28">
        <v>339516.1</v>
      </c>
      <c r="R10" s="28">
        <v>369977.2</v>
      </c>
      <c r="S10" s="29">
        <v>1151984.97</v>
      </c>
    </row>
    <row r="11" spans="1:21" x14ac:dyDescent="0.25">
      <c r="A11" s="18" t="s">
        <v>26</v>
      </c>
      <c r="B11" s="26"/>
      <c r="C11" s="27"/>
      <c r="D11" s="27">
        <f>M11</f>
        <v>52676.56</v>
      </c>
      <c r="E11" s="27"/>
      <c r="F11" s="20">
        <f t="shared" si="0"/>
        <v>243408.56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8">
        <v>52676.56</v>
      </c>
      <c r="N11" s="28">
        <v>0</v>
      </c>
      <c r="O11" s="28">
        <v>0</v>
      </c>
      <c r="P11" s="28">
        <v>76100.490000000005</v>
      </c>
      <c r="Q11" s="28">
        <v>16070.83</v>
      </c>
      <c r="R11" s="28">
        <v>98560.68</v>
      </c>
      <c r="S11" s="29">
        <v>0</v>
      </c>
    </row>
    <row r="12" spans="1:21" ht="25.5" x14ac:dyDescent="0.25">
      <c r="A12" s="18" t="s">
        <v>27</v>
      </c>
      <c r="B12" s="23"/>
      <c r="C12" s="24">
        <f>C13+C16</f>
        <v>10109720</v>
      </c>
      <c r="D12" s="24">
        <f>D13+D16</f>
        <v>10109697.16</v>
      </c>
      <c r="E12" s="24">
        <f>C12-D12</f>
        <v>22.839999999850988</v>
      </c>
      <c r="F12" s="24">
        <f t="shared" si="0"/>
        <v>9587699.1500000022</v>
      </c>
      <c r="G12" s="24">
        <f t="shared" ref="G12:L12" si="6">G13+G16</f>
        <v>506707.35</v>
      </c>
      <c r="H12" s="24">
        <f t="shared" si="6"/>
        <v>639109.94000000006</v>
      </c>
      <c r="I12" s="24">
        <f t="shared" si="6"/>
        <v>847177.46</v>
      </c>
      <c r="J12" s="24">
        <f t="shared" si="6"/>
        <v>825648.48</v>
      </c>
      <c r="K12" s="24">
        <f t="shared" si="6"/>
        <v>750507.44000000006</v>
      </c>
      <c r="L12" s="24">
        <f t="shared" si="6"/>
        <v>672432</v>
      </c>
      <c r="M12" s="24">
        <v>1131816.95</v>
      </c>
      <c r="N12" s="24">
        <f t="shared" ref="N12:S12" si="7">N13+N16</f>
        <v>646685.78999999992</v>
      </c>
      <c r="O12" s="24">
        <f t="shared" si="7"/>
        <v>932335.8600000001</v>
      </c>
      <c r="P12" s="24">
        <f t="shared" si="7"/>
        <v>840827.51</v>
      </c>
      <c r="Q12" s="24">
        <f t="shared" si="7"/>
        <v>834151.25</v>
      </c>
      <c r="R12" s="24">
        <f t="shared" si="7"/>
        <v>960299.12000000011</v>
      </c>
      <c r="S12" s="24">
        <f t="shared" si="7"/>
        <v>3157275.89</v>
      </c>
    </row>
    <row r="13" spans="1:21" ht="25.5" x14ac:dyDescent="0.25">
      <c r="A13" s="30" t="s">
        <v>28</v>
      </c>
      <c r="B13" s="26"/>
      <c r="C13" s="27">
        <v>2580573.56</v>
      </c>
      <c r="D13" s="27">
        <f>D14+D15</f>
        <v>2580573.56</v>
      </c>
      <c r="E13" s="27"/>
      <c r="F13" s="20">
        <f t="shared" si="0"/>
        <v>2512749.1500000004</v>
      </c>
      <c r="G13" s="27">
        <f t="shared" ref="G13:L13" si="8">G14+G15</f>
        <v>11766.12</v>
      </c>
      <c r="H13" s="27">
        <f t="shared" si="8"/>
        <v>114370.39</v>
      </c>
      <c r="I13" s="27">
        <f t="shared" si="8"/>
        <v>194577.81</v>
      </c>
      <c r="J13" s="27">
        <f t="shared" si="8"/>
        <v>249910.7</v>
      </c>
      <c r="K13" s="27">
        <f t="shared" si="8"/>
        <v>144474.15</v>
      </c>
      <c r="L13" s="27">
        <f t="shared" si="8"/>
        <v>163869.60999999999</v>
      </c>
      <c r="M13" s="27">
        <v>501935.22</v>
      </c>
      <c r="N13" s="27">
        <f t="shared" ref="N13:S13" si="9">N14+N15</f>
        <v>27087.199999999997</v>
      </c>
      <c r="O13" s="27">
        <f t="shared" si="9"/>
        <v>378005.69</v>
      </c>
      <c r="P13" s="27">
        <f t="shared" si="9"/>
        <v>159568.13</v>
      </c>
      <c r="Q13" s="27">
        <f t="shared" si="9"/>
        <v>159033.91</v>
      </c>
      <c r="R13" s="27">
        <f t="shared" si="9"/>
        <v>408150.22000000003</v>
      </c>
      <c r="S13" s="27">
        <f t="shared" si="9"/>
        <v>794576.67</v>
      </c>
      <c r="U13" s="22"/>
    </row>
    <row r="14" spans="1:21" hidden="1" x14ac:dyDescent="0.25">
      <c r="A14" s="30" t="s">
        <v>29</v>
      </c>
      <c r="B14" s="26"/>
      <c r="C14" s="27"/>
      <c r="D14" s="27">
        <f>184815.09+233168.9+376592.68+G14+H14+I14+J13:J14+K14+L14+M14+N14+O14</f>
        <v>2500724.96</v>
      </c>
      <c r="E14" s="27"/>
      <c r="F14" s="20">
        <f t="shared" si="0"/>
        <v>2354752.5499999998</v>
      </c>
      <c r="G14" s="27">
        <v>11766.12</v>
      </c>
      <c r="H14" s="27">
        <v>114370.39</v>
      </c>
      <c r="I14" s="27">
        <v>194577.81</v>
      </c>
      <c r="J14" s="27">
        <v>249910.7</v>
      </c>
      <c r="K14" s="27">
        <v>144474.15</v>
      </c>
      <c r="L14" s="28">
        <v>163869.60999999999</v>
      </c>
      <c r="M14" s="28">
        <v>429567.87</v>
      </c>
      <c r="N14" s="28">
        <v>24392.71</v>
      </c>
      <c r="O14" s="28">
        <v>373218.93</v>
      </c>
      <c r="P14" s="28">
        <v>141932.35</v>
      </c>
      <c r="Q14" s="28">
        <v>111616.02</v>
      </c>
      <c r="R14" s="28">
        <v>395055.89</v>
      </c>
      <c r="S14" s="29">
        <v>794576.67</v>
      </c>
    </row>
    <row r="15" spans="1:21" hidden="1" x14ac:dyDescent="0.25">
      <c r="A15" s="30" t="s">
        <v>30</v>
      </c>
      <c r="B15" s="26"/>
      <c r="C15" s="27"/>
      <c r="D15" s="27">
        <f>M15+N15+O15</f>
        <v>79848.600000000006</v>
      </c>
      <c r="E15" s="27"/>
      <c r="F15" s="20">
        <f t="shared" si="0"/>
        <v>157996.6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8">
        <v>72367.350000000006</v>
      </c>
      <c r="N15" s="28">
        <v>2694.49</v>
      </c>
      <c r="O15" s="28">
        <v>4786.76</v>
      </c>
      <c r="P15" s="28">
        <v>17635.78</v>
      </c>
      <c r="Q15" s="28">
        <v>47417.89</v>
      </c>
      <c r="R15" s="28">
        <v>13094.33</v>
      </c>
      <c r="S15" s="29">
        <v>0</v>
      </c>
    </row>
    <row r="16" spans="1:21" ht="25.5" x14ac:dyDescent="0.25">
      <c r="A16" s="31" t="s">
        <v>31</v>
      </c>
      <c r="B16" s="19"/>
      <c r="C16" s="20">
        <v>7529146.4400000004</v>
      </c>
      <c r="D16" s="20">
        <f>586215.4+548932.82+589473.08+638077.92+G16+H16+I16+M16+N16+O16+J16+K16+L16</f>
        <v>7529123.5999999996</v>
      </c>
      <c r="E16" s="20">
        <f>C16-D16</f>
        <v>22.840000000782311</v>
      </c>
      <c r="F16" s="20">
        <f t="shared" si="0"/>
        <v>7074950</v>
      </c>
      <c r="G16" s="20">
        <v>494941.23</v>
      </c>
      <c r="H16" s="20">
        <v>524739.55000000005</v>
      </c>
      <c r="I16" s="20">
        <v>652599.65</v>
      </c>
      <c r="J16" s="20">
        <v>575737.78</v>
      </c>
      <c r="K16" s="20">
        <v>606033.29</v>
      </c>
      <c r="L16" s="32">
        <v>508562.39</v>
      </c>
      <c r="M16" s="32">
        <v>629881.73</v>
      </c>
      <c r="N16" s="32">
        <v>619598.59</v>
      </c>
      <c r="O16" s="32">
        <v>554330.17000000004</v>
      </c>
      <c r="P16" s="32">
        <v>681259.38</v>
      </c>
      <c r="Q16" s="32">
        <v>675117.34</v>
      </c>
      <c r="R16" s="32">
        <v>552148.9</v>
      </c>
      <c r="S16" s="33">
        <v>2362699.2200000002</v>
      </c>
      <c r="U16" s="22"/>
    </row>
    <row r="17" spans="1:21" ht="45" customHeight="1" x14ac:dyDescent="0.25">
      <c r="A17" s="18" t="s">
        <v>32</v>
      </c>
      <c r="B17" s="23"/>
      <c r="C17" s="24">
        <f>C18+C19+C20+C21</f>
        <v>1792199.9999999998</v>
      </c>
      <c r="D17" s="24">
        <f>D18+D19+D20+D21</f>
        <v>1792145.7799999998</v>
      </c>
      <c r="E17" s="24">
        <f>C17-D17</f>
        <v>54.21999999997206</v>
      </c>
      <c r="F17" s="24">
        <f t="shared" si="0"/>
        <v>1979223.6099999999</v>
      </c>
      <c r="G17" s="24">
        <f>G18+G19+G20</f>
        <v>47940.49</v>
      </c>
      <c r="H17" s="24">
        <f>H18+H19+H20</f>
        <v>100588.36</v>
      </c>
      <c r="I17" s="24">
        <f>I18+I19+I20</f>
        <v>221294.08000000002</v>
      </c>
      <c r="J17" s="24">
        <f>J18+J19+J20</f>
        <v>148223.09</v>
      </c>
      <c r="K17" s="24">
        <f>K18+K19+K20</f>
        <v>162794.85999999999</v>
      </c>
      <c r="L17" s="24">
        <f>L18+L19+L20+L21</f>
        <v>181186.38</v>
      </c>
      <c r="M17" s="24">
        <v>113092.43</v>
      </c>
      <c r="N17" s="24">
        <f>N18+N19+N20+N21</f>
        <v>237038.24000000002</v>
      </c>
      <c r="O17" s="24">
        <f>O18+O19+O20+O21</f>
        <v>131944.28999999998</v>
      </c>
      <c r="P17" s="24">
        <f>P18+P19+P20</f>
        <v>131881.19</v>
      </c>
      <c r="Q17" s="24">
        <f>Q18+Q19+Q20</f>
        <v>180588.53</v>
      </c>
      <c r="R17" s="24">
        <f>R18+R19+R20+R21</f>
        <v>322651.67000000004</v>
      </c>
      <c r="S17" s="24">
        <f>S18+S19+S20</f>
        <v>448050.19</v>
      </c>
      <c r="U17" s="22"/>
    </row>
    <row r="18" spans="1:21" ht="25.5" x14ac:dyDescent="0.25">
      <c r="A18" s="34" t="s">
        <v>33</v>
      </c>
      <c r="B18" s="26"/>
      <c r="C18" s="27">
        <v>110567.95</v>
      </c>
      <c r="D18" s="27">
        <f>G18+H18+I18+J18+K18+L18+M18+N18+O18</f>
        <v>110567.95</v>
      </c>
      <c r="E18" s="27">
        <f>C18-D18</f>
        <v>0</v>
      </c>
      <c r="F18" s="20">
        <f t="shared" si="0"/>
        <v>110567.95</v>
      </c>
      <c r="G18" s="27">
        <v>0</v>
      </c>
      <c r="H18" s="27">
        <v>0</v>
      </c>
      <c r="I18" s="27">
        <v>17003.89</v>
      </c>
      <c r="J18" s="27">
        <v>0</v>
      </c>
      <c r="K18" s="27">
        <v>4053.49</v>
      </c>
      <c r="L18" s="28">
        <v>8106.98</v>
      </c>
      <c r="M18" s="28">
        <v>25537</v>
      </c>
      <c r="N18" s="28">
        <v>55866.59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U18" s="22"/>
    </row>
    <row r="19" spans="1:21" x14ac:dyDescent="0.25">
      <c r="A19" s="34" t="s">
        <v>34</v>
      </c>
      <c r="B19" s="26"/>
      <c r="C19" s="27">
        <v>821355.82</v>
      </c>
      <c r="D19" s="27">
        <f>63381.56+65006.72+83696.16+G19+H19+I19+J19+K19+L19+M19+N19+O19</f>
        <v>821355.82000000007</v>
      </c>
      <c r="E19" s="27">
        <f>C19-D19</f>
        <v>0</v>
      </c>
      <c r="F19" s="20">
        <f t="shared" si="0"/>
        <v>874135.97999999986</v>
      </c>
      <c r="G19" s="27">
        <v>0</v>
      </c>
      <c r="H19" s="27">
        <v>65758.94</v>
      </c>
      <c r="I19" s="27">
        <v>140402.89000000001</v>
      </c>
      <c r="J19" s="27">
        <v>71224.73</v>
      </c>
      <c r="K19" s="27">
        <v>77439.360000000001</v>
      </c>
      <c r="L19" s="28">
        <v>14204.88</v>
      </c>
      <c r="M19" s="28">
        <v>63234.48</v>
      </c>
      <c r="N19" s="28">
        <v>81263.67</v>
      </c>
      <c r="O19" s="28">
        <v>95742.43</v>
      </c>
      <c r="P19" s="28">
        <v>36079.35</v>
      </c>
      <c r="Q19" s="28">
        <v>108035.4</v>
      </c>
      <c r="R19" s="28">
        <v>120749.85</v>
      </c>
      <c r="S19" s="29">
        <v>212084.44</v>
      </c>
    </row>
    <row r="20" spans="1:21" x14ac:dyDescent="0.25">
      <c r="A20" s="34" t="s">
        <v>35</v>
      </c>
      <c r="B20" s="26"/>
      <c r="C20" s="27">
        <v>761786.83</v>
      </c>
      <c r="D20" s="27">
        <f>74823.01+158233.66+2902.45+G20+H20+I20+J20+K20+L20+M20+N20+O20</f>
        <v>761732.60999999987</v>
      </c>
      <c r="E20" s="27">
        <f>C20-D20</f>
        <v>54.220000000088476</v>
      </c>
      <c r="F20" s="20">
        <f t="shared" si="0"/>
        <v>772485.84</v>
      </c>
      <c r="G20" s="27">
        <v>47940.49</v>
      </c>
      <c r="H20" s="27">
        <v>34829.42</v>
      </c>
      <c r="I20" s="27">
        <v>63887.3</v>
      </c>
      <c r="J20" s="27">
        <v>76998.36</v>
      </c>
      <c r="K20" s="27">
        <v>81302.009999999995</v>
      </c>
      <c r="L20" s="28">
        <v>139417.76</v>
      </c>
      <c r="M20" s="28">
        <v>0</v>
      </c>
      <c r="N20" s="28">
        <v>75530.460000000006</v>
      </c>
      <c r="O20" s="28">
        <v>5867.69</v>
      </c>
      <c r="P20" s="28">
        <v>95801.84</v>
      </c>
      <c r="Q20" s="28">
        <v>72553.13</v>
      </c>
      <c r="R20" s="28">
        <v>78357.38</v>
      </c>
      <c r="S20" s="29">
        <v>235965.75</v>
      </c>
    </row>
    <row r="21" spans="1:21" x14ac:dyDescent="0.25">
      <c r="A21" s="34" t="s">
        <v>36</v>
      </c>
      <c r="B21" s="26"/>
      <c r="C21" s="27">
        <v>98489.4</v>
      </c>
      <c r="D21" s="27">
        <f>L21+M21+N21+O21</f>
        <v>98489.4</v>
      </c>
      <c r="E21" s="27">
        <v>0</v>
      </c>
      <c r="F21" s="20"/>
      <c r="G21" s="27"/>
      <c r="H21" s="27"/>
      <c r="I21" s="27"/>
      <c r="J21" s="27">
        <v>0</v>
      </c>
      <c r="K21" s="27">
        <v>0</v>
      </c>
      <c r="L21" s="28">
        <v>19456.759999999998</v>
      </c>
      <c r="M21" s="28">
        <v>24320.95</v>
      </c>
      <c r="N21" s="28">
        <v>24377.52</v>
      </c>
      <c r="O21" s="28">
        <v>30334.17</v>
      </c>
      <c r="P21" s="28">
        <v>0</v>
      </c>
      <c r="Q21" s="28">
        <v>0</v>
      </c>
      <c r="R21" s="28">
        <v>123544.44</v>
      </c>
      <c r="S21" s="29">
        <v>0</v>
      </c>
    </row>
    <row r="22" spans="1:21" ht="25.5" x14ac:dyDescent="0.25">
      <c r="A22" s="18" t="s">
        <v>37</v>
      </c>
      <c r="B22" s="23"/>
      <c r="C22" s="24">
        <f>C23+C24+C25+C26+C27+C28+C29+C30+C31</f>
        <v>2979290</v>
      </c>
      <c r="D22" s="24">
        <f>D23+D24+D25+D26+D27+D28+D29+D30+D31</f>
        <v>2979245.0199999996</v>
      </c>
      <c r="E22" s="24">
        <f t="shared" ref="E22:E27" si="10">C22-D22</f>
        <v>44.980000000447035</v>
      </c>
      <c r="F22" s="24">
        <f t="shared" ref="F22:F43" si="11">G22+H22+I22+J22+K22+L22+M22+N22+O22+P22+Q22+R22</f>
        <v>2389961.02</v>
      </c>
      <c r="G22" s="24">
        <f t="shared" ref="G22:L22" si="12">G23+G24+G25+G26+G27+G28+G29+G30+G31</f>
        <v>279312.2</v>
      </c>
      <c r="H22" s="24">
        <f t="shared" si="12"/>
        <v>197165.97</v>
      </c>
      <c r="I22" s="24">
        <f t="shared" si="12"/>
        <v>173007.34</v>
      </c>
      <c r="J22" s="24">
        <f t="shared" si="12"/>
        <v>162444.84</v>
      </c>
      <c r="K22" s="24">
        <f t="shared" si="12"/>
        <v>209042.86</v>
      </c>
      <c r="L22" s="24">
        <f t="shared" si="12"/>
        <v>134362.94</v>
      </c>
      <c r="M22" s="24">
        <v>199552.8</v>
      </c>
      <c r="N22" s="24">
        <f t="shared" ref="N22:S22" si="13">N23+N24+N25+N26+N27+N28+N29+N30+N31</f>
        <v>207595.05000000002</v>
      </c>
      <c r="O22" s="24">
        <f t="shared" si="13"/>
        <v>189752.36000000002</v>
      </c>
      <c r="P22" s="24">
        <f t="shared" si="13"/>
        <v>251379.25</v>
      </c>
      <c r="Q22" s="24">
        <f t="shared" si="13"/>
        <v>210681.84</v>
      </c>
      <c r="R22" s="24">
        <f t="shared" si="13"/>
        <v>175663.57</v>
      </c>
      <c r="S22" s="24">
        <f t="shared" si="13"/>
        <v>1227007.6599999999</v>
      </c>
      <c r="U22" s="22"/>
    </row>
    <row r="23" spans="1:21" x14ac:dyDescent="0.25">
      <c r="A23" s="34" t="s">
        <v>38</v>
      </c>
      <c r="B23" s="26"/>
      <c r="C23" s="27">
        <v>132918.04</v>
      </c>
      <c r="D23" s="27">
        <f>10479.04+8706.7+9812.56+G23+H23+I23+J23+K23+L23+M23+N23+O23</f>
        <v>132918.04</v>
      </c>
      <c r="E23" s="27">
        <f t="shared" si="10"/>
        <v>0</v>
      </c>
      <c r="F23" s="20">
        <f t="shared" si="11"/>
        <v>159704.62</v>
      </c>
      <c r="G23" s="27">
        <v>0</v>
      </c>
      <c r="H23" s="27">
        <v>23922.32</v>
      </c>
      <c r="I23" s="27">
        <v>11961.16</v>
      </c>
      <c r="J23" s="27">
        <v>12251.38</v>
      </c>
      <c r="K23" s="27">
        <v>12251.38</v>
      </c>
      <c r="L23" s="28">
        <v>8706.7000000000007</v>
      </c>
      <c r="M23" s="28">
        <v>17413.400000000001</v>
      </c>
      <c r="N23" s="28">
        <v>8706.7000000000007</v>
      </c>
      <c r="O23" s="28">
        <v>8706.7000000000007</v>
      </c>
      <c r="P23" s="28">
        <v>26120.1</v>
      </c>
      <c r="Q23" s="28">
        <v>17413.400000000001</v>
      </c>
      <c r="R23" s="28">
        <v>12251.38</v>
      </c>
      <c r="S23" s="29">
        <v>28998.3</v>
      </c>
      <c r="U23" s="22"/>
    </row>
    <row r="24" spans="1:21" x14ac:dyDescent="0.25">
      <c r="A24" s="34" t="s">
        <v>39</v>
      </c>
      <c r="B24" s="26"/>
      <c r="C24" s="27">
        <v>975295.39</v>
      </c>
      <c r="D24" s="27">
        <f>195059.08+195059.08+438882.92+G24+I24+J24+K24+L24+M24</f>
        <v>975295.3899999999</v>
      </c>
      <c r="E24" s="27">
        <f t="shared" si="10"/>
        <v>0</v>
      </c>
      <c r="F24" s="20">
        <f t="shared" si="11"/>
        <v>146294.31</v>
      </c>
      <c r="G24" s="27">
        <v>146294.31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4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829001.08</v>
      </c>
      <c r="U24" s="22"/>
    </row>
    <row r="25" spans="1:21" x14ac:dyDescent="0.25">
      <c r="A25" s="30" t="s">
        <v>40</v>
      </c>
      <c r="B25" s="26"/>
      <c r="C25" s="27">
        <v>179709.27</v>
      </c>
      <c r="D25" s="27">
        <f>29807.11+12385.48+8551.68+G25+H25+I25+J25+K25+L25+M25+N25+O25</f>
        <v>179709.26999999996</v>
      </c>
      <c r="E25" s="27">
        <f t="shared" si="10"/>
        <v>0</v>
      </c>
      <c r="F25" s="20">
        <f t="shared" si="11"/>
        <v>171070.53</v>
      </c>
      <c r="G25" s="27">
        <v>29947.69</v>
      </c>
      <c r="H25" s="27">
        <v>14421.35</v>
      </c>
      <c r="I25" s="27">
        <v>12782.96</v>
      </c>
      <c r="J25" s="27">
        <v>20745.18</v>
      </c>
      <c r="K25" s="27">
        <v>2842.36</v>
      </c>
      <c r="L25" s="28">
        <v>8727.2099999999991</v>
      </c>
      <c r="M25" s="28">
        <v>15877.94</v>
      </c>
      <c r="N25" s="28">
        <v>15114.61</v>
      </c>
      <c r="O25" s="28">
        <v>8505.7000000000007</v>
      </c>
      <c r="P25" s="28">
        <v>9855.8700000000008</v>
      </c>
      <c r="Q25" s="28">
        <v>20671.099999999999</v>
      </c>
      <c r="R25" s="28">
        <v>11578.56</v>
      </c>
      <c r="S25" s="29">
        <v>50744.27</v>
      </c>
      <c r="U25" s="22"/>
    </row>
    <row r="26" spans="1:21" x14ac:dyDescent="0.25">
      <c r="A26" s="30" t="s">
        <v>41</v>
      </c>
      <c r="B26" s="26"/>
      <c r="C26" s="27">
        <v>54303.46</v>
      </c>
      <c r="D26" s="27">
        <f>6873.5+9913.2+G26+H26+I26+J26+K26+L26+M26+N26+O26</f>
        <v>54303.46</v>
      </c>
      <c r="E26" s="27">
        <f t="shared" si="10"/>
        <v>0</v>
      </c>
      <c r="F26" s="20">
        <f t="shared" si="11"/>
        <v>55380.04</v>
      </c>
      <c r="G26" s="27">
        <v>0</v>
      </c>
      <c r="H26" s="27">
        <v>9457.7999999999993</v>
      </c>
      <c r="I26" s="27">
        <v>0</v>
      </c>
      <c r="J26" s="27">
        <v>3398.56</v>
      </c>
      <c r="K26" s="27">
        <v>3398.56</v>
      </c>
      <c r="L26" s="28">
        <v>7232.36</v>
      </c>
      <c r="M26" s="28">
        <v>3398.56</v>
      </c>
      <c r="N26" s="28">
        <v>10630.92</v>
      </c>
      <c r="O26" s="28">
        <v>0</v>
      </c>
      <c r="P26" s="28">
        <v>7232.36</v>
      </c>
      <c r="Q26" s="28">
        <v>10630.92</v>
      </c>
      <c r="R26" s="28">
        <v>0</v>
      </c>
      <c r="S26" s="29">
        <v>16786.7</v>
      </c>
    </row>
    <row r="27" spans="1:21" x14ac:dyDescent="0.25">
      <c r="A27" s="30" t="s">
        <v>42</v>
      </c>
      <c r="B27" s="26"/>
      <c r="C27" s="27">
        <v>20545.14</v>
      </c>
      <c r="D27" s="27">
        <f>2643.06+1762.04+2202.55+G27+H27+I27+J27+K27+L27+M27+N27+O27</f>
        <v>20499.16</v>
      </c>
      <c r="E27" s="27">
        <f t="shared" si="10"/>
        <v>45.979999999999563</v>
      </c>
      <c r="F27" s="20">
        <f t="shared" si="11"/>
        <v>20074.070000000003</v>
      </c>
      <c r="G27" s="27">
        <v>1321.53</v>
      </c>
      <c r="H27" s="27">
        <v>2202.5500000000002</v>
      </c>
      <c r="I27" s="27">
        <v>1101.27</v>
      </c>
      <c r="J27" s="27">
        <v>1321.53</v>
      </c>
      <c r="K27" s="27">
        <v>2202.5500000000002</v>
      </c>
      <c r="L27" s="28">
        <v>881.02</v>
      </c>
      <c r="M27" s="28">
        <v>2658.51</v>
      </c>
      <c r="N27" s="28">
        <v>881.02</v>
      </c>
      <c r="O27" s="28">
        <v>1321.53</v>
      </c>
      <c r="P27" s="28">
        <v>3099.01</v>
      </c>
      <c r="Q27" s="28">
        <v>1762.03</v>
      </c>
      <c r="R27" s="28">
        <v>1321.52</v>
      </c>
      <c r="S27" s="29">
        <v>6607.65</v>
      </c>
      <c r="U27" s="22"/>
    </row>
    <row r="28" spans="1:21" x14ac:dyDescent="0.25">
      <c r="A28" s="34" t="s">
        <v>43</v>
      </c>
      <c r="B28" s="26"/>
      <c r="C28" s="27">
        <v>24013.439999999999</v>
      </c>
      <c r="D28" s="27">
        <f>1638.28+1637.28+1637.28+G28+H28+I28+J28+K28+L28+M28+N28+O28</f>
        <v>24014.440000000006</v>
      </c>
      <c r="E28" s="27">
        <v>0</v>
      </c>
      <c r="F28" s="20">
        <f t="shared" si="11"/>
        <v>25650.720000000005</v>
      </c>
      <c r="G28" s="27">
        <v>1637.28</v>
      </c>
      <c r="H28" s="27">
        <v>2183.04</v>
      </c>
      <c r="I28" s="27">
        <v>2183.04</v>
      </c>
      <c r="J28" s="27">
        <v>2183.04</v>
      </c>
      <c r="K28" s="27">
        <v>2183.04</v>
      </c>
      <c r="L28" s="32">
        <v>2183.04</v>
      </c>
      <c r="M28" s="28">
        <v>2183.04</v>
      </c>
      <c r="N28" s="28">
        <v>2183.04</v>
      </c>
      <c r="O28" s="28">
        <v>2183.04</v>
      </c>
      <c r="P28" s="28">
        <v>2183.04</v>
      </c>
      <c r="Q28" s="28">
        <v>2183.04</v>
      </c>
      <c r="R28" s="28">
        <v>2183.04</v>
      </c>
      <c r="S28" s="29">
        <v>4911.84</v>
      </c>
      <c r="U28" s="22"/>
    </row>
    <row r="29" spans="1:21" x14ac:dyDescent="0.25">
      <c r="A29" s="34" t="s">
        <v>44</v>
      </c>
      <c r="B29" s="26"/>
      <c r="C29" s="27">
        <v>103763.5</v>
      </c>
      <c r="D29" s="27">
        <f>10376.35+10376.35+G29+H29+I29+J29+K29+L29+M29+N29+O29</f>
        <v>103763.50000000001</v>
      </c>
      <c r="E29" s="27">
        <f>C29-D29</f>
        <v>0</v>
      </c>
      <c r="F29" s="20">
        <f t="shared" si="11"/>
        <v>114139.85000000002</v>
      </c>
      <c r="G29" s="27">
        <v>10376.35</v>
      </c>
      <c r="H29" s="27">
        <v>10376.35</v>
      </c>
      <c r="I29" s="27">
        <v>10376.35</v>
      </c>
      <c r="J29" s="27">
        <v>10376.35</v>
      </c>
      <c r="K29" s="27">
        <v>10376.35</v>
      </c>
      <c r="L29" s="28">
        <v>10376.35</v>
      </c>
      <c r="M29" s="28">
        <v>10376.35</v>
      </c>
      <c r="N29" s="28">
        <v>0</v>
      </c>
      <c r="O29" s="28">
        <v>10376.35</v>
      </c>
      <c r="P29" s="28">
        <v>10376.35</v>
      </c>
      <c r="Q29" s="28">
        <v>10376.35</v>
      </c>
      <c r="R29" s="28">
        <v>10376.35</v>
      </c>
      <c r="S29" s="29">
        <v>20752.7</v>
      </c>
    </row>
    <row r="30" spans="1:21" x14ac:dyDescent="0.25">
      <c r="A30" s="34" t="s">
        <v>45</v>
      </c>
      <c r="B30" s="26"/>
      <c r="C30" s="27">
        <v>1488741.76</v>
      </c>
      <c r="D30" s="27">
        <f>89735.04+89735.04+89735.04+G30+H30+I30+J30+K30+L30+M30+N30+O30</f>
        <v>1488741.76</v>
      </c>
      <c r="E30" s="27">
        <f>C30-D30</f>
        <v>0</v>
      </c>
      <c r="F30" s="20">
        <f t="shared" si="11"/>
        <v>1697646.8800000001</v>
      </c>
      <c r="G30" s="27">
        <v>89735.039999999994</v>
      </c>
      <c r="H30" s="27">
        <v>134602.56</v>
      </c>
      <c r="I30" s="27">
        <v>134602.56</v>
      </c>
      <c r="J30" s="27">
        <v>112168.8</v>
      </c>
      <c r="K30" s="27">
        <v>175788.62</v>
      </c>
      <c r="L30" s="28">
        <v>96256.26</v>
      </c>
      <c r="M30" s="28">
        <v>147645</v>
      </c>
      <c r="N30" s="28">
        <v>170078.76</v>
      </c>
      <c r="O30" s="28">
        <v>158659.04</v>
      </c>
      <c r="P30" s="28">
        <v>192512.52</v>
      </c>
      <c r="Q30" s="28">
        <v>147645</v>
      </c>
      <c r="R30" s="28">
        <v>137952.72</v>
      </c>
      <c r="S30" s="29">
        <v>269205.12</v>
      </c>
    </row>
    <row r="31" spans="1:21" x14ac:dyDescent="0.25">
      <c r="A31" s="34" t="s">
        <v>46</v>
      </c>
      <c r="B31" s="26"/>
      <c r="C31" s="27">
        <v>0</v>
      </c>
      <c r="D31" s="27">
        <v>0</v>
      </c>
      <c r="E31" s="27">
        <f>C31-D31</f>
        <v>0</v>
      </c>
      <c r="F31" s="20">
        <f t="shared" si="11"/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21" x14ac:dyDescent="0.25">
      <c r="A32" s="18" t="s">
        <v>47</v>
      </c>
      <c r="B32" s="23"/>
      <c r="C32" s="24">
        <v>12470</v>
      </c>
      <c r="D32" s="24">
        <f>2000+G32+H32+2000+2580+K32+L32+M32+N32+O32</f>
        <v>12457.24</v>
      </c>
      <c r="E32" s="27">
        <f>C32-D32</f>
        <v>12.760000000000218</v>
      </c>
      <c r="F32" s="24">
        <f t="shared" si="11"/>
        <v>15768.44</v>
      </c>
      <c r="G32" s="24">
        <v>0</v>
      </c>
      <c r="H32" s="24">
        <v>0</v>
      </c>
      <c r="I32" s="24">
        <v>1625.17</v>
      </c>
      <c r="J32" s="24">
        <v>2577.7399999999998</v>
      </c>
      <c r="K32" s="24">
        <v>0</v>
      </c>
      <c r="L32" s="35">
        <v>697.73</v>
      </c>
      <c r="M32" s="35">
        <v>3765.78</v>
      </c>
      <c r="N32" s="35">
        <v>56.55</v>
      </c>
      <c r="O32" s="35">
        <v>1357.18</v>
      </c>
      <c r="P32" s="35">
        <v>1542.26</v>
      </c>
      <c r="Q32" s="35">
        <v>725.76</v>
      </c>
      <c r="R32" s="35">
        <v>3420.27</v>
      </c>
      <c r="S32" s="36">
        <v>2000</v>
      </c>
    </row>
    <row r="33" spans="1:21" ht="25.5" x14ac:dyDescent="0.25">
      <c r="A33" s="18" t="s">
        <v>48</v>
      </c>
      <c r="B33" s="23"/>
      <c r="C33" s="24">
        <v>0</v>
      </c>
      <c r="D33" s="24">
        <v>0</v>
      </c>
      <c r="E33" s="24">
        <f>E34+E35</f>
        <v>-23.119999997317791</v>
      </c>
      <c r="F33" s="24">
        <f t="shared" si="11"/>
        <v>34282510.019999996</v>
      </c>
      <c r="G33" s="24">
        <f>G35</f>
        <v>2870652.08</v>
      </c>
      <c r="H33" s="24">
        <f>H35</f>
        <v>2752281.1</v>
      </c>
      <c r="I33" s="24">
        <f>I35</f>
        <v>2996517.08</v>
      </c>
      <c r="J33" s="24">
        <v>2736026.46</v>
      </c>
      <c r="K33" s="24">
        <f>K35</f>
        <v>2580660.1100000003</v>
      </c>
      <c r="L33" s="24">
        <f>L35</f>
        <v>2862877.54</v>
      </c>
      <c r="M33" s="24">
        <v>2811671.04</v>
      </c>
      <c r="N33" s="24">
        <f t="shared" ref="N33:S33" si="14">N35</f>
        <v>2714772.73</v>
      </c>
      <c r="O33" s="24">
        <f t="shared" si="14"/>
        <v>2957047.17</v>
      </c>
      <c r="P33" s="24">
        <f t="shared" si="14"/>
        <v>2963709.48</v>
      </c>
      <c r="Q33" s="24">
        <f t="shared" si="14"/>
        <v>3102114.84</v>
      </c>
      <c r="R33" s="24">
        <f t="shared" si="14"/>
        <v>2934180.39</v>
      </c>
      <c r="S33" s="24">
        <f t="shared" si="14"/>
        <v>10033064.470000001</v>
      </c>
      <c r="U33" s="22"/>
    </row>
    <row r="34" spans="1:21" ht="25.5" x14ac:dyDescent="0.25">
      <c r="A34" s="30" t="s">
        <v>49</v>
      </c>
      <c r="B34" s="26"/>
      <c r="C34" s="27">
        <v>0</v>
      </c>
      <c r="D34" s="27">
        <v>0</v>
      </c>
      <c r="E34" s="27"/>
      <c r="F34" s="20">
        <f t="shared" si="11"/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8"/>
      <c r="M34" s="28"/>
      <c r="N34" s="28">
        <v>0</v>
      </c>
      <c r="O34" s="28"/>
      <c r="P34" s="28">
        <v>0</v>
      </c>
      <c r="Q34" s="28"/>
      <c r="R34" s="28"/>
      <c r="S34" s="29"/>
    </row>
    <row r="35" spans="1:21" ht="25.5" x14ac:dyDescent="0.25">
      <c r="A35" s="30" t="s">
        <v>50</v>
      </c>
      <c r="B35" s="26"/>
      <c r="C35" s="27">
        <v>35316530</v>
      </c>
      <c r="D35" s="27">
        <f>D36+D37+D38</f>
        <v>35316553.119999997</v>
      </c>
      <c r="E35" s="27">
        <f>C35-D35</f>
        <v>-23.119999997317791</v>
      </c>
      <c r="F35" s="20">
        <f t="shared" si="11"/>
        <v>34282510.019999996</v>
      </c>
      <c r="G35" s="27">
        <f t="shared" ref="G35:L35" si="15">G36+G37+G38</f>
        <v>2870652.08</v>
      </c>
      <c r="H35" s="27">
        <f t="shared" si="15"/>
        <v>2752281.1</v>
      </c>
      <c r="I35" s="27">
        <f t="shared" si="15"/>
        <v>2996517.08</v>
      </c>
      <c r="J35" s="27">
        <f t="shared" si="15"/>
        <v>2736026.46</v>
      </c>
      <c r="K35" s="27">
        <f t="shared" si="15"/>
        <v>2580660.1100000003</v>
      </c>
      <c r="L35" s="27">
        <f t="shared" si="15"/>
        <v>2862877.54</v>
      </c>
      <c r="M35" s="27">
        <v>2811671.04</v>
      </c>
      <c r="N35" s="27">
        <f>N36+N37+N38</f>
        <v>2714772.73</v>
      </c>
      <c r="O35" s="27">
        <f>O36+O37+O38</f>
        <v>2957047.17</v>
      </c>
      <c r="P35" s="27">
        <f>P36+P37+P38</f>
        <v>2963709.48</v>
      </c>
      <c r="Q35" s="27">
        <f>Q36+Q37+Q38</f>
        <v>3102114.84</v>
      </c>
      <c r="R35" s="27">
        <v>2934180.39</v>
      </c>
      <c r="S35" s="27">
        <v>10033064.470000001</v>
      </c>
      <c r="T35" s="17"/>
    </row>
    <row r="36" spans="1:21" hidden="1" x14ac:dyDescent="0.25">
      <c r="A36" s="34" t="s">
        <v>51</v>
      </c>
      <c r="B36" s="26"/>
      <c r="C36" s="27"/>
      <c r="D36" s="27">
        <f>4796269.7+G36+H36+I36+J36+K36+L36+M36+N36+O36</f>
        <v>18430879.350000001</v>
      </c>
      <c r="E36" s="27"/>
      <c r="F36" s="20">
        <f t="shared" si="11"/>
        <v>17050912.780000001</v>
      </c>
      <c r="G36" s="27">
        <v>1552793.8</v>
      </c>
      <c r="H36" s="27">
        <v>1448924.52</v>
      </c>
      <c r="I36" s="27">
        <v>1570116.31</v>
      </c>
      <c r="J36" s="27">
        <v>1467345.01</v>
      </c>
      <c r="K36" s="27">
        <v>1415140.75</v>
      </c>
      <c r="L36" s="28">
        <v>1493502.59</v>
      </c>
      <c r="M36" s="28">
        <v>1605408.32</v>
      </c>
      <c r="N36" s="28">
        <v>1460407.62</v>
      </c>
      <c r="O36" s="28">
        <v>1620970.73</v>
      </c>
      <c r="P36" s="28">
        <v>1702342.39</v>
      </c>
      <c r="Q36" s="28">
        <v>1713960.74</v>
      </c>
      <c r="R36" s="28"/>
      <c r="S36" s="29"/>
    </row>
    <row r="37" spans="1:21" hidden="1" x14ac:dyDescent="0.25">
      <c r="A37" s="34" t="s">
        <v>52</v>
      </c>
      <c r="B37" s="26"/>
      <c r="C37" s="27"/>
      <c r="D37" s="27">
        <f>713790.61+G37+H37+I37+J37+K37+L37+M37+N37+O37</f>
        <v>1843454.3599999999</v>
      </c>
      <c r="E37" s="27"/>
      <c r="F37" s="20">
        <f t="shared" si="11"/>
        <v>1355029.22</v>
      </c>
      <c r="G37" s="27">
        <v>161571.85</v>
      </c>
      <c r="H37" s="27">
        <v>132012.82999999999</v>
      </c>
      <c r="I37" s="27">
        <v>135365.84</v>
      </c>
      <c r="J37" s="27">
        <v>126176.29</v>
      </c>
      <c r="K37" s="27">
        <v>118657.33</v>
      </c>
      <c r="L37" s="28">
        <v>121704.48</v>
      </c>
      <c r="M37" s="28">
        <v>112547.79</v>
      </c>
      <c r="N37" s="28">
        <v>119494.63</v>
      </c>
      <c r="O37" s="28">
        <v>102132.71</v>
      </c>
      <c r="P37" s="28">
        <v>118198.08</v>
      </c>
      <c r="Q37" s="28">
        <v>107167.39</v>
      </c>
      <c r="R37" s="28"/>
      <c r="S37" s="29"/>
    </row>
    <row r="38" spans="1:21" hidden="1" x14ac:dyDescent="0.25">
      <c r="A38" s="34" t="s">
        <v>53</v>
      </c>
      <c r="B38" s="26"/>
      <c r="C38" s="27"/>
      <c r="D38" s="27">
        <f>4523004.06+G38+H38+I38+J38+K38+L38+M38+N38+O38+983.44</f>
        <v>15042219.409999998</v>
      </c>
      <c r="E38" s="27"/>
      <c r="F38" s="20">
        <f t="shared" si="11"/>
        <v>12942387.629999999</v>
      </c>
      <c r="G38" s="27">
        <v>1156286.43</v>
      </c>
      <c r="H38" s="27">
        <v>1171343.75</v>
      </c>
      <c r="I38" s="27">
        <v>1291034.93</v>
      </c>
      <c r="J38" s="27">
        <v>1142505.1599999999</v>
      </c>
      <c r="K38" s="27">
        <v>1046862.03</v>
      </c>
      <c r="L38" s="28">
        <v>1247670.47</v>
      </c>
      <c r="M38" s="28">
        <v>1093714.93</v>
      </c>
      <c r="N38" s="28">
        <v>1134870.48</v>
      </c>
      <c r="O38" s="28">
        <v>1233943.73</v>
      </c>
      <c r="P38" s="28">
        <v>1143169.01</v>
      </c>
      <c r="Q38" s="28">
        <v>1280986.71</v>
      </c>
      <c r="R38" s="28"/>
      <c r="S38" s="29"/>
    </row>
    <row r="39" spans="1:21" ht="47.25" customHeight="1" x14ac:dyDescent="0.25">
      <c r="A39" s="18" t="s">
        <v>54</v>
      </c>
      <c r="B39" s="19"/>
      <c r="C39" s="20">
        <v>738810</v>
      </c>
      <c r="D39" s="20">
        <f>81440.49+54827.19+68940.99+G39+H39+I39+J39+K39+L39+M39+N39+O39</f>
        <v>738765.58</v>
      </c>
      <c r="E39" s="20">
        <f>C39-D39</f>
        <v>44.42000000004191</v>
      </c>
      <c r="F39" s="20">
        <f t="shared" si="11"/>
        <v>711274.11</v>
      </c>
      <c r="G39" s="20">
        <v>73965.61</v>
      </c>
      <c r="H39" s="20">
        <v>57821.9</v>
      </c>
      <c r="I39" s="20">
        <v>49697.55</v>
      </c>
      <c r="J39" s="20">
        <v>70855.88</v>
      </c>
      <c r="K39" s="20">
        <v>61380.86</v>
      </c>
      <c r="L39" s="32">
        <v>47907.29</v>
      </c>
      <c r="M39" s="32">
        <v>54348.63</v>
      </c>
      <c r="N39" s="32">
        <v>68208.81</v>
      </c>
      <c r="O39" s="32">
        <v>49370.38</v>
      </c>
      <c r="P39" s="32">
        <v>62587.79</v>
      </c>
      <c r="Q39" s="32">
        <v>65974.73</v>
      </c>
      <c r="R39" s="32">
        <v>49154.68</v>
      </c>
      <c r="S39" s="21">
        <v>205212.43</v>
      </c>
    </row>
    <row r="40" spans="1:21" ht="45.75" customHeight="1" x14ac:dyDescent="0.25">
      <c r="A40" s="18" t="s">
        <v>55</v>
      </c>
      <c r="B40" s="19"/>
      <c r="C40" s="20">
        <f>C41+C44+C46</f>
        <v>2484739.6</v>
      </c>
      <c r="D40" s="20">
        <f>D41+D46+D44+D45</f>
        <v>2484717.6199999996</v>
      </c>
      <c r="E40" s="20">
        <f>E41+E46</f>
        <v>21.98000000033062</v>
      </c>
      <c r="F40" s="20">
        <f t="shared" si="11"/>
        <v>2293224.7800000003</v>
      </c>
      <c r="G40" s="20">
        <f>G41+G44+G46</f>
        <v>158392</v>
      </c>
      <c r="H40" s="20">
        <f>H41+H44+H46</f>
        <v>207004.65</v>
      </c>
      <c r="I40" s="20">
        <f>I41+I44+I46</f>
        <v>171829.05</v>
      </c>
      <c r="J40" s="20">
        <f>J41+J44+J46</f>
        <v>207460.58000000002</v>
      </c>
      <c r="K40" s="20">
        <f>K41+K44+K46</f>
        <v>166797.12</v>
      </c>
      <c r="L40" s="20">
        <f>L41+L44+L46+L45</f>
        <v>197371.3</v>
      </c>
      <c r="M40" s="20">
        <v>138170</v>
      </c>
      <c r="N40" s="20">
        <f t="shared" ref="N40:S40" si="16">N41+N44+N46</f>
        <v>294812.51</v>
      </c>
      <c r="O40" s="20">
        <f t="shared" si="16"/>
        <v>270340.06</v>
      </c>
      <c r="P40" s="20">
        <f t="shared" si="16"/>
        <v>142379.51</v>
      </c>
      <c r="Q40" s="20">
        <f t="shared" si="16"/>
        <v>154623.4</v>
      </c>
      <c r="R40" s="20">
        <f t="shared" si="16"/>
        <v>184044.6</v>
      </c>
      <c r="S40" s="20">
        <f t="shared" si="16"/>
        <v>670429.9</v>
      </c>
      <c r="U40" s="22"/>
    </row>
    <row r="41" spans="1:21" ht="25.5" x14ac:dyDescent="0.25">
      <c r="A41" s="37" t="s">
        <v>56</v>
      </c>
      <c r="B41" s="23"/>
      <c r="C41" s="24">
        <f>C42+C43</f>
        <v>1799309.6</v>
      </c>
      <c r="D41" s="24">
        <f>D42+D43</f>
        <v>1799311.1999999997</v>
      </c>
      <c r="E41" s="24">
        <f>C41-D41</f>
        <v>-1.599999999627471</v>
      </c>
      <c r="F41" s="24">
        <f t="shared" si="11"/>
        <v>1757938.8</v>
      </c>
      <c r="G41" s="24">
        <f t="shared" ref="G41:L41" si="17">G42+G43</f>
        <v>158392</v>
      </c>
      <c r="H41" s="24">
        <f t="shared" si="17"/>
        <v>161756</v>
      </c>
      <c r="I41" s="24">
        <f t="shared" si="17"/>
        <v>162320</v>
      </c>
      <c r="J41" s="24">
        <f t="shared" si="17"/>
        <v>141448</v>
      </c>
      <c r="K41" s="24">
        <f t="shared" si="17"/>
        <v>137762.4</v>
      </c>
      <c r="L41" s="24">
        <f t="shared" si="17"/>
        <v>148238.39999999999</v>
      </c>
      <c r="M41" s="24">
        <v>135336</v>
      </c>
      <c r="N41" s="24">
        <f t="shared" ref="N41:S41" si="18">N42+N43</f>
        <v>141504</v>
      </c>
      <c r="O41" s="24">
        <f t="shared" si="18"/>
        <v>142824</v>
      </c>
      <c r="P41" s="24">
        <f t="shared" si="18"/>
        <v>137052</v>
      </c>
      <c r="Q41" s="24">
        <f t="shared" si="18"/>
        <v>150744</v>
      </c>
      <c r="R41" s="24">
        <f t="shared" si="18"/>
        <v>140562</v>
      </c>
      <c r="S41" s="24">
        <f t="shared" si="18"/>
        <v>469730.4</v>
      </c>
      <c r="T41" s="22"/>
    </row>
    <row r="42" spans="1:21" ht="25.5" x14ac:dyDescent="0.25">
      <c r="A42" s="38" t="s">
        <v>57</v>
      </c>
      <c r="B42" s="26"/>
      <c r="C42" s="27">
        <v>78902</v>
      </c>
      <c r="D42" s="27">
        <f>6480+7980+7322.4+G42+H42+I42+J42+K42+L42+M42+N42+O42</f>
        <v>78902.399999999994</v>
      </c>
      <c r="E42" s="27">
        <f>C42-D42</f>
        <v>-0.39999999999417923</v>
      </c>
      <c r="F42" s="20">
        <f t="shared" si="11"/>
        <v>72708</v>
      </c>
      <c r="G42" s="27">
        <v>5040</v>
      </c>
      <c r="H42" s="27">
        <v>9960</v>
      </c>
      <c r="I42" s="27">
        <v>6840</v>
      </c>
      <c r="J42" s="27">
        <v>4200</v>
      </c>
      <c r="K42" s="27">
        <v>7080</v>
      </c>
      <c r="L42" s="28">
        <v>6960</v>
      </c>
      <c r="M42" s="28">
        <v>3120</v>
      </c>
      <c r="N42" s="28">
        <v>7800</v>
      </c>
      <c r="O42" s="28">
        <v>6120</v>
      </c>
      <c r="P42" s="28">
        <v>3108</v>
      </c>
      <c r="Q42" s="28">
        <v>7440</v>
      </c>
      <c r="R42" s="28">
        <v>5040</v>
      </c>
      <c r="S42" s="39">
        <v>21782.400000000001</v>
      </c>
    </row>
    <row r="43" spans="1:21" ht="38.25" x14ac:dyDescent="0.25">
      <c r="A43" s="40" t="s">
        <v>58</v>
      </c>
      <c r="B43" s="26"/>
      <c r="C43" s="27">
        <v>1720407.6</v>
      </c>
      <c r="D43" s="27">
        <f>141540+135480+170928+G43+H43+I43+J43+K43+L43+M43+N43+O43</f>
        <v>1720408.7999999998</v>
      </c>
      <c r="E43" s="27">
        <f>C43-D43</f>
        <v>-1.1999999997206032</v>
      </c>
      <c r="F43" s="20">
        <f t="shared" si="11"/>
        <v>1685230.8</v>
      </c>
      <c r="G43" s="27">
        <v>153352</v>
      </c>
      <c r="H43" s="27">
        <v>151796</v>
      </c>
      <c r="I43" s="27">
        <v>155480</v>
      </c>
      <c r="J43" s="27">
        <v>137248</v>
      </c>
      <c r="K43" s="27">
        <v>130682.4</v>
      </c>
      <c r="L43" s="28">
        <v>141278.39999999999</v>
      </c>
      <c r="M43" s="28">
        <v>132216</v>
      </c>
      <c r="N43" s="28">
        <v>133704</v>
      </c>
      <c r="O43" s="28">
        <v>136704</v>
      </c>
      <c r="P43" s="28">
        <v>133944</v>
      </c>
      <c r="Q43" s="28">
        <v>143304</v>
      </c>
      <c r="R43" s="28">
        <v>135522</v>
      </c>
      <c r="S43" s="39">
        <v>447948</v>
      </c>
    </row>
    <row r="44" spans="1:21" x14ac:dyDescent="0.25">
      <c r="A44" s="41" t="s">
        <v>59</v>
      </c>
      <c r="B44" s="26"/>
      <c r="C44" s="27">
        <v>68460</v>
      </c>
      <c r="D44" s="27">
        <f>5129.5+G44+H44+I44+J44+L44+M44+O44-6.53</f>
        <v>17506.580000000002</v>
      </c>
      <c r="E44" s="27">
        <f>C44-D44-D45</f>
        <v>0</v>
      </c>
      <c r="F44" s="20">
        <f>G44+H44+I44+J44+K44+L44+M44+N44+O44+P44+Q44+R44</f>
        <v>26160.120000000003</v>
      </c>
      <c r="G44" s="27">
        <v>0</v>
      </c>
      <c r="H44" s="27">
        <v>0</v>
      </c>
      <c r="I44" s="27">
        <v>9509.0499999999993</v>
      </c>
      <c r="J44" s="27">
        <v>0</v>
      </c>
      <c r="K44" s="27">
        <v>0</v>
      </c>
      <c r="L44" s="32">
        <v>0</v>
      </c>
      <c r="M44" s="28">
        <v>0</v>
      </c>
      <c r="N44" s="28">
        <v>0</v>
      </c>
      <c r="O44" s="28">
        <v>2874.56</v>
      </c>
      <c r="P44" s="28">
        <v>5327.51</v>
      </c>
      <c r="Q44" s="28">
        <v>3879.4</v>
      </c>
      <c r="R44" s="28">
        <v>4569.6000000000004</v>
      </c>
      <c r="S44" s="39">
        <v>5129.5</v>
      </c>
    </row>
    <row r="45" spans="1:21" x14ac:dyDescent="0.25">
      <c r="A45" s="41" t="s">
        <v>60</v>
      </c>
      <c r="B45" s="26"/>
      <c r="C45" s="27"/>
      <c r="D45" s="27">
        <f>L45+M45+N45</f>
        <v>50953.42</v>
      </c>
      <c r="E45" s="27"/>
      <c r="F45" s="20">
        <f>G45+H45+I45+J45+K45+L45+M45+N45+O45+P45+Q45+R45+S45</f>
        <v>50953.42</v>
      </c>
      <c r="G45" s="27"/>
      <c r="H45" s="27"/>
      <c r="I45" s="27"/>
      <c r="J45" s="27"/>
      <c r="K45" s="27"/>
      <c r="L45" s="32">
        <v>48849.5</v>
      </c>
      <c r="M45" s="28">
        <v>0</v>
      </c>
      <c r="N45" s="28">
        <v>2103.92</v>
      </c>
      <c r="O45" s="28">
        <v>0</v>
      </c>
      <c r="P45" s="28">
        <v>0</v>
      </c>
      <c r="Q45" s="28">
        <v>0</v>
      </c>
      <c r="R45" s="28">
        <v>0</v>
      </c>
      <c r="S45" s="39">
        <v>0</v>
      </c>
    </row>
    <row r="46" spans="1:21" ht="26.25" thickBot="1" x14ac:dyDescent="0.3">
      <c r="A46" s="18" t="s">
        <v>61</v>
      </c>
      <c r="B46" s="23"/>
      <c r="C46" s="24">
        <v>616970</v>
      </c>
      <c r="D46" s="24">
        <f>D47+D48</f>
        <v>616946.42000000004</v>
      </c>
      <c r="E46" s="24">
        <f>C46-D46</f>
        <v>23.57999999995809</v>
      </c>
      <c r="F46" s="24">
        <f>G46+H46+I46+J46+K46+L46+M46+N46+O46+P46+Q46+R46</f>
        <v>460276.36</v>
      </c>
      <c r="G46" s="24">
        <f t="shared" ref="G46:L46" si="19">G47+G48</f>
        <v>0</v>
      </c>
      <c r="H46" s="24">
        <f t="shared" si="19"/>
        <v>45248.65</v>
      </c>
      <c r="I46" s="24">
        <f t="shared" si="19"/>
        <v>0</v>
      </c>
      <c r="J46" s="24">
        <f t="shared" si="19"/>
        <v>66012.58</v>
      </c>
      <c r="K46" s="24">
        <f t="shared" si="19"/>
        <v>29034.720000000001</v>
      </c>
      <c r="L46" s="24">
        <f t="shared" si="19"/>
        <v>283.39999999999998</v>
      </c>
      <c r="M46" s="24">
        <v>2834</v>
      </c>
      <c r="N46" s="24">
        <f t="shared" ref="N46:S46" si="20">N47+N48</f>
        <v>153308.51</v>
      </c>
      <c r="O46" s="24">
        <f t="shared" si="20"/>
        <v>124641.5</v>
      </c>
      <c r="P46" s="24">
        <f t="shared" si="20"/>
        <v>0</v>
      </c>
      <c r="Q46" s="24">
        <f t="shared" si="20"/>
        <v>0</v>
      </c>
      <c r="R46" s="24">
        <f t="shared" si="20"/>
        <v>38913</v>
      </c>
      <c r="S46" s="24">
        <f t="shared" si="20"/>
        <v>195570</v>
      </c>
    </row>
    <row r="47" spans="1:21" ht="25.5" hidden="1" x14ac:dyDescent="0.25">
      <c r="A47" s="30" t="s">
        <v>62</v>
      </c>
      <c r="B47" s="26"/>
      <c r="C47" s="27"/>
      <c r="D47" s="27">
        <f>42569.95+151596.11+G47+H47+I47+J47+K47+L47+M47+N47+O47</f>
        <v>563035.02</v>
      </c>
      <c r="E47" s="27"/>
      <c r="F47" s="20">
        <f>G47+H47+I47+J47+K47+L47+M47+N47+O47+P47+Q47+R47</f>
        <v>402822.46</v>
      </c>
      <c r="G47" s="27">
        <v>0</v>
      </c>
      <c r="H47" s="27">
        <v>39471.65</v>
      </c>
      <c r="I47" s="27">
        <v>0</v>
      </c>
      <c r="J47" s="27">
        <v>66012.58</v>
      </c>
      <c r="K47" s="27">
        <v>25328.720000000001</v>
      </c>
      <c r="L47" s="28">
        <v>0</v>
      </c>
      <c r="M47" s="28">
        <v>0</v>
      </c>
      <c r="N47" s="28">
        <v>113414.51</v>
      </c>
      <c r="O47" s="28">
        <v>124641.5</v>
      </c>
      <c r="P47" s="28">
        <v>0</v>
      </c>
      <c r="Q47" s="28">
        <v>0</v>
      </c>
      <c r="R47" s="28">
        <v>33953.5</v>
      </c>
      <c r="S47" s="29">
        <v>194153</v>
      </c>
    </row>
    <row r="48" spans="1:21" ht="26.25" hidden="1" thickBot="1" x14ac:dyDescent="0.3">
      <c r="A48" s="42" t="s">
        <v>63</v>
      </c>
      <c r="B48" s="43"/>
      <c r="C48" s="44"/>
      <c r="D48" s="44">
        <f>1417+G48+H48+I48+J48+K48+L48+M48+N48</f>
        <v>53911.4</v>
      </c>
      <c r="E48" s="44"/>
      <c r="F48" s="45">
        <f>G48+H48+I48+J48+K48+L48+M48+N48+O48+P48+Q48+R48</f>
        <v>57453.9</v>
      </c>
      <c r="G48" s="44">
        <v>0</v>
      </c>
      <c r="H48" s="44">
        <v>5777</v>
      </c>
      <c r="I48" s="44">
        <v>0</v>
      </c>
      <c r="J48" s="44">
        <v>0</v>
      </c>
      <c r="K48" s="44">
        <v>3706</v>
      </c>
      <c r="L48" s="46">
        <v>283.39999999999998</v>
      </c>
      <c r="M48" s="46">
        <v>2834</v>
      </c>
      <c r="N48" s="46">
        <v>39894</v>
      </c>
      <c r="O48" s="46">
        <v>0</v>
      </c>
      <c r="P48" s="46">
        <v>0</v>
      </c>
      <c r="Q48" s="46">
        <v>0</v>
      </c>
      <c r="R48" s="47">
        <v>4959.5</v>
      </c>
      <c r="S48" s="48">
        <v>1417</v>
      </c>
    </row>
    <row r="49" spans="1:23" ht="15.75" thickBot="1" x14ac:dyDescent="0.3">
      <c r="A49" s="49" t="s">
        <v>64</v>
      </c>
      <c r="B49" s="50"/>
      <c r="C49" s="51">
        <f>C7+C12+C17+C22+C32+C35+C39+C40</f>
        <v>58490579.600000001</v>
      </c>
      <c r="D49" s="51">
        <f>D7+D12+D17+D22+D32+D35+D39+D40</f>
        <v>58490388.179999992</v>
      </c>
      <c r="E49" s="51">
        <f>D49-58490408.85</f>
        <v>-20.67000000923872</v>
      </c>
      <c r="F49" s="52">
        <f t="shared" ref="F49:K49" si="21">F46+F41+F39+F33+F22+F17+F6</f>
        <v>53686848.150000006</v>
      </c>
      <c r="G49" s="52">
        <f t="shared" si="21"/>
        <v>4082835.5500000003</v>
      </c>
      <c r="H49" s="52">
        <f t="shared" si="21"/>
        <v>4152457.79</v>
      </c>
      <c r="I49" s="52">
        <f>I46+I41+I39+I33+I22+I17+I6+I44+I32</f>
        <v>4814172.93</v>
      </c>
      <c r="J49" s="52">
        <f>J46+J41+J39+J33+J22+J17+J6+J32</f>
        <v>4395581.37</v>
      </c>
      <c r="K49" s="52">
        <f t="shared" si="21"/>
        <v>4367432.8100000005</v>
      </c>
      <c r="L49" s="52">
        <f>L46+L41+L39+L33+L22+L17+L6+L32+L45</f>
        <v>4535576.84</v>
      </c>
      <c r="M49" s="52">
        <f>M46+M41+M39+M33+M22+M17+M6+M32</f>
        <v>5005592.8099999996</v>
      </c>
      <c r="N49" s="52">
        <f>N46+N41+N39+N33+N22+N17+N6+N45+N32</f>
        <v>4737342.5899999989</v>
      </c>
      <c r="O49" s="52">
        <f>O46+O41+O39+O33+O22+O17+O6+O44+O32</f>
        <v>5095121.4699999988</v>
      </c>
      <c r="P49" s="52">
        <f>P7+P12+P17+P22+P32+P33+P39+P40+P46</f>
        <v>5209791.6899999995</v>
      </c>
      <c r="Q49" s="52">
        <f>Q7+Q12+Q17+Q22+Q32+Q33+Q39+Q40+Q46</f>
        <v>5150206.07</v>
      </c>
      <c r="R49" s="52">
        <f>R7+R12+R17+R22+R32+R33+R39+R40+R46</f>
        <v>5311428.129999999</v>
      </c>
      <c r="S49" s="53"/>
    </row>
    <row r="50" spans="1:23" hidden="1" x14ac:dyDescent="0.25">
      <c r="A50" s="54"/>
      <c r="B50" s="55"/>
      <c r="C50" s="56"/>
      <c r="D50" s="56"/>
      <c r="E50" s="56"/>
      <c r="F50" s="57"/>
      <c r="G50" s="56"/>
      <c r="H50" s="56"/>
      <c r="I50" s="56"/>
      <c r="J50" s="56">
        <f>J51-J49</f>
        <v>0</v>
      </c>
      <c r="K50" s="56"/>
      <c r="L50" s="58"/>
      <c r="M50" s="58"/>
      <c r="N50" s="58"/>
      <c r="O50" s="58"/>
      <c r="P50" s="58"/>
      <c r="Q50" s="58"/>
      <c r="R50" s="59"/>
      <c r="S50" s="60"/>
    </row>
    <row r="51" spans="1:23" hidden="1" x14ac:dyDescent="0.25">
      <c r="A51" s="61" t="s">
        <v>65</v>
      </c>
      <c r="B51" s="26"/>
      <c r="C51" s="27"/>
      <c r="D51" s="27">
        <f>D5+D40</f>
        <v>58490388.179999992</v>
      </c>
      <c r="E51" s="27"/>
      <c r="F51" s="20">
        <f>G51+H51+I51+J51+K51+L51+M51++N51+O51+P51+Q51++R51</f>
        <v>56810178.049999997</v>
      </c>
      <c r="G51" s="27">
        <f t="shared" ref="G51:R51" si="22">G52+G55</f>
        <v>4082835.55</v>
      </c>
      <c r="H51" s="27">
        <f t="shared" si="22"/>
        <v>4152457.79</v>
      </c>
      <c r="I51" s="27">
        <f t="shared" si="22"/>
        <v>4814172.93</v>
      </c>
      <c r="J51" s="27">
        <f t="shared" si="22"/>
        <v>4395581.37</v>
      </c>
      <c r="K51" s="27">
        <f t="shared" si="22"/>
        <v>4367432.8100000005</v>
      </c>
      <c r="L51" s="27">
        <f t="shared" si="22"/>
        <v>4535576.84</v>
      </c>
      <c r="M51" s="27">
        <f t="shared" si="22"/>
        <v>5005592.8100000005</v>
      </c>
      <c r="N51" s="27">
        <f t="shared" si="22"/>
        <v>4737342.59</v>
      </c>
      <c r="O51" s="28">
        <f t="shared" si="22"/>
        <v>5095121.47</v>
      </c>
      <c r="P51" s="28">
        <f t="shared" si="22"/>
        <v>5209791.6900000004</v>
      </c>
      <c r="Q51" s="28">
        <f t="shared" si="22"/>
        <v>5146326.67</v>
      </c>
      <c r="R51" s="62">
        <f t="shared" si="22"/>
        <v>5267945.53</v>
      </c>
      <c r="S51" s="29"/>
      <c r="U51" s="22"/>
      <c r="W51" s="22"/>
    </row>
    <row r="52" spans="1:23" hidden="1" x14ac:dyDescent="0.25">
      <c r="A52" s="63" t="s">
        <v>66</v>
      </c>
      <c r="B52" s="26"/>
      <c r="C52" s="27"/>
      <c r="D52" s="27">
        <f>D53+D54</f>
        <v>9390845.7400000002</v>
      </c>
      <c r="E52" s="27"/>
      <c r="F52" s="20">
        <f>G52+H52+I52+J52+K52+L52+M52++N52+O52+P52+Q52++R52</f>
        <v>8899093.7300000023</v>
      </c>
      <c r="G52" s="27">
        <f t="shared" ref="G52:R52" si="23">G53+G54</f>
        <v>206000.91999999998</v>
      </c>
      <c r="H52" s="27">
        <f t="shared" si="23"/>
        <v>351603.03</v>
      </c>
      <c r="I52" s="27">
        <f t="shared" si="23"/>
        <v>601566.87000000011</v>
      </c>
      <c r="J52" s="27">
        <f t="shared" si="23"/>
        <v>614621.79999999993</v>
      </c>
      <c r="K52" s="27">
        <f t="shared" si="23"/>
        <v>682778.35</v>
      </c>
      <c r="L52" s="27">
        <f t="shared" si="23"/>
        <v>646628.25999999989</v>
      </c>
      <c r="M52" s="27">
        <f t="shared" si="23"/>
        <v>1007705.4100000001</v>
      </c>
      <c r="N52" s="27">
        <f t="shared" si="23"/>
        <v>795249.13000000012</v>
      </c>
      <c r="O52" s="27">
        <f t="shared" si="23"/>
        <v>1029004.2700000001</v>
      </c>
      <c r="P52" s="27">
        <f t="shared" si="23"/>
        <v>996662.74000000011</v>
      </c>
      <c r="Q52" s="27">
        <f t="shared" si="23"/>
        <v>713348.53</v>
      </c>
      <c r="R52" s="64">
        <f t="shared" si="23"/>
        <v>1253924.4200000002</v>
      </c>
      <c r="S52" s="29"/>
      <c r="U52" s="22"/>
    </row>
    <row r="53" spans="1:23" hidden="1" x14ac:dyDescent="0.25">
      <c r="A53" s="65" t="s">
        <v>29</v>
      </c>
      <c r="B53" s="26"/>
      <c r="C53" s="27"/>
      <c r="D53" s="27">
        <f>D10+D14+D17+D24+D32+D44+D47+D45</f>
        <v>9071491.1400000006</v>
      </c>
      <c r="E53" s="27"/>
      <c r="F53" s="20">
        <f>G53+H53+I53+J53+K53+L53+M53++N53+O53+P53+Q53++R53</f>
        <v>8280530.0500000007</v>
      </c>
      <c r="G53" s="27">
        <f>G10+G14+G17+G24+G31+G32+G47</f>
        <v>206000.91999999998</v>
      </c>
      <c r="H53" s="27">
        <f>H10+H14+H17+H24+H47</f>
        <v>321903.71000000002</v>
      </c>
      <c r="I53" s="27">
        <f>I10+I14+I17+I24+I31+I32+I47+I44</f>
        <v>589605.71000000008</v>
      </c>
      <c r="J53" s="27">
        <f>J10+J14+J17+J24+J31+J47+J32</f>
        <v>602370.41999999993</v>
      </c>
      <c r="K53" s="27">
        <f>K10+K14+K17+K24+K31+K32+K47</f>
        <v>666820.97</v>
      </c>
      <c r="L53" s="27">
        <f>L10+L14+L17+L24+L31+L32+L44+L47+L45</f>
        <v>637638.15999999992</v>
      </c>
      <c r="M53" s="27">
        <f>M10+M14+M17+M24+M31+M32+M47</f>
        <v>862414.10000000009</v>
      </c>
      <c r="N53" s="27">
        <f>N10+N14+N17+N24+N31+N32+N47+N45</f>
        <v>743953.94000000018</v>
      </c>
      <c r="O53" s="27">
        <f>O10+O14+O17+O24+O31+O32+O47+O44</f>
        <v>1015510.8100000002</v>
      </c>
      <c r="P53" s="27">
        <f>P10+P14+P17+P24+P31+P32+P47+P44</f>
        <v>876806.37000000011</v>
      </c>
      <c r="Q53" s="27">
        <f>Q10+Q14+Q17+Q24+Q31+Q32+Q47</f>
        <v>632446.41</v>
      </c>
      <c r="R53" s="64">
        <f>R10+R14+R17+R24+R31+R32+R47</f>
        <v>1125058.5300000003</v>
      </c>
      <c r="S53" s="29"/>
      <c r="T53" s="22"/>
    </row>
    <row r="54" spans="1:23" hidden="1" x14ac:dyDescent="0.25">
      <c r="A54" s="65" t="s">
        <v>67</v>
      </c>
      <c r="B54" s="26"/>
      <c r="C54" s="27"/>
      <c r="D54" s="27">
        <f>D11+D15+D23+D48</f>
        <v>319354.60000000003</v>
      </c>
      <c r="E54" s="27"/>
      <c r="F54" s="20">
        <f>G54+H54+I54+J54+K54+L54+M54++N54+O54+P54+Q54++R54</f>
        <v>618563.67999999993</v>
      </c>
      <c r="G54" s="27">
        <f t="shared" ref="G54:R54" si="24">G11+G15+G23+G48</f>
        <v>0</v>
      </c>
      <c r="H54" s="27">
        <f t="shared" si="24"/>
        <v>29699.32</v>
      </c>
      <c r="I54" s="27">
        <f t="shared" si="24"/>
        <v>11961.16</v>
      </c>
      <c r="J54" s="27">
        <f t="shared" si="24"/>
        <v>12251.38</v>
      </c>
      <c r="K54" s="27">
        <f t="shared" si="24"/>
        <v>15957.38</v>
      </c>
      <c r="L54" s="27">
        <f t="shared" si="24"/>
        <v>8990.1</v>
      </c>
      <c r="M54" s="27">
        <f t="shared" si="24"/>
        <v>145291.31</v>
      </c>
      <c r="N54" s="27">
        <f t="shared" si="24"/>
        <v>51295.19</v>
      </c>
      <c r="O54" s="27">
        <f t="shared" si="24"/>
        <v>13493.460000000001</v>
      </c>
      <c r="P54" s="27">
        <f t="shared" si="24"/>
        <v>119856.37</v>
      </c>
      <c r="Q54" s="27">
        <f t="shared" si="24"/>
        <v>80902.12</v>
      </c>
      <c r="R54" s="64">
        <f t="shared" si="24"/>
        <v>128865.89</v>
      </c>
      <c r="S54" s="29"/>
      <c r="T54" s="22"/>
    </row>
    <row r="55" spans="1:23" hidden="1" x14ac:dyDescent="0.25">
      <c r="A55" s="63" t="s">
        <v>68</v>
      </c>
      <c r="B55" s="26"/>
      <c r="C55" s="27"/>
      <c r="D55" s="27">
        <f>D8+D16+D25+D26+D27+D28+D29+D30+D35+D39+D41</f>
        <v>49099542.439999998</v>
      </c>
      <c r="E55" s="27"/>
      <c r="F55" s="20">
        <f>G55+H55+I55+J55+K55+L55+M55++N55+O55+P55+Q55++R55</f>
        <v>47911084.32</v>
      </c>
      <c r="G55" s="27">
        <f t="shared" ref="G55:N55" si="25">G8+G16+G25+G26+G27+G29+G33+G39+G41+G30+G28</f>
        <v>3876834.63</v>
      </c>
      <c r="H55" s="27">
        <f t="shared" si="25"/>
        <v>3800854.7600000002</v>
      </c>
      <c r="I55" s="27">
        <f t="shared" si="25"/>
        <v>4212606.0599999996</v>
      </c>
      <c r="J55" s="27">
        <f t="shared" si="25"/>
        <v>3780959.57</v>
      </c>
      <c r="K55" s="27">
        <f t="shared" si="25"/>
        <v>3684654.4600000004</v>
      </c>
      <c r="L55" s="27">
        <f t="shared" si="25"/>
        <v>3888948.5799999996</v>
      </c>
      <c r="M55" s="27">
        <f t="shared" si="25"/>
        <v>3997887.4</v>
      </c>
      <c r="N55" s="27">
        <f t="shared" si="25"/>
        <v>3942093.46</v>
      </c>
      <c r="O55" s="28">
        <f>O8+O16+O25+O27+O30+O35+O39+O41+O28+O29</f>
        <v>4066117.1999999997</v>
      </c>
      <c r="P55" s="28">
        <f>P8+P16+P25+P27+P30+P35+P39+P41+P26+P29+P28</f>
        <v>4213128.95</v>
      </c>
      <c r="Q55" s="28">
        <f>Q8+Q16+Q25+Q27+Q30+Q35+Q39+Q41+Q26+Q29+Q28</f>
        <v>4432978.1399999997</v>
      </c>
      <c r="R55" s="62">
        <f>R8+R16+R25+R27+R30+R35+R39+R41+R26+R29+R28</f>
        <v>4014021.1100000003</v>
      </c>
      <c r="S55" s="29"/>
      <c r="T55" s="22"/>
      <c r="U55" s="22"/>
    </row>
    <row r="56" spans="1:23" ht="15.75" hidden="1" thickBot="1" x14ac:dyDescent="0.3">
      <c r="A56" s="66"/>
      <c r="B56" s="26"/>
      <c r="C56" s="27"/>
      <c r="D56" s="27"/>
      <c r="E56" s="27"/>
      <c r="F56" s="20"/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62"/>
      <c r="S56" s="48"/>
      <c r="U56" s="22"/>
      <c r="V56" s="22"/>
    </row>
    <row r="57" spans="1:23" ht="27" customHeight="1" thickBot="1" x14ac:dyDescent="0.3">
      <c r="A57" s="67" t="s">
        <v>1</v>
      </c>
      <c r="B57" s="68" t="s">
        <v>2</v>
      </c>
      <c r="C57" s="69" t="s">
        <v>3</v>
      </c>
      <c r="D57" s="70" t="s">
        <v>69</v>
      </c>
      <c r="E57" s="71" t="s">
        <v>5</v>
      </c>
      <c r="F57" s="72" t="s">
        <v>6</v>
      </c>
      <c r="G57" s="73" t="s">
        <v>7</v>
      </c>
      <c r="H57" s="74" t="s">
        <v>8</v>
      </c>
      <c r="I57" s="74" t="s">
        <v>9</v>
      </c>
      <c r="J57" s="74" t="s">
        <v>10</v>
      </c>
      <c r="K57" s="74" t="s">
        <v>11</v>
      </c>
      <c r="L57" s="74" t="s">
        <v>70</v>
      </c>
      <c r="M57" s="75" t="s">
        <v>13</v>
      </c>
      <c r="N57" s="73" t="s">
        <v>14</v>
      </c>
      <c r="O57" s="74" t="s">
        <v>15</v>
      </c>
      <c r="P57" s="74" t="s">
        <v>16</v>
      </c>
      <c r="Q57" s="74" t="s">
        <v>17</v>
      </c>
      <c r="R57" s="76" t="s">
        <v>18</v>
      </c>
      <c r="S57" s="77" t="s">
        <v>19</v>
      </c>
      <c r="U57" s="22"/>
      <c r="V57" s="22"/>
    </row>
    <row r="58" spans="1:23" ht="16.5" customHeight="1" x14ac:dyDescent="0.25">
      <c r="A58" s="78" t="s">
        <v>84</v>
      </c>
      <c r="B58" s="14"/>
      <c r="C58" s="15">
        <v>87150000</v>
      </c>
      <c r="D58" s="15"/>
      <c r="E58" s="15"/>
      <c r="F58" s="16">
        <f t="shared" ref="F58:F69" si="26">G58+H58+I58+J58+K58+L58+M58+N58+O58+P58+Q58+R58</f>
        <v>88252994.969999999</v>
      </c>
      <c r="G58" s="15">
        <v>7518713.4699999997</v>
      </c>
      <c r="H58" s="15">
        <v>7120654.0899999999</v>
      </c>
      <c r="I58" s="15">
        <v>7869157.2999999998</v>
      </c>
      <c r="J58" s="15">
        <v>6994576.5800000001</v>
      </c>
      <c r="K58" s="15">
        <v>6992290.75</v>
      </c>
      <c r="L58" s="79">
        <v>6980055.3300000001</v>
      </c>
      <c r="M58" s="79">
        <v>7402214.4800000004</v>
      </c>
      <c r="N58" s="79">
        <v>7013526.0300000003</v>
      </c>
      <c r="O58" s="79">
        <v>7484463.1100000003</v>
      </c>
      <c r="P58" s="79">
        <v>7691835.4500000002</v>
      </c>
      <c r="Q58" s="79">
        <v>7751396.2999999998</v>
      </c>
      <c r="R58" s="80">
        <v>7434112.0800000001</v>
      </c>
      <c r="S58" s="81"/>
    </row>
    <row r="59" spans="1:23" hidden="1" x14ac:dyDescent="0.25">
      <c r="A59" s="82" t="s">
        <v>71</v>
      </c>
      <c r="B59" s="19"/>
      <c r="C59" s="20">
        <v>87150000</v>
      </c>
      <c r="D59" s="20">
        <f>79748979.73+M58</f>
        <v>87151194.210000008</v>
      </c>
      <c r="E59" s="20">
        <f>C59-D59</f>
        <v>-1194.2100000083447</v>
      </c>
      <c r="F59" s="16">
        <f t="shared" si="26"/>
        <v>90947612</v>
      </c>
      <c r="G59" s="20">
        <v>14182232.800000001</v>
      </c>
      <c r="H59" s="20">
        <v>7668514.3799999999</v>
      </c>
      <c r="I59" s="20">
        <v>7258042.71</v>
      </c>
      <c r="J59" s="20">
        <v>7164742.3399999999</v>
      </c>
      <c r="K59" s="20">
        <v>7518713.4699999997</v>
      </c>
      <c r="L59" s="32">
        <v>7120654.0899999999</v>
      </c>
      <c r="M59" s="32">
        <v>7869157.2999999998</v>
      </c>
      <c r="N59" s="32">
        <v>6994576.5800000001</v>
      </c>
      <c r="O59" s="32">
        <f>6992290.75+3789727.6</f>
        <v>10782018.35</v>
      </c>
      <c r="P59" s="32">
        <v>6980055.3300000001</v>
      </c>
      <c r="Q59" s="32">
        <v>7402214.4800000004</v>
      </c>
      <c r="R59" s="83">
        <v>6690.17</v>
      </c>
      <c r="S59" s="84"/>
    </row>
    <row r="60" spans="1:23" x14ac:dyDescent="0.25">
      <c r="A60" s="34" t="s">
        <v>72</v>
      </c>
      <c r="B60" s="26"/>
      <c r="C60" s="27">
        <v>2302170</v>
      </c>
      <c r="D60" s="27">
        <f>G60+H60+I60+J60+K60+L60+M60</f>
        <v>1670952.1099999999</v>
      </c>
      <c r="E60" s="27"/>
      <c r="F60" s="20">
        <f t="shared" si="26"/>
        <v>3652510</v>
      </c>
      <c r="G60" s="27">
        <v>177010.01</v>
      </c>
      <c r="H60" s="27">
        <v>185984.96</v>
      </c>
      <c r="I60" s="27">
        <f>200005.03+25284.7</f>
        <v>225289.73</v>
      </c>
      <c r="J60" s="27">
        <v>237225.87</v>
      </c>
      <c r="K60" s="27">
        <v>238743.34</v>
      </c>
      <c r="L60" s="28">
        <v>282498.15999999997</v>
      </c>
      <c r="M60" s="28">
        <v>324200.03999999998</v>
      </c>
      <c r="N60" s="28">
        <v>339958.75</v>
      </c>
      <c r="O60" s="28">
        <v>381595.44</v>
      </c>
      <c r="P60" s="28">
        <v>391164.12</v>
      </c>
      <c r="Q60" s="28">
        <v>448747.14</v>
      </c>
      <c r="R60" s="62">
        <v>420092.44</v>
      </c>
      <c r="S60" s="85"/>
      <c r="V60" s="22"/>
    </row>
    <row r="61" spans="1:23" hidden="1" x14ac:dyDescent="0.25">
      <c r="A61" s="82" t="s">
        <v>73</v>
      </c>
      <c r="B61" s="19"/>
      <c r="C61" s="20">
        <v>2302170</v>
      </c>
      <c r="D61" s="20">
        <f>119290+130080.45+I61+J61+K61+L61+M61+N61+O61+P61+Q61+R61</f>
        <v>2302166.42</v>
      </c>
      <c r="E61" s="20">
        <f>C61-D61</f>
        <v>3.5800000000745058</v>
      </c>
      <c r="F61" s="20">
        <f t="shared" si="26"/>
        <v>2302166.42</v>
      </c>
      <c r="G61" s="20">
        <v>119290</v>
      </c>
      <c r="H61" s="20">
        <v>130080.45</v>
      </c>
      <c r="I61" s="20">
        <v>156620.73000000001</v>
      </c>
      <c r="J61" s="20">
        <v>177010.01</v>
      </c>
      <c r="K61" s="20">
        <v>185984.96</v>
      </c>
      <c r="L61" s="32">
        <v>225289.73</v>
      </c>
      <c r="M61" s="32">
        <v>237225.87</v>
      </c>
      <c r="N61" s="32">
        <v>237230</v>
      </c>
      <c r="O61" s="32">
        <v>248434.67</v>
      </c>
      <c r="P61" s="32">
        <v>359776.87</v>
      </c>
      <c r="Q61" s="32">
        <v>225223.13</v>
      </c>
      <c r="R61" s="83">
        <v>0</v>
      </c>
      <c r="S61" s="84"/>
    </row>
    <row r="62" spans="1:23" x14ac:dyDescent="0.25">
      <c r="A62" s="34" t="s">
        <v>74</v>
      </c>
      <c r="B62" s="26"/>
      <c r="C62" s="27">
        <v>183370</v>
      </c>
      <c r="D62" s="27">
        <f>G62+H62+I62+J62+K62+L62+M62</f>
        <v>112104.9</v>
      </c>
      <c r="E62" s="27"/>
      <c r="F62" s="27">
        <f t="shared" si="26"/>
        <v>239110.97999999998</v>
      </c>
      <c r="G62" s="27">
        <v>10932.4</v>
      </c>
      <c r="H62" s="27">
        <v>11302.76</v>
      </c>
      <c r="I62" s="27">
        <v>13849.28</v>
      </c>
      <c r="J62" s="27">
        <v>15728.81</v>
      </c>
      <c r="K62" s="27">
        <v>18168.34</v>
      </c>
      <c r="L62" s="28">
        <v>19925.5</v>
      </c>
      <c r="M62" s="28">
        <v>22197.81</v>
      </c>
      <c r="N62" s="28">
        <v>21285.599999999999</v>
      </c>
      <c r="O62" s="28">
        <v>23135.46</v>
      </c>
      <c r="P62" s="28">
        <v>23411.74</v>
      </c>
      <c r="Q62" s="28">
        <v>28591.1</v>
      </c>
      <c r="R62" s="62">
        <v>30582.18</v>
      </c>
      <c r="S62" s="85"/>
      <c r="V62" s="22"/>
    </row>
    <row r="63" spans="1:23" hidden="1" x14ac:dyDescent="0.25">
      <c r="A63" s="82" t="s">
        <v>75</v>
      </c>
      <c r="B63" s="19"/>
      <c r="C63" s="20">
        <v>183370</v>
      </c>
      <c r="D63" s="20">
        <f>6532.58+8246.34+I63+J63+K63+L63+M63+N63+O63+P63+Q63+R63</f>
        <v>171600.3</v>
      </c>
      <c r="E63" s="20">
        <f>C63-D63</f>
        <v>11769.700000000012</v>
      </c>
      <c r="F63" s="20">
        <f t="shared" si="26"/>
        <v>171600.3</v>
      </c>
      <c r="G63" s="20">
        <v>6532.58</v>
      </c>
      <c r="H63" s="20">
        <v>8246.34</v>
      </c>
      <c r="I63" s="20">
        <v>9780.2800000000007</v>
      </c>
      <c r="J63" s="20">
        <v>10932.4</v>
      </c>
      <c r="K63" s="20">
        <v>11302.76</v>
      </c>
      <c r="L63" s="32">
        <v>12205.64</v>
      </c>
      <c r="M63" s="32">
        <v>17372.45</v>
      </c>
      <c r="N63" s="32">
        <v>15117.55</v>
      </c>
      <c r="O63" s="32">
        <v>22200</v>
      </c>
      <c r="P63" s="32">
        <v>17372.45</v>
      </c>
      <c r="Q63" s="32">
        <v>15117.55</v>
      </c>
      <c r="R63" s="83">
        <f>2284.84+23135.46</f>
        <v>25420.3</v>
      </c>
      <c r="S63" s="84"/>
      <c r="V63" s="22"/>
    </row>
    <row r="64" spans="1:23" x14ac:dyDescent="0.25">
      <c r="A64" s="34" t="s">
        <v>76</v>
      </c>
      <c r="B64" s="26"/>
      <c r="C64" s="27">
        <v>144910</v>
      </c>
      <c r="D64" s="27">
        <f>G64+H64+I64+J64+K64+L64+M64</f>
        <v>89682.329999999987</v>
      </c>
      <c r="E64" s="27"/>
      <c r="F64" s="27">
        <f t="shared" si="26"/>
        <v>191283.43</v>
      </c>
      <c r="G64" s="27">
        <v>8745.8700000000008</v>
      </c>
      <c r="H64" s="27">
        <v>9042</v>
      </c>
      <c r="I64" s="27">
        <f>7212.13+3867.1</f>
        <v>11079.23</v>
      </c>
      <c r="J64" s="27">
        <v>12582.9</v>
      </c>
      <c r="K64" s="27">
        <v>14534.42</v>
      </c>
      <c r="L64" s="28">
        <v>15940.09</v>
      </c>
      <c r="M64" s="28">
        <v>17757.82</v>
      </c>
      <c r="N64" s="28">
        <v>17027.849999999999</v>
      </c>
      <c r="O64" s="28">
        <v>18507.66</v>
      </c>
      <c r="P64" s="28">
        <v>18728.61</v>
      </c>
      <c r="Q64" s="28">
        <v>22872.05</v>
      </c>
      <c r="R64" s="62">
        <v>24464.93</v>
      </c>
      <c r="S64" s="85"/>
    </row>
    <row r="65" spans="1:128" hidden="1" x14ac:dyDescent="0.25">
      <c r="A65" s="82" t="s">
        <v>77</v>
      </c>
      <c r="B65" s="19"/>
      <c r="C65" s="20">
        <v>144910</v>
      </c>
      <c r="D65" s="20">
        <f>5227.77+I65+J65+K65+L65+M65+N65+O65+P65+Q65+R65</f>
        <v>144866.68</v>
      </c>
      <c r="E65" s="20">
        <f>C65-D65</f>
        <v>43.320000000006985</v>
      </c>
      <c r="F65" s="20">
        <f t="shared" si="26"/>
        <v>144866.68</v>
      </c>
      <c r="G65" s="20">
        <v>0</v>
      </c>
      <c r="H65" s="20">
        <v>5227.7700000000004</v>
      </c>
      <c r="I65" s="20">
        <f>7820+6596.95</f>
        <v>14416.95</v>
      </c>
      <c r="J65" s="20">
        <v>8749.99</v>
      </c>
      <c r="K65" s="20">
        <v>9042</v>
      </c>
      <c r="L65" s="32">
        <v>7563.29</v>
      </c>
      <c r="M65" s="32">
        <v>16098.84</v>
      </c>
      <c r="N65" s="32">
        <v>12271.16</v>
      </c>
      <c r="O65" s="32">
        <v>2300</v>
      </c>
      <c r="P65" s="32">
        <f>14610+19051.17</f>
        <v>33661.17</v>
      </c>
      <c r="Q65" s="32">
        <v>0</v>
      </c>
      <c r="R65" s="83">
        <f>18507.66+17027.85</f>
        <v>35535.509999999995</v>
      </c>
      <c r="S65" s="84"/>
    </row>
    <row r="66" spans="1:128" x14ac:dyDescent="0.25">
      <c r="A66" s="34" t="s">
        <v>85</v>
      </c>
      <c r="B66" s="26"/>
      <c r="C66" s="27">
        <v>2442000</v>
      </c>
      <c r="D66" s="27">
        <f>G66+H66+I66+J66+K66+L66+M66</f>
        <v>1433914.04</v>
      </c>
      <c r="E66" s="27"/>
      <c r="F66" s="20">
        <f t="shared" si="26"/>
        <v>2412272.9200000004</v>
      </c>
      <c r="G66" s="27">
        <v>222443.5</v>
      </c>
      <c r="H66" s="27">
        <v>190711.89</v>
      </c>
      <c r="I66" s="27">
        <v>218033.49</v>
      </c>
      <c r="J66" s="27">
        <v>206765.91</v>
      </c>
      <c r="K66" s="27">
        <v>199912.71</v>
      </c>
      <c r="L66" s="28">
        <v>193100.23</v>
      </c>
      <c r="M66" s="28">
        <v>202946.31</v>
      </c>
      <c r="N66" s="28">
        <v>186467.5</v>
      </c>
      <c r="O66" s="28">
        <v>201940.38</v>
      </c>
      <c r="P66" s="28">
        <v>200677.27</v>
      </c>
      <c r="Q66" s="28">
        <v>200943.76</v>
      </c>
      <c r="R66" s="62">
        <v>188329.97</v>
      </c>
      <c r="S66" s="85"/>
    </row>
    <row r="67" spans="1:128" hidden="1" x14ac:dyDescent="0.25">
      <c r="A67" s="82" t="s">
        <v>78</v>
      </c>
      <c r="B67" s="19"/>
      <c r="C67" s="20">
        <v>2442000</v>
      </c>
      <c r="D67" s="86">
        <f>213490.41+204816.81+I67+J67+K67+L67+M67+N67+O67+P67+Q67+R67</f>
        <v>2440309.79</v>
      </c>
      <c r="E67" s="20">
        <f>C67-D67</f>
        <v>1690.2099999999627</v>
      </c>
      <c r="F67" s="20">
        <f t="shared" si="26"/>
        <v>2440309.8199999994</v>
      </c>
      <c r="G67" s="20">
        <v>213490</v>
      </c>
      <c r="H67" s="20">
        <v>204817.25</v>
      </c>
      <c r="I67" s="20">
        <v>222440</v>
      </c>
      <c r="J67" s="20">
        <v>190715.39</v>
      </c>
      <c r="K67" s="20">
        <v>218033.49</v>
      </c>
      <c r="L67" s="32">
        <v>206765.91</v>
      </c>
      <c r="M67" s="32">
        <v>199912.71</v>
      </c>
      <c r="N67" s="87">
        <v>193100.23</v>
      </c>
      <c r="O67" s="32">
        <v>202946.31</v>
      </c>
      <c r="P67" s="32">
        <v>186467.5</v>
      </c>
      <c r="Q67" s="32">
        <v>200677.27</v>
      </c>
      <c r="R67" s="83">
        <v>200943.76</v>
      </c>
      <c r="S67" s="84"/>
    </row>
    <row r="68" spans="1:128" x14ac:dyDescent="0.25">
      <c r="A68" s="34" t="s">
        <v>86</v>
      </c>
      <c r="B68" s="26"/>
      <c r="C68" s="27">
        <v>133820</v>
      </c>
      <c r="D68" s="27">
        <f>G68+H68+I68+J68+K68+L68+M68</f>
        <v>76383.799999999988</v>
      </c>
      <c r="E68" s="27"/>
      <c r="F68" s="20">
        <f t="shared" si="26"/>
        <v>121425.01999999997</v>
      </c>
      <c r="G68" s="27">
        <v>8522.75</v>
      </c>
      <c r="H68" s="27">
        <v>15461.1</v>
      </c>
      <c r="I68" s="27">
        <v>2712.37</v>
      </c>
      <c r="J68" s="27">
        <v>16022.07</v>
      </c>
      <c r="K68" s="27">
        <v>13486.12</v>
      </c>
      <c r="L68" s="28">
        <v>9072.0300000000007</v>
      </c>
      <c r="M68" s="88">
        <v>11107.36</v>
      </c>
      <c r="N68" s="28">
        <v>11700.65</v>
      </c>
      <c r="O68" s="28">
        <v>12564.64</v>
      </c>
      <c r="P68" s="28">
        <v>10890.45</v>
      </c>
      <c r="Q68" s="28">
        <v>9885.48</v>
      </c>
      <c r="R68" s="62"/>
      <c r="S68" s="85"/>
    </row>
    <row r="69" spans="1:128" hidden="1" x14ac:dyDescent="0.25">
      <c r="A69" s="82" t="s">
        <v>79</v>
      </c>
      <c r="B69" s="19"/>
      <c r="C69" s="20">
        <v>133820</v>
      </c>
      <c r="D69" s="20">
        <f>G69+H69+I69+J69+K69+L69+M69+N69+O69+P69+Q69+R69</f>
        <v>133827.71</v>
      </c>
      <c r="E69" s="20">
        <f>C69-D69</f>
        <v>-7.7099999999918509</v>
      </c>
      <c r="F69" s="20">
        <f t="shared" si="26"/>
        <v>133827.71</v>
      </c>
      <c r="G69" s="20">
        <v>0</v>
      </c>
      <c r="H69" s="20">
        <v>7079.29</v>
      </c>
      <c r="I69" s="32">
        <v>19616.93</v>
      </c>
      <c r="J69" s="20">
        <v>12927.93</v>
      </c>
      <c r="K69" s="20">
        <v>10173.43</v>
      </c>
      <c r="L69" s="32">
        <v>13486.12</v>
      </c>
      <c r="M69" s="32">
        <v>10150.99</v>
      </c>
      <c r="N69" s="32">
        <v>8175.31</v>
      </c>
      <c r="O69" s="32">
        <v>19480</v>
      </c>
      <c r="P69" s="32">
        <v>11000</v>
      </c>
      <c r="Q69" s="32">
        <v>10597.71</v>
      </c>
      <c r="R69" s="83">
        <v>11140</v>
      </c>
      <c r="S69" s="89"/>
    </row>
    <row r="70" spans="1:128" ht="15.75" thickBot="1" x14ac:dyDescent="0.3">
      <c r="A70" s="90" t="s">
        <v>80</v>
      </c>
      <c r="B70" s="43"/>
      <c r="C70" s="97">
        <f>C58+C60+C62+C64+C66+C68</f>
        <v>92356270</v>
      </c>
      <c r="D70" s="44"/>
      <c r="E70" s="44"/>
      <c r="F70" s="45">
        <f>SUM(F58:F69)</f>
        <v>191009980.25</v>
      </c>
      <c r="G70" s="44">
        <f>SUM(G58:G69)</f>
        <v>22467913.379999999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91"/>
    </row>
    <row r="71" spans="1:128" s="95" customFormat="1" ht="15.75" thickBot="1" x14ac:dyDescent="0.3">
      <c r="A71" s="92"/>
      <c r="B71" s="93"/>
      <c r="C71" s="52"/>
      <c r="D71" s="52"/>
      <c r="E71" s="52"/>
      <c r="F71" s="52"/>
      <c r="G71" s="52">
        <f>G59+G61+G67+G69</f>
        <v>14515012.800000001</v>
      </c>
      <c r="H71" s="52">
        <f>H59+H61+H67+H69</f>
        <v>8010491.3700000001</v>
      </c>
      <c r="I71" s="52">
        <f>I59+I61+I67+I69</f>
        <v>7656720.3700000001</v>
      </c>
      <c r="J71" s="52">
        <f>J59+J61+J67+J69</f>
        <v>7545395.669999999</v>
      </c>
      <c r="K71" s="52">
        <f>K59+K61+K67+K69</f>
        <v>7932905.3499999996</v>
      </c>
      <c r="L71" s="52">
        <f t="shared" ref="L71:R71" si="27">SUM(L58:L70)</f>
        <v>15086556.119999999</v>
      </c>
      <c r="M71" s="52">
        <f t="shared" si="27"/>
        <v>16330341.98</v>
      </c>
      <c r="N71" s="52">
        <f t="shared" si="27"/>
        <v>15050437.210000001</v>
      </c>
      <c r="O71" s="52">
        <f t="shared" si="27"/>
        <v>19399586.020000003</v>
      </c>
      <c r="P71" s="52">
        <f t="shared" si="27"/>
        <v>15925040.959999997</v>
      </c>
      <c r="Q71" s="52">
        <f t="shared" si="27"/>
        <v>16316265.970000004</v>
      </c>
      <c r="R71" s="52">
        <f t="shared" si="27"/>
        <v>8377311.3399999989</v>
      </c>
      <c r="S71" s="9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</row>
    <row r="72" spans="1:128" x14ac:dyDescent="0.25">
      <c r="S72" s="4"/>
    </row>
    <row r="74" spans="1:128" x14ac:dyDescent="0.25">
      <c r="W74" s="22"/>
    </row>
    <row r="75" spans="1:128" x14ac:dyDescent="0.25">
      <c r="N75" s="3">
        <f>N51-N49</f>
        <v>0</v>
      </c>
    </row>
    <row r="76" spans="1:128" ht="15.75" x14ac:dyDescent="0.25">
      <c r="C76" s="96" t="s">
        <v>81</v>
      </c>
    </row>
    <row r="77" spans="1:128" ht="15.75" x14ac:dyDescent="0.25">
      <c r="C77" s="96" t="s">
        <v>82</v>
      </c>
      <c r="Q77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2022-03-18T07:02:44Z</cp:lastPrinted>
  <dcterms:created xsi:type="dcterms:W3CDTF">2015-06-05T18:19:34Z</dcterms:created>
  <dcterms:modified xsi:type="dcterms:W3CDTF">2022-03-18T07:03:50Z</dcterms:modified>
</cp:coreProperties>
</file>