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25" windowWidth="14805" windowHeight="7590" firstSheet="18" activeTab="23"/>
  </bookViews>
  <sheets>
    <sheet name="IAN 2022" sheetId="62" r:id="rId1"/>
    <sheet name="FEB 2022" sheetId="94" r:id="rId2"/>
    <sheet name="MAR 2022 " sheetId="97" r:id="rId3"/>
    <sheet name="APR 2022" sheetId="102" r:id="rId4"/>
    <sheet name="MODIF IAN -APR 2022" sheetId="105" r:id="rId5"/>
    <sheet name="MAI  - DEC 2022 " sheetId="103" r:id="rId6"/>
    <sheet name="REG II SI MAJO 2022" sheetId="107" r:id="rId7"/>
    <sheet name="REG III SI MAJO 2022" sheetId="110" r:id="rId8"/>
    <sheet name="An 2022 " sheetId="64" r:id="rId9"/>
    <sheet name="REPARTIZARE CB IAN 2022 " sheetId="63" r:id="rId10"/>
    <sheet name="REPARTIZARE CB FEB 2022" sheetId="95" r:id="rId11"/>
    <sheet name="REPARTIZARE CB MAR 2022" sheetId="96" r:id="rId12"/>
    <sheet name="REPARTIZARE CB TRIM I 2022 " sheetId="100" r:id="rId13"/>
    <sheet name="REPARTIZARE CB TRIM I-IV 20" sheetId="101" r:id="rId14"/>
    <sheet name="REPARTIZARE CB AN 2022" sheetId="104" r:id="rId15"/>
    <sheet name="REPARTIZARE CB  TR IV 2022" sheetId="106" r:id="rId16"/>
    <sheet name="REPARTIZARE CB  TR IV 1 2022" sheetId="108" r:id="rId17"/>
    <sheet name="REPARTIZARE CB NOIEMBRIE 2022" sheetId="109" r:id="rId18"/>
    <sheet name="REPARTIZARE CB DECEMBRIE 2022" sheetId="111" r:id="rId19"/>
    <sheet name="REPARTIZARE CB I DECEMBRIE 2022" sheetId="98" r:id="rId20"/>
    <sheet name="nefrol slatina" sheetId="31" r:id="rId21"/>
    <sheet name="nefrol caracal" sheetId="4" r:id="rId22"/>
    <sheet name="sp slatina" sheetId="3" r:id="rId23"/>
    <sheet name="total" sheetId="5" r:id="rId24"/>
  </sheets>
  <externalReferences>
    <externalReference r:id="rId25"/>
  </externalReferences>
  <calcPr calcId="145621"/>
</workbook>
</file>

<file path=xl/calcChain.xml><?xml version="1.0" encoding="utf-8"?>
<calcChain xmlns="http://schemas.openxmlformats.org/spreadsheetml/2006/main">
  <c r="I14" i="106" l="1"/>
  <c r="J15" i="106"/>
  <c r="J16" i="106" s="1"/>
  <c r="I16" i="106"/>
  <c r="J17" i="106"/>
  <c r="J18" i="106" s="1"/>
  <c r="I18" i="106"/>
  <c r="G19" i="106"/>
  <c r="G20" i="106" s="1"/>
  <c r="I19" i="106"/>
  <c r="I20" i="106"/>
  <c r="J14" i="104"/>
  <c r="K14" i="104"/>
  <c r="L14" i="104"/>
  <c r="J16" i="104"/>
  <c r="J19" i="104" s="1"/>
  <c r="K16" i="104"/>
  <c r="K19" i="104" s="1"/>
  <c r="K20" i="104" s="1"/>
  <c r="L16" i="104"/>
  <c r="J18" i="104"/>
  <c r="K18" i="104"/>
  <c r="L18" i="104"/>
  <c r="L19" i="104" s="1"/>
  <c r="L20" i="104" s="1"/>
  <c r="G19" i="104"/>
  <c r="G20" i="104"/>
  <c r="J19" i="106" l="1"/>
  <c r="J20" i="104"/>
  <c r="C42" i="3"/>
  <c r="I19" i="5" l="1"/>
  <c r="G19" i="5"/>
  <c r="C19" i="5"/>
  <c r="K19" i="5" s="1"/>
  <c r="I18" i="3"/>
  <c r="I20" i="4"/>
  <c r="I20" i="31"/>
  <c r="G14" i="64" l="1"/>
  <c r="E24" i="64" l="1"/>
  <c r="E20" i="64"/>
  <c r="E13" i="64"/>
  <c r="L43" i="5" l="1"/>
  <c r="L42" i="5"/>
  <c r="G19" i="111"/>
  <c r="G20" i="111" s="1"/>
  <c r="I18" i="111"/>
  <c r="J17" i="111"/>
  <c r="J18" i="111" s="1"/>
  <c r="I16" i="111"/>
  <c r="I19" i="111" s="1"/>
  <c r="J15" i="111"/>
  <c r="J16" i="111" s="1"/>
  <c r="I13" i="111"/>
  <c r="J13" i="111" s="1"/>
  <c r="J14" i="111" s="1"/>
  <c r="J46" i="3"/>
  <c r="J48" i="4"/>
  <c r="J47" i="31"/>
  <c r="I14" i="111" l="1"/>
  <c r="I20" i="111" s="1"/>
  <c r="J19" i="111"/>
  <c r="J20" i="111" s="1"/>
  <c r="G20" i="64" l="1"/>
  <c r="G13" i="64"/>
  <c r="G24" i="64"/>
  <c r="E23" i="64" l="1"/>
  <c r="E18" i="64"/>
  <c r="G23" i="64"/>
  <c r="G18" i="64"/>
  <c r="H27" i="64" l="1"/>
  <c r="G25" i="110"/>
  <c r="D25" i="110"/>
  <c r="H24" i="110"/>
  <c r="E24" i="110"/>
  <c r="H23" i="110"/>
  <c r="E23" i="110"/>
  <c r="G21" i="110"/>
  <c r="D21" i="110"/>
  <c r="H20" i="110"/>
  <c r="E20" i="110"/>
  <c r="H19" i="110"/>
  <c r="H18" i="110"/>
  <c r="E18" i="110"/>
  <c r="G16" i="110"/>
  <c r="G26" i="110" s="1"/>
  <c r="D16" i="110"/>
  <c r="D26" i="110" s="1"/>
  <c r="H15" i="110"/>
  <c r="H14" i="110"/>
  <c r="H16" i="110" s="1"/>
  <c r="H13" i="110"/>
  <c r="E13" i="110"/>
  <c r="H25" i="110" l="1"/>
  <c r="H21" i="110"/>
  <c r="H26" i="110" s="1"/>
  <c r="H28" i="110" s="1"/>
  <c r="C43" i="5" l="1"/>
  <c r="E43" i="5"/>
  <c r="G43" i="5"/>
  <c r="G19" i="109" l="1"/>
  <c r="G20" i="109" s="1"/>
  <c r="I18" i="109"/>
  <c r="H18" i="109"/>
  <c r="J17" i="109"/>
  <c r="J18" i="109" s="1"/>
  <c r="H16" i="109"/>
  <c r="I15" i="109"/>
  <c r="I16" i="109" s="1"/>
  <c r="I19" i="109" s="1"/>
  <c r="H15" i="109"/>
  <c r="J15" i="109" s="1"/>
  <c r="J16" i="109" s="1"/>
  <c r="I14" i="109"/>
  <c r="H14" i="109"/>
  <c r="J13" i="109"/>
  <c r="J14" i="109" s="1"/>
  <c r="I20" i="109" l="1"/>
  <c r="H19" i="109"/>
  <c r="H20" i="109"/>
  <c r="J19" i="109"/>
  <c r="J20" i="109" s="1"/>
  <c r="G19" i="108" l="1"/>
  <c r="G20" i="108" s="1"/>
  <c r="I17" i="108"/>
  <c r="I18" i="108" s="1"/>
  <c r="I16" i="108"/>
  <c r="J15" i="108"/>
  <c r="J16" i="108" s="1"/>
  <c r="I14" i="108"/>
  <c r="J13" i="108"/>
  <c r="J14" i="108" s="1"/>
  <c r="I19" i="108" l="1"/>
  <c r="I20" i="108" s="1"/>
  <c r="J17" i="108"/>
  <c r="J18" i="108" s="1"/>
  <c r="J19" i="108" s="1"/>
  <c r="J20" i="108" s="1"/>
  <c r="E42" i="5" l="1"/>
  <c r="E41" i="5"/>
  <c r="I42" i="3" l="1"/>
  <c r="I41" i="3"/>
  <c r="L41" i="5" l="1"/>
  <c r="I17" i="5"/>
  <c r="G17" i="5"/>
  <c r="C17" i="5"/>
  <c r="G17" i="3"/>
  <c r="I16" i="3"/>
  <c r="I18" i="4"/>
  <c r="I18" i="31"/>
  <c r="K17" i="5" l="1"/>
  <c r="I22" i="3"/>
  <c r="D26" i="107" l="1"/>
  <c r="G25" i="107"/>
  <c r="D25" i="107"/>
  <c r="H24" i="107"/>
  <c r="H25" i="107" s="1"/>
  <c r="E24" i="107"/>
  <c r="H23" i="107"/>
  <c r="E23" i="107"/>
  <c r="G21" i="107"/>
  <c r="D21" i="107"/>
  <c r="H20" i="107"/>
  <c r="E20" i="107"/>
  <c r="H19" i="107"/>
  <c r="H18" i="107"/>
  <c r="H21" i="107" s="1"/>
  <c r="E18" i="107"/>
  <c r="G16" i="107"/>
  <c r="G26" i="107" s="1"/>
  <c r="D16" i="107"/>
  <c r="H15" i="107"/>
  <c r="H14" i="107"/>
  <c r="H16" i="107" s="1"/>
  <c r="H13" i="107"/>
  <c r="E13" i="107"/>
  <c r="H26" i="107" l="1"/>
  <c r="G46" i="5" l="1"/>
  <c r="E46" i="5"/>
  <c r="C46" i="5"/>
  <c r="I15" i="5" l="1"/>
  <c r="G15" i="5"/>
  <c r="C15" i="5"/>
  <c r="I14" i="3"/>
  <c r="I16" i="31"/>
  <c r="I48" i="4"/>
  <c r="E17" i="4"/>
  <c r="E19" i="4" s="1"/>
  <c r="I16" i="4"/>
  <c r="K15" i="5" l="1"/>
  <c r="J13" i="106"/>
  <c r="J14" i="106" s="1"/>
  <c r="J20" i="106" s="1"/>
  <c r="E37" i="5" l="1"/>
  <c r="E36" i="5"/>
  <c r="I38" i="4"/>
  <c r="C37" i="5"/>
  <c r="H25" i="105" l="1"/>
  <c r="G25" i="105"/>
  <c r="D25" i="105"/>
  <c r="H24" i="105"/>
  <c r="E24" i="105"/>
  <c r="H23" i="105"/>
  <c r="E23" i="105"/>
  <c r="G21" i="105"/>
  <c r="D21" i="105"/>
  <c r="H20" i="105"/>
  <c r="E20" i="105"/>
  <c r="H19" i="105"/>
  <c r="H18" i="105"/>
  <c r="H21" i="105" s="1"/>
  <c r="E18" i="105"/>
  <c r="G16" i="105"/>
  <c r="G26" i="105" s="1"/>
  <c r="D16" i="105"/>
  <c r="D26" i="105" s="1"/>
  <c r="H15" i="105"/>
  <c r="H14" i="105"/>
  <c r="H13" i="105"/>
  <c r="H16" i="105" s="1"/>
  <c r="E13" i="105"/>
  <c r="H26" i="105" l="1"/>
  <c r="L37" i="5"/>
  <c r="I43" i="4" l="1"/>
  <c r="I44" i="4"/>
  <c r="I42" i="4"/>
  <c r="G37" i="5"/>
  <c r="C34" i="3"/>
  <c r="J17" i="98" l="1"/>
  <c r="J18" i="98" s="1"/>
  <c r="J15" i="98"/>
  <c r="J16" i="98" s="1"/>
  <c r="J13" i="98"/>
  <c r="J14" i="98" s="1"/>
  <c r="I18" i="98"/>
  <c r="I16" i="98"/>
  <c r="I14" i="98"/>
  <c r="J19" i="98" l="1"/>
  <c r="J20" i="98" s="1"/>
  <c r="I19" i="98"/>
  <c r="I20" i="98" s="1"/>
  <c r="I37" i="4" l="1"/>
  <c r="C36" i="4" l="1"/>
  <c r="G35" i="31"/>
  <c r="E35" i="5" s="1"/>
  <c r="C35" i="31"/>
  <c r="I36" i="4" l="1"/>
  <c r="C31" i="5" l="1"/>
  <c r="E31" i="5" l="1"/>
  <c r="I32" i="4"/>
  <c r="L30" i="5" l="1"/>
  <c r="E30" i="5"/>
  <c r="L29" i="5" l="1"/>
  <c r="I31" i="4" l="1"/>
  <c r="C13" i="5" l="1"/>
  <c r="K13" i="5" s="1"/>
  <c r="I14" i="4"/>
  <c r="I14" i="31"/>
  <c r="G13" i="103" l="1"/>
  <c r="G18" i="103"/>
  <c r="G20" i="103"/>
  <c r="G23" i="103"/>
  <c r="G25" i="103" s="1"/>
  <c r="G24" i="103"/>
  <c r="D25" i="103"/>
  <c r="H24" i="103"/>
  <c r="E24" i="103"/>
  <c r="E23" i="103"/>
  <c r="D21" i="103"/>
  <c r="H20" i="103"/>
  <c r="E20" i="103"/>
  <c r="H19" i="103"/>
  <c r="H18" i="103"/>
  <c r="G21" i="103"/>
  <c r="E18" i="103"/>
  <c r="G16" i="103"/>
  <c r="D16" i="103"/>
  <c r="D26" i="103" s="1"/>
  <c r="H15" i="103"/>
  <c r="H14" i="103"/>
  <c r="H13" i="103"/>
  <c r="E13" i="103"/>
  <c r="H16" i="103" l="1"/>
  <c r="H21" i="103"/>
  <c r="G26" i="103"/>
  <c r="H23" i="103"/>
  <c r="H25" i="103" s="1"/>
  <c r="I11" i="5"/>
  <c r="C6" i="5"/>
  <c r="C7" i="5"/>
  <c r="C5" i="5"/>
  <c r="I9" i="5"/>
  <c r="C8" i="5" l="1"/>
  <c r="H26" i="103"/>
  <c r="L23" i="5"/>
  <c r="G25" i="102" l="1"/>
  <c r="D25" i="102"/>
  <c r="H24" i="102"/>
  <c r="E24" i="102"/>
  <c r="H23" i="102"/>
  <c r="H25" i="102" s="1"/>
  <c r="E23" i="102"/>
  <c r="G21" i="102"/>
  <c r="D21" i="102"/>
  <c r="H20" i="102"/>
  <c r="E20" i="102"/>
  <c r="H19" i="102"/>
  <c r="H21" i="102" s="1"/>
  <c r="G19" i="102"/>
  <c r="H18" i="102"/>
  <c r="E18" i="102"/>
  <c r="D16" i="102"/>
  <c r="D26" i="102" s="1"/>
  <c r="H15" i="102"/>
  <c r="H14" i="102"/>
  <c r="H16" i="102" s="1"/>
  <c r="H26" i="102" s="1"/>
  <c r="G14" i="102"/>
  <c r="G16" i="102" s="1"/>
  <c r="G26" i="102" s="1"/>
  <c r="H13" i="102"/>
  <c r="E13" i="102"/>
  <c r="E29" i="5" l="1"/>
  <c r="I30" i="4"/>
  <c r="G25" i="97" l="1"/>
  <c r="G20" i="101" l="1"/>
  <c r="G19" i="101"/>
  <c r="J18" i="101"/>
  <c r="L17" i="101"/>
  <c r="L18" i="101" s="1"/>
  <c r="K17" i="101"/>
  <c r="M17" i="101" s="1"/>
  <c r="M18" i="101" s="1"/>
  <c r="L16" i="101"/>
  <c r="J16" i="101"/>
  <c r="J19" i="101" s="1"/>
  <c r="L15" i="101"/>
  <c r="K15" i="101"/>
  <c r="M15" i="101" s="1"/>
  <c r="M16" i="101" s="1"/>
  <c r="K14" i="101"/>
  <c r="J14" i="101"/>
  <c r="L13" i="101"/>
  <c r="K13" i="101"/>
  <c r="M13" i="101" s="1"/>
  <c r="M14" i="101" s="1"/>
  <c r="J20" i="101" l="1"/>
  <c r="M19" i="101"/>
  <c r="L19" i="101"/>
  <c r="L14" i="101"/>
  <c r="L20" i="101" s="1"/>
  <c r="K16" i="101"/>
  <c r="K18" i="101"/>
  <c r="G20" i="100"/>
  <c r="J19" i="100"/>
  <c r="J20" i="100" s="1"/>
  <c r="G19" i="100"/>
  <c r="K18" i="100"/>
  <c r="K16" i="100"/>
  <c r="K19" i="100" s="1"/>
  <c r="K14" i="100"/>
  <c r="K19" i="101" l="1"/>
  <c r="K20" i="101" s="1"/>
  <c r="K20" i="100"/>
  <c r="E25" i="5" l="1"/>
  <c r="C24" i="3" l="1"/>
  <c r="I26" i="4"/>
  <c r="G19" i="98" l="1"/>
  <c r="G20" i="98" s="1"/>
  <c r="D16" i="64" l="1"/>
  <c r="D25" i="64"/>
  <c r="H24" i="97" l="1"/>
  <c r="E24" i="97"/>
  <c r="H23" i="97"/>
  <c r="H25" i="97" s="1"/>
  <c r="E23" i="97"/>
  <c r="G21" i="97"/>
  <c r="D21" i="97"/>
  <c r="D26" i="97" s="1"/>
  <c r="H20" i="97"/>
  <c r="E20" i="97"/>
  <c r="H19" i="97"/>
  <c r="H18" i="97"/>
  <c r="H21" i="97" s="1"/>
  <c r="E18" i="97"/>
  <c r="H15" i="97"/>
  <c r="G14" i="97"/>
  <c r="H14" i="97" s="1"/>
  <c r="H13" i="97"/>
  <c r="E13" i="97"/>
  <c r="H16" i="97" l="1"/>
  <c r="H26" i="97" s="1"/>
  <c r="G16" i="97"/>
  <c r="G26" i="97" s="1"/>
  <c r="L25" i="5"/>
  <c r="G20" i="96"/>
  <c r="J19" i="96"/>
  <c r="J20" i="96" s="1"/>
  <c r="G19" i="96"/>
  <c r="K18" i="96"/>
  <c r="K16" i="96"/>
  <c r="K19" i="96" s="1"/>
  <c r="K14" i="96"/>
  <c r="K20" i="96" l="1"/>
  <c r="I7" i="5"/>
  <c r="G7" i="5"/>
  <c r="G9" i="4"/>
  <c r="G11" i="4" s="1"/>
  <c r="G13" i="4" s="1"/>
  <c r="G15" i="4" s="1"/>
  <c r="G17" i="4" s="1"/>
  <c r="G19" i="4" s="1"/>
  <c r="G21" i="4" s="1"/>
  <c r="E24" i="5"/>
  <c r="I25" i="4"/>
  <c r="K7" i="5" l="1"/>
  <c r="J20" i="95"/>
  <c r="J19" i="95"/>
  <c r="I19" i="95"/>
  <c r="K18" i="95"/>
  <c r="K16" i="95"/>
  <c r="K19" i="95" s="1"/>
  <c r="I16" i="95"/>
  <c r="K14" i="95"/>
  <c r="K20" i="95" s="1"/>
  <c r="I14" i="95"/>
  <c r="I20" i="95" s="1"/>
  <c r="D21" i="64" l="1"/>
  <c r="F26" i="94" l="1"/>
  <c r="D26" i="94"/>
  <c r="G25" i="94"/>
  <c r="G26" i="94" s="1"/>
  <c r="H24" i="94"/>
  <c r="E24" i="94"/>
  <c r="H23" i="94"/>
  <c r="H25" i="94" s="1"/>
  <c r="E23" i="94"/>
  <c r="G21" i="94"/>
  <c r="H20" i="94"/>
  <c r="E20" i="94"/>
  <c r="H19" i="94"/>
  <c r="H21" i="94" s="1"/>
  <c r="H18" i="94"/>
  <c r="E18" i="94"/>
  <c r="G16" i="94"/>
  <c r="H15" i="94"/>
  <c r="H14" i="94"/>
  <c r="H13" i="94"/>
  <c r="H16" i="94" s="1"/>
  <c r="E13" i="94"/>
  <c r="H26" i="94" l="1"/>
  <c r="I6" i="5"/>
  <c r="I5" i="5"/>
  <c r="I8" i="5" l="1"/>
  <c r="I10" i="5" s="1"/>
  <c r="E23" i="5"/>
  <c r="E27" i="31"/>
  <c r="G27" i="31"/>
  <c r="C27" i="31"/>
  <c r="I24" i="4"/>
  <c r="C27" i="4"/>
  <c r="D27" i="4"/>
  <c r="E27" i="4"/>
  <c r="F27" i="4"/>
  <c r="F29" i="4" l="1"/>
  <c r="G20" i="63" l="1"/>
  <c r="G19" i="63"/>
  <c r="I16" i="63"/>
  <c r="I19" i="63" s="1"/>
  <c r="I14" i="63"/>
  <c r="I20" i="63" s="1"/>
  <c r="G25" i="64" l="1"/>
  <c r="H24" i="64"/>
  <c r="F25" i="62" l="1"/>
  <c r="D25" i="62"/>
  <c r="F24" i="62"/>
  <c r="F23" i="62"/>
  <c r="D21" i="62"/>
  <c r="F20" i="62"/>
  <c r="F19" i="62"/>
  <c r="F18" i="62"/>
  <c r="F21" i="62" s="1"/>
  <c r="D16" i="62"/>
  <c r="D26" i="62" s="1"/>
  <c r="D15" i="62"/>
  <c r="F14" i="62"/>
  <c r="F13" i="62"/>
  <c r="F16" i="62" s="1"/>
  <c r="F26" i="62" s="1"/>
  <c r="E44" i="5" l="1"/>
  <c r="L36" i="5" l="1"/>
  <c r="L31" i="5" l="1"/>
  <c r="C11" i="5" l="1"/>
  <c r="C29" i="5" l="1"/>
  <c r="I26" i="3" l="1"/>
  <c r="I43" i="3"/>
  <c r="J27" i="4" l="1"/>
  <c r="G9" i="5"/>
  <c r="C9" i="5"/>
  <c r="H23" i="64" l="1"/>
  <c r="G21" i="64"/>
  <c r="H20" i="64"/>
  <c r="H19" i="64"/>
  <c r="H18" i="64"/>
  <c r="G16" i="64"/>
  <c r="H15" i="64"/>
  <c r="D26" i="64"/>
  <c r="H14" i="64"/>
  <c r="H13" i="64"/>
  <c r="H25" i="64" l="1"/>
  <c r="H21" i="64"/>
  <c r="G26" i="64"/>
  <c r="H16" i="64"/>
  <c r="H26" i="64" l="1"/>
  <c r="G42" i="5" l="1"/>
  <c r="C42" i="5"/>
  <c r="G41" i="5" l="1"/>
  <c r="C41" i="5"/>
  <c r="I40" i="3"/>
  <c r="I41" i="31"/>
  <c r="K41" i="5" l="1"/>
  <c r="G39" i="31"/>
  <c r="E39" i="31"/>
  <c r="I32" i="31"/>
  <c r="I30" i="3"/>
  <c r="I28" i="3"/>
  <c r="C38" i="3"/>
  <c r="I35" i="3" l="1"/>
  <c r="I10" i="3" l="1"/>
  <c r="G11" i="5" l="1"/>
  <c r="I12" i="4"/>
  <c r="I12" i="31"/>
  <c r="K11" i="5" l="1"/>
  <c r="I10" i="4" l="1"/>
  <c r="K9" i="5" l="1"/>
  <c r="G7" i="3" l="1"/>
  <c r="G9" i="3" s="1"/>
  <c r="E7" i="3"/>
  <c r="C7" i="3"/>
  <c r="G9" i="31"/>
  <c r="G11" i="31" s="1"/>
  <c r="E9" i="31"/>
  <c r="C9" i="31"/>
  <c r="C11" i="31" l="1"/>
  <c r="C13" i="31" s="1"/>
  <c r="C15" i="31" s="1"/>
  <c r="E11" i="31"/>
  <c r="E13" i="31" s="1"/>
  <c r="E15" i="31" s="1"/>
  <c r="E17" i="31" s="1"/>
  <c r="E19" i="31" s="1"/>
  <c r="E21" i="31" s="1"/>
  <c r="C9" i="3"/>
  <c r="E9" i="3"/>
  <c r="E11" i="3" s="1"/>
  <c r="E13" i="3" s="1"/>
  <c r="E15" i="3" s="1"/>
  <c r="G11" i="3"/>
  <c r="I12" i="5"/>
  <c r="I14" i="5" s="1"/>
  <c r="I16" i="5" s="1"/>
  <c r="I18" i="5" s="1"/>
  <c r="G13" i="31"/>
  <c r="G15" i="31" s="1"/>
  <c r="G17" i="31" s="1"/>
  <c r="G19" i="31" s="1"/>
  <c r="G21" i="31" s="1"/>
  <c r="I20" i="5" s="1"/>
  <c r="I9" i="31"/>
  <c r="I7" i="3"/>
  <c r="C27" i="5"/>
  <c r="E17" i="3" l="1"/>
  <c r="E19" i="3" s="1"/>
  <c r="G20" i="5"/>
  <c r="C17" i="31"/>
  <c r="C19" i="31" s="1"/>
  <c r="I15" i="31"/>
  <c r="I17" i="31" s="1"/>
  <c r="C11" i="3"/>
  <c r="C13" i="3" s="1"/>
  <c r="C15" i="3" s="1"/>
  <c r="C17" i="3" s="1"/>
  <c r="C19" i="3" s="1"/>
  <c r="I19" i="3" s="1"/>
  <c r="I9" i="3"/>
  <c r="I11" i="3" s="1"/>
  <c r="I13" i="3" s="1"/>
  <c r="G10" i="5"/>
  <c r="G12" i="5" s="1"/>
  <c r="G14" i="5" s="1"/>
  <c r="G16" i="5" s="1"/>
  <c r="G18" i="5" s="1"/>
  <c r="I15" i="3" l="1"/>
  <c r="I17" i="3" s="1"/>
  <c r="C21" i="31"/>
  <c r="I19" i="31"/>
  <c r="G25" i="5"/>
  <c r="C25" i="5"/>
  <c r="I21" i="31" l="1"/>
  <c r="K25" i="5"/>
  <c r="I8" i="3"/>
  <c r="I10" i="31"/>
  <c r="I11" i="31" l="1"/>
  <c r="I13" i="31" s="1"/>
  <c r="G24" i="5"/>
  <c r="C24" i="5"/>
  <c r="I6" i="3"/>
  <c r="I8" i="31"/>
  <c r="K24" i="5" l="1"/>
  <c r="I5" i="3" l="1"/>
  <c r="I4" i="3"/>
  <c r="G6" i="5"/>
  <c r="G5" i="5"/>
  <c r="G8" i="5" s="1"/>
  <c r="I24" i="31"/>
  <c r="L24" i="5" l="1"/>
  <c r="G23" i="5" l="1"/>
  <c r="C23" i="5"/>
  <c r="I32" i="3" l="1"/>
  <c r="I28" i="31" l="1"/>
  <c r="G39" i="5" l="1"/>
  <c r="C40" i="4"/>
  <c r="I39" i="4"/>
  <c r="C39" i="31"/>
  <c r="I38" i="31"/>
  <c r="I36" i="31"/>
  <c r="K36" i="5" s="1"/>
  <c r="I37" i="31"/>
  <c r="G36" i="5" l="1"/>
  <c r="C36" i="5"/>
  <c r="K33" i="5" l="1"/>
  <c r="G35" i="5" l="1"/>
  <c r="C35" i="5"/>
  <c r="K27" i="5" l="1"/>
  <c r="K46" i="5" l="1"/>
  <c r="L35" i="5" l="1"/>
  <c r="D33" i="4" l="1"/>
  <c r="E33" i="4"/>
  <c r="F33" i="4"/>
  <c r="G33" i="4"/>
  <c r="H33" i="4"/>
  <c r="C33" i="4"/>
  <c r="F35" i="4" l="1"/>
  <c r="G31" i="5"/>
  <c r="K31" i="5" s="1"/>
  <c r="G29" i="5"/>
  <c r="K29" i="5" l="1"/>
  <c r="I47" i="31"/>
  <c r="J45" i="31"/>
  <c r="G45" i="31"/>
  <c r="E45" i="31"/>
  <c r="I44" i="31"/>
  <c r="I43" i="31"/>
  <c r="K43" i="5" s="1"/>
  <c r="I35" i="31"/>
  <c r="G33" i="31"/>
  <c r="E33" i="31"/>
  <c r="C33" i="31"/>
  <c r="I31" i="31"/>
  <c r="I30" i="31"/>
  <c r="G29" i="31"/>
  <c r="E29" i="31"/>
  <c r="C29" i="31"/>
  <c r="I26" i="31"/>
  <c r="I25" i="31"/>
  <c r="J27" i="31"/>
  <c r="I7" i="31"/>
  <c r="I6" i="31"/>
  <c r="H46" i="4"/>
  <c r="G46" i="4"/>
  <c r="F46" i="4"/>
  <c r="E46" i="4"/>
  <c r="D46" i="4"/>
  <c r="I45" i="4"/>
  <c r="J40" i="4"/>
  <c r="G40" i="4"/>
  <c r="E40" i="4"/>
  <c r="H35" i="4"/>
  <c r="H41" i="4" s="1"/>
  <c r="D35" i="4"/>
  <c r="J33" i="4"/>
  <c r="G29" i="4"/>
  <c r="G35" i="4" s="1"/>
  <c r="I28" i="4"/>
  <c r="H28" i="4"/>
  <c r="E29" i="4"/>
  <c r="E35" i="4" s="1"/>
  <c r="C29" i="4"/>
  <c r="C9" i="4"/>
  <c r="C11" i="4" s="1"/>
  <c r="C10" i="5" s="1"/>
  <c r="I8" i="4"/>
  <c r="I7" i="4"/>
  <c r="I6" i="4"/>
  <c r="G38" i="5"/>
  <c r="E38" i="5"/>
  <c r="G33" i="5"/>
  <c r="E32" i="5"/>
  <c r="E27" i="5"/>
  <c r="I46" i="3"/>
  <c r="J44" i="3"/>
  <c r="J38" i="3"/>
  <c r="E38" i="3"/>
  <c r="I36" i="3"/>
  <c r="K37" i="5" s="1"/>
  <c r="I34" i="3"/>
  <c r="J31" i="3"/>
  <c r="E25" i="3"/>
  <c r="E27" i="3" s="1"/>
  <c r="C25" i="3"/>
  <c r="I24" i="3"/>
  <c r="I23" i="3"/>
  <c r="J25" i="3"/>
  <c r="I39" i="31" l="1"/>
  <c r="K35" i="5"/>
  <c r="G34" i="31"/>
  <c r="G40" i="31" s="1"/>
  <c r="G46" i="31" s="1"/>
  <c r="E34" i="31"/>
  <c r="E40" i="31" s="1"/>
  <c r="E46" i="31" s="1"/>
  <c r="E48" i="31" s="1"/>
  <c r="C34" i="31"/>
  <c r="C40" i="31" s="1"/>
  <c r="I9" i="4"/>
  <c r="I11" i="4" s="1"/>
  <c r="C27" i="3"/>
  <c r="I27" i="31"/>
  <c r="I29" i="31" s="1"/>
  <c r="I25" i="3"/>
  <c r="L32" i="5"/>
  <c r="C35" i="4"/>
  <c r="C41" i="4" s="1"/>
  <c r="E41" i="4"/>
  <c r="E47" i="4" s="1"/>
  <c r="E49" i="4" s="1"/>
  <c r="I27" i="4"/>
  <c r="I29" i="4" s="1"/>
  <c r="H27" i="4"/>
  <c r="H47" i="4" s="1"/>
  <c r="J33" i="31"/>
  <c r="L26" i="5"/>
  <c r="I33" i="4"/>
  <c r="I40" i="4" s="1"/>
  <c r="I33" i="31"/>
  <c r="C26" i="5"/>
  <c r="C28" i="5" s="1"/>
  <c r="G26" i="5"/>
  <c r="G28" i="5" s="1"/>
  <c r="G44" i="5"/>
  <c r="K5" i="5"/>
  <c r="K6" i="5"/>
  <c r="E26" i="5"/>
  <c r="E28" i="5" s="1"/>
  <c r="J33" i="3"/>
  <c r="J35" i="4"/>
  <c r="G41" i="4"/>
  <c r="G47" i="4"/>
  <c r="G49" i="4" s="1"/>
  <c r="J41" i="4"/>
  <c r="C38" i="5"/>
  <c r="K23" i="5"/>
  <c r="I34" i="31" l="1"/>
  <c r="I40" i="31" s="1"/>
  <c r="J39" i="3"/>
  <c r="J39" i="31"/>
  <c r="J40" i="31" s="1"/>
  <c r="J46" i="31" s="1"/>
  <c r="J48" i="31" s="1"/>
  <c r="J46" i="4"/>
  <c r="J47" i="4" s="1"/>
  <c r="J49" i="4" s="1"/>
  <c r="I27" i="3"/>
  <c r="E44" i="3"/>
  <c r="C45" i="31"/>
  <c r="I42" i="31"/>
  <c r="K42" i="5" s="1"/>
  <c r="C13" i="4"/>
  <c r="C15" i="4" s="1"/>
  <c r="I35" i="4"/>
  <c r="I41" i="4" s="1"/>
  <c r="E34" i="5"/>
  <c r="E40" i="5" s="1"/>
  <c r="K8" i="5"/>
  <c r="K28" i="5"/>
  <c r="K26" i="5"/>
  <c r="L34" i="5"/>
  <c r="I15" i="4" l="1"/>
  <c r="I17" i="4" s="1"/>
  <c r="I19" i="4" s="1"/>
  <c r="I21" i="4" s="1"/>
  <c r="C17" i="4"/>
  <c r="C19" i="4" s="1"/>
  <c r="C21" i="4" s="1"/>
  <c r="C20" i="5" s="1"/>
  <c r="K20" i="5" s="1"/>
  <c r="L44" i="5"/>
  <c r="I29" i="3"/>
  <c r="I31" i="3" s="1"/>
  <c r="I33" i="3" s="1"/>
  <c r="C31" i="3"/>
  <c r="C33" i="3" s="1"/>
  <c r="C39" i="3" s="1"/>
  <c r="C30" i="5"/>
  <c r="J45" i="3"/>
  <c r="J47" i="3" s="1"/>
  <c r="E45" i="5"/>
  <c r="E47" i="5" s="1"/>
  <c r="I45" i="31"/>
  <c r="C46" i="4"/>
  <c r="K10" i="5"/>
  <c r="C12" i="5"/>
  <c r="C14" i="5" s="1"/>
  <c r="C16" i="5" s="1"/>
  <c r="I13" i="4"/>
  <c r="L38" i="5"/>
  <c r="G48" i="31"/>
  <c r="C47" i="4" l="1"/>
  <c r="I47" i="4" s="1"/>
  <c r="K16" i="5"/>
  <c r="K18" i="5" s="1"/>
  <c r="C18" i="5"/>
  <c r="E31" i="3"/>
  <c r="E33" i="3" s="1"/>
  <c r="E45" i="3" s="1"/>
  <c r="E47" i="3" s="1"/>
  <c r="G30" i="5"/>
  <c r="G32" i="5" s="1"/>
  <c r="G34" i="5" s="1"/>
  <c r="G40" i="5" s="1"/>
  <c r="G45" i="5" s="1"/>
  <c r="G47" i="5" s="1"/>
  <c r="C32" i="5"/>
  <c r="C34" i="5" s="1"/>
  <c r="C40" i="5" s="1"/>
  <c r="K12" i="5"/>
  <c r="K14" i="5" s="1"/>
  <c r="I46" i="4"/>
  <c r="K38" i="5"/>
  <c r="I38" i="3"/>
  <c r="I39" i="3" s="1"/>
  <c r="L40" i="5"/>
  <c r="C46" i="31"/>
  <c r="C48" i="31" s="1"/>
  <c r="C49" i="4" l="1"/>
  <c r="K30" i="5"/>
  <c r="K32" i="5" s="1"/>
  <c r="L45" i="5"/>
  <c r="C44" i="5"/>
  <c r="C45" i="5" s="1"/>
  <c r="C47" i="5" s="1"/>
  <c r="I44" i="3"/>
  <c r="C44" i="3"/>
  <c r="C45" i="3" s="1"/>
  <c r="I46" i="31"/>
  <c r="I48" i="31" l="1"/>
  <c r="K34" i="5"/>
  <c r="K40" i="5"/>
  <c r="L47" i="5"/>
  <c r="I45" i="3"/>
  <c r="I47" i="3" s="1"/>
  <c r="K44" i="5"/>
  <c r="C47" i="3"/>
  <c r="K45" i="5" l="1"/>
  <c r="K47" i="5" s="1"/>
  <c r="F40" i="4" l="1"/>
  <c r="F41" i="4" s="1"/>
  <c r="F47" i="4" s="1"/>
  <c r="F49" i="4" s="1"/>
  <c r="I49" i="4" s="1"/>
  <c r="D40" i="4"/>
  <c r="D47" i="4" s="1"/>
  <c r="D41" i="4" l="1"/>
</calcChain>
</file>

<file path=xl/sharedStrings.xml><?xml version="1.0" encoding="utf-8"?>
<sst xmlns="http://schemas.openxmlformats.org/spreadsheetml/2006/main" count="954" uniqueCount="166">
  <si>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</si>
  <si>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</si>
  <si>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</si>
  <si>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</si>
  <si>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</si>
  <si>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</si>
  <si>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</si>
  <si>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</si>
  <si>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</si>
  <si>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</si>
  <si>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</si>
  <si>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</si>
  <si>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</si>
  <si>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</si>
  <si>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</si>
  <si>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</si>
  <si>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</si>
  <si>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</si>
  <si>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</si>
  <si>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</si>
  <si>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</si>
  <si>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</si>
  <si>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</si>
  <si>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</si>
  <si>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</si>
  <si>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</si>
  <si>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</si>
  <si>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</si>
  <si>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</si>
  <si>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</si>
  <si>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</si>
  <si>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</si>
  <si>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</si>
  <si>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</si>
  <si>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</si>
  <si>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</si>
  <si>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</si>
  <si>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</si>
  <si>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</si>
  <si>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</si>
  <si>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</si>
  <si>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</si>
  <si>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</si>
  <si>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</si>
  <si>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</si>
  <si>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</si>
  <si>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</si>
  <si>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</si>
  <si>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>Dr . Antoaneta PETRA</t>
  </si>
  <si>
    <t>REG trim III</t>
  </si>
  <si>
    <t>REG TRIM II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</si>
  <si>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</si>
  <si>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</si>
  <si>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</si>
  <si>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</si>
  <si>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</si>
  <si>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</si>
  <si>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</si>
  <si>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</si>
  <si>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</si>
  <si>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</si>
  <si>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</si>
  <si>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</si>
  <si>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Influente +/-</t>
  </si>
  <si>
    <t>6=4+5</t>
  </si>
  <si>
    <t>SC NEFROLAB Caracal</t>
  </si>
  <si>
    <t>Total centru public</t>
  </si>
  <si>
    <t>Total centru privat</t>
  </si>
  <si>
    <t>Nr. ședințe</t>
  </si>
  <si>
    <t>CASA DE ASIGURARI DE SANATATE OLT</t>
  </si>
  <si>
    <t>DIRECTIA MEDIC - SEF</t>
  </si>
  <si>
    <t>COMPARTIMENT PROGRAME DE SANATATE</t>
  </si>
  <si>
    <t xml:space="preserve">Situaţia repartitiei creditelor bugetare </t>
  </si>
  <si>
    <t>Intocmit,</t>
  </si>
  <si>
    <t>Ec. Daniela TALEVICI</t>
  </si>
  <si>
    <t xml:space="preserve">Nr. pacienţi contractați </t>
  </si>
  <si>
    <t>Influente+/-</t>
  </si>
  <si>
    <t xml:space="preserve">Situaţie repartizare  creditelor bugetare </t>
  </si>
  <si>
    <t>Anexa 1</t>
  </si>
  <si>
    <t>efectuate  în regim ambulatoriu în luna ianuarie 2022</t>
  </si>
  <si>
    <t>Nr. pacienţi contractați ianuarie 2022</t>
  </si>
  <si>
    <t>Nr. ședințe ianuarie 2022</t>
  </si>
  <si>
    <t>Sumă contractată ianuarie 2022</t>
  </si>
  <si>
    <t>pentru servicii medicale de hemodializă şi dializă peritoneală efectuate  în regim ambulatoriu în luna ianuarie  2022</t>
  </si>
  <si>
    <t>Credite bugetare ianuarie 2022</t>
  </si>
  <si>
    <t>adreselor  CNAS nr. P 11.457/30.12.2021 si P 11.474/31.12.2021, inregistrate la CAS Olt sub nr. 38.854/30.12.2021 si  nr  38.860/31.12.2021</t>
  </si>
  <si>
    <t>adreseI CNAS nr. P 11.474/31.12.2021 inregistrata la CAS Olt sub nr. 38.860/31.12.2021</t>
  </si>
  <si>
    <t>Nr. ședințe ianuarie- februarie  2022</t>
  </si>
  <si>
    <t>Sumă contractată ianuarie- februarie  2022</t>
  </si>
  <si>
    <t>Credite bugetare ian -feb 2022</t>
  </si>
  <si>
    <t>efectuate  în regim ambulatoriu pentru perioda ianuarie - februarie 2022</t>
  </si>
  <si>
    <t>conform adresei CNAS nr. P 672/01.02.2022 inregistrata la CAS Olt sub nr. 2.995/01.02.2022</t>
  </si>
  <si>
    <t>pentru servicii medicale de hemodializă şi dializă peritoneală efectuate  în regim ambulatoriu în luna februarie  2022</t>
  </si>
  <si>
    <t xml:space="preserve">adresei  CNAS nr. P 672/01.02.2022 inregistrata la CAS Olt sub nr. 2.995/01.02.2022 </t>
  </si>
  <si>
    <t>PLATI 2022</t>
  </si>
  <si>
    <t>TOTAL REALIZAT  AN 2022</t>
  </si>
  <si>
    <t>TOTAL CONTRACT AN 2022</t>
  </si>
  <si>
    <t>TRIM I 2022</t>
  </si>
  <si>
    <t>Sumă contractată ianuarie- martie  2022</t>
  </si>
  <si>
    <t>efectuate  în regim ambulatoriu pentru perioda ianuarie -martie 2022</t>
  </si>
  <si>
    <t>Nr. ședințe ianuarie- martie 2022</t>
  </si>
  <si>
    <t>adresei  CNAS nr. P 1.675/01.03.2022 si adresei P 1.608/28.02.2022 inregistrate la CAS Olt sub nr. 5.702/01.03.2022 si 5.704/01.03.2022</t>
  </si>
  <si>
    <t>conform adresei CNAS nr. P 1.675/01.03.2022 inregistrata la CAS Olt sub nr. 5.702/01.03.2022</t>
  </si>
  <si>
    <t>Credite bugetare ian - mar 2022</t>
  </si>
  <si>
    <t>pentru servicii medicale de hemodializă şi dializă peritoneală efectuate  în regim ambulatoriu în luna martie  2022</t>
  </si>
  <si>
    <t>pentru servicii medicale de hemodializă şi dializă peritoneală efectuate  în regim ambulatoriu în trimestrul I 2022</t>
  </si>
  <si>
    <t>conform adresei CNAS nr. P 2.403/24.03.2022 inregistrata la CAS Olt sub nr. 8.251/25.03.2022</t>
  </si>
  <si>
    <t xml:space="preserve">Credite bugetare trim I  2022 </t>
  </si>
  <si>
    <t>efectuate  în regim ambulatoriu pentru perioda ianuarie -aprilie 2022</t>
  </si>
  <si>
    <t>Nr. ședințe ianuarie- aprilie  2022</t>
  </si>
  <si>
    <t>Sumă contractată ianuarie- aprilie  2022</t>
  </si>
  <si>
    <t>adresei  CNAS nr. P 2.604/31.03.2022 si adresei P 2.612/31.03.2022 inregistrate la CAS Olt sub nr. 9.448/04.04.2022 si 9.293/01.04.2022</t>
  </si>
  <si>
    <t>efectuate  în regim ambulatoriu pentru perioda ianuarie -decembrie 2022</t>
  </si>
  <si>
    <t>adresei  CNAS nr. P 2.603/31.03.2022 si adresei P 3154/21.04.2022 inregistrate la CAS Olt sub nr. 9.447/04.04.2022 si 11.700/21.04.2022</t>
  </si>
  <si>
    <t>Sumă contractată ianuarie- aprilie   2022</t>
  </si>
  <si>
    <t>Sumă contractată ianuarie- decembrie  2022</t>
  </si>
  <si>
    <t>pentru servicii medicale de hemodializă şi dializă peritoneală efectuate  în regim ambulatoriu în anuI 2022</t>
  </si>
  <si>
    <t xml:space="preserve">Credite bugetare trim II  2022 </t>
  </si>
  <si>
    <t xml:space="preserve">Credite bugetare trim III  2022 </t>
  </si>
  <si>
    <t xml:space="preserve">Credite bugetare trim IV  2022 </t>
  </si>
  <si>
    <t xml:space="preserve">Credite bugetare AN  2022 </t>
  </si>
  <si>
    <t xml:space="preserve">Credite bugetare aprilie 2022 </t>
  </si>
  <si>
    <t xml:space="preserve">Credite bugetare mai -decembrie 2022 </t>
  </si>
  <si>
    <t>Anexa 2</t>
  </si>
  <si>
    <t xml:space="preserve">conform adresei CNAS nr. P 2.603/31.03.2022 inregistrata la CAS Olt sub nr. 9.447/04.04.2022 </t>
  </si>
  <si>
    <t>conform adresei CNAS nr 3.094/20.04.2022 inregistrata la CAS Olt nr. 11.487/20.04.2022</t>
  </si>
  <si>
    <t>pentru servicii medicale de hemodializă şi dializă peritoneală efectuate  în regim ambulatoriu repartizate pe trimestre în anuI 2022</t>
  </si>
  <si>
    <t>Nr. ședințe an  2022</t>
  </si>
  <si>
    <t>Situaţia sumelor contractate pentru servicii medicale de hemodializă şi dializă peritoneală</t>
  </si>
  <si>
    <t xml:space="preserve">aprilie </t>
  </si>
  <si>
    <t>mai- decembrie 2022</t>
  </si>
  <si>
    <t>AN 2022</t>
  </si>
  <si>
    <t xml:space="preserve">CUMULAT 6 LUNI </t>
  </si>
  <si>
    <t>mai - dec 2022</t>
  </si>
  <si>
    <t>CONTRACT AN 2022</t>
  </si>
  <si>
    <t>CREDITE DE ANGAJAMENT AN 2022</t>
  </si>
  <si>
    <t>CREDITE DE ANGAJAMENT REALIZATE AN 2022</t>
  </si>
  <si>
    <t>TOTAL SEM II</t>
  </si>
  <si>
    <t>DIFERENTA CONTRACT</t>
  </si>
  <si>
    <t>aprile 2022</t>
  </si>
  <si>
    <t>TOTAL AN 2022</t>
  </si>
  <si>
    <t>mai -decembrie 2022</t>
  </si>
  <si>
    <t>DIFERENTA  CONTRACT</t>
  </si>
  <si>
    <t>mai -dec 2022</t>
  </si>
  <si>
    <t>An 2022</t>
  </si>
  <si>
    <t>efectuate  în regim ambulatoriu in anul 2022</t>
  </si>
  <si>
    <t>adresei  CNAS nr. P 3.960/18.05.2022 si  inregistrate la CAS Olt sub nr. 13.984/18.05.2022</t>
  </si>
  <si>
    <t>Sumă contractată an  2022</t>
  </si>
  <si>
    <t xml:space="preserve">regularizare </t>
  </si>
  <si>
    <t>regularizare</t>
  </si>
  <si>
    <t xml:space="preserve"> AN 2022</t>
  </si>
  <si>
    <t xml:space="preserve">conform adresei CNAS nr. P 7.198/20.09.2022 inregistrata la CAS Olt sub nr. 25.511/21.09.2022 </t>
  </si>
  <si>
    <t>5=3+4</t>
  </si>
  <si>
    <t>adresei  CNAS nr. P 7.596/04.10.2022 si adresei P 7636/05.10.2022 inregistrate la CAS Olt sub nr. 26.623/05.10.2022 si 26.749/06.10.2022</t>
  </si>
  <si>
    <t xml:space="preserve">conform adresei CNAS nr. P 7.797/10.10.2022 inregistrata la CAS Olt sub nr. 27.211/11.10.2022 </t>
  </si>
  <si>
    <t xml:space="preserve">REGULARIZARE I </t>
  </si>
  <si>
    <t>REGULARIZARE I</t>
  </si>
  <si>
    <t>adresei  CNAS nr. P 8.176/25.10.2022 si adresei P 8077/21.10.2022 inregistrate la CAS Olt sub nr. 28.526/26.10.2022 si 28.286/21.10.2022</t>
  </si>
  <si>
    <t>MAJORARE 6 SED</t>
  </si>
  <si>
    <t xml:space="preserve">conform adresei CNAS nr. P 8.579/04.11.2022 inregistrata la CAS Olt sub nr. 29.873/10.11.2022 </t>
  </si>
  <si>
    <t xml:space="preserve">conform adresei CNAS nr. P 9.548/13.12.2022 inregistrata la CAS Olt sub nr. 33.044/13.12.2022 </t>
  </si>
  <si>
    <t xml:space="preserve">conform adresei CNAS nr. P 9.832/20.12.2022 inregistrata la CAS Olt sub nr. 34.076/20.12.2022 </t>
  </si>
  <si>
    <t>adresei  CNAS nr. P 9.952/22.12.2022 si adresei P 9.937/22.12.2022 inregistrate la CAS Olt sub nr. 34.5532/23.12.2022 si 34.626/27.12.2022</t>
  </si>
  <si>
    <t xml:space="preserve">TOTAL DIMINUARE CU SUMA NEANGAJATA </t>
  </si>
  <si>
    <t>DIMINUARE</t>
  </si>
  <si>
    <t>MAJORARE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</si>
</sst>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38" fillId="0" borderId="0"/>
  </cellStyleXfs>
  <cellXfs count="72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6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4" fontId="27" fillId="0" borderId="13" xfId="0" applyNumberFormat="1" applyFont="1" applyBorder="1" applyAlignment="1">
      <alignment horizontal="center"/>
    </xf>
    <xf numFmtId="0" fontId="27" fillId="0" borderId="0" xfId="0" applyFont="1"/>
    <xf numFmtId="4" fontId="27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6" fillId="0" borderId="0" xfId="0" applyNumberFormat="1" applyFont="1" applyAlignment="1"/>
    <xf numFmtId="4" fontId="20" fillId="0" borderId="0" xfId="0" applyNumberFormat="1" applyFont="1" applyAlignment="1">
      <alignment horizontal="center"/>
    </xf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3" fontId="7" fillId="0" borderId="3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/>
    </xf>
    <xf numFmtId="0" fontId="26" fillId="0" borderId="0" xfId="0" applyFont="1" applyAlignment="1"/>
    <xf numFmtId="0" fontId="3" fillId="0" borderId="4" xfId="0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0" fontId="32" fillId="0" borderId="12" xfId="0" applyFont="1" applyBorder="1"/>
    <xf numFmtId="0" fontId="33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4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right"/>
    </xf>
    <xf numFmtId="4" fontId="19" fillId="0" borderId="28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" fontId="8" fillId="0" borderId="12" xfId="0" applyNumberFormat="1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left" vertical="center"/>
    </xf>
    <xf numFmtId="4" fontId="0" fillId="0" borderId="26" xfId="0" applyNumberFormat="1" applyBorder="1" applyAlignment="1">
      <alignment horizontal="center"/>
    </xf>
    <xf numFmtId="0" fontId="10" fillId="0" borderId="39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18" fillId="0" borderId="0" xfId="0" applyNumberFormat="1" applyFont="1" applyAlignment="1"/>
    <xf numFmtId="4" fontId="16" fillId="0" borderId="0" xfId="0" applyNumberFormat="1" applyFont="1" applyAlignment="1"/>
    <xf numFmtId="0" fontId="6" fillId="0" borderId="22" xfId="0" applyFont="1" applyBorder="1" applyAlignment="1"/>
    <xf numFmtId="4" fontId="0" fillId="0" borderId="13" xfId="0" applyNumberFormat="1" applyBorder="1" applyAlignment="1"/>
    <xf numFmtId="4" fontId="4" fillId="0" borderId="13" xfId="0" applyNumberFormat="1" applyFont="1" applyBorder="1" applyAlignment="1"/>
    <xf numFmtId="4" fontId="27" fillId="0" borderId="13" xfId="0" applyNumberFormat="1" applyFont="1" applyBorder="1" applyAlignment="1"/>
    <xf numFmtId="4" fontId="21" fillId="0" borderId="13" xfId="0" applyNumberFormat="1" applyFont="1" applyBorder="1" applyAlignment="1"/>
    <xf numFmtId="4" fontId="4" fillId="0" borderId="16" xfId="0" applyNumberFormat="1" applyFont="1" applyBorder="1" applyAlignment="1"/>
    <xf numFmtId="4" fontId="0" fillId="0" borderId="0" xfId="0" applyNumberFormat="1" applyAlignment="1"/>
    <xf numFmtId="4" fontId="23" fillId="0" borderId="0" xfId="0" applyNumberFormat="1" applyFont="1" applyAlignment="1"/>
    <xf numFmtId="0" fontId="16" fillId="0" borderId="0" xfId="0" applyFont="1" applyAlignment="1"/>
    <xf numFmtId="4" fontId="17" fillId="0" borderId="0" xfId="0" applyNumberFormat="1" applyFont="1" applyAlignment="1"/>
    <xf numFmtId="4" fontId="16" fillId="0" borderId="13" xfId="0" applyNumberFormat="1" applyFont="1" applyBorder="1" applyAlignment="1"/>
    <xf numFmtId="4" fontId="6" fillId="0" borderId="27" xfId="0" applyNumberFormat="1" applyFont="1" applyBorder="1" applyAlignment="1"/>
    <xf numFmtId="4" fontId="19" fillId="0" borderId="13" xfId="0" applyNumberFormat="1" applyFont="1" applyBorder="1" applyAlignment="1"/>
    <xf numFmtId="4" fontId="19" fillId="0" borderId="27" xfId="0" applyNumberFormat="1" applyFont="1" applyBorder="1" applyAlignment="1"/>
    <xf numFmtId="4" fontId="20" fillId="0" borderId="13" xfId="0" applyNumberFormat="1" applyFont="1" applyBorder="1" applyAlignment="1"/>
    <xf numFmtId="4" fontId="2" fillId="0" borderId="13" xfId="0" applyNumberFormat="1" applyFont="1" applyBorder="1" applyAlignment="1"/>
    <xf numFmtId="4" fontId="20" fillId="0" borderId="27" xfId="0" applyNumberFormat="1" applyFont="1" applyBorder="1" applyAlignment="1"/>
    <xf numFmtId="4" fontId="28" fillId="0" borderId="13" xfId="0" applyNumberFormat="1" applyFont="1" applyBorder="1" applyAlignment="1"/>
    <xf numFmtId="4" fontId="4" fillId="0" borderId="27" xfId="0" applyNumberFormat="1" applyFont="1" applyBorder="1" applyAlignment="1"/>
    <xf numFmtId="4" fontId="4" fillId="3" borderId="13" xfId="0" applyNumberFormat="1" applyFont="1" applyFill="1" applyBorder="1" applyAlignment="1"/>
    <xf numFmtId="4" fontId="4" fillId="3" borderId="27" xfId="0" applyNumberFormat="1" applyFont="1" applyFill="1" applyBorder="1" applyAlignment="1"/>
    <xf numFmtId="4" fontId="4" fillId="0" borderId="34" xfId="0" applyNumberFormat="1" applyFont="1" applyBorder="1" applyAlignment="1"/>
    <xf numFmtId="4" fontId="19" fillId="0" borderId="19" xfId="0" applyNumberFormat="1" applyFont="1" applyBorder="1" applyAlignment="1"/>
    <xf numFmtId="4" fontId="19" fillId="0" borderId="28" xfId="0" applyNumberFormat="1" applyFont="1" applyBorder="1" applyAlignment="1"/>
    <xf numFmtId="4" fontId="22" fillId="0" borderId="0" xfId="0" applyNumberFormat="1" applyFont="1" applyAlignment="1"/>
    <xf numFmtId="4" fontId="24" fillId="0" borderId="0" xfId="0" applyNumberFormat="1" applyFont="1" applyAlignment="1"/>
    <xf numFmtId="0" fontId="14" fillId="0" borderId="0" xfId="0" applyFont="1" applyAlignment="1"/>
    <xf numFmtId="0" fontId="6" fillId="0" borderId="32" xfId="0" applyFont="1" applyBorder="1" applyAlignment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4" fontId="6" fillId="3" borderId="13" xfId="0" applyNumberFormat="1" applyFont="1" applyFill="1" applyBorder="1" applyAlignment="1"/>
    <xf numFmtId="4" fontId="6" fillId="3" borderId="27" xfId="0" applyNumberFormat="1" applyFont="1" applyFill="1" applyBorder="1" applyAlignment="1"/>
    <xf numFmtId="4" fontId="32" fillId="3" borderId="13" xfId="0" applyNumberFormat="1" applyFont="1" applyFill="1" applyBorder="1" applyAlignment="1"/>
    <xf numFmtId="4" fontId="19" fillId="3" borderId="27" xfId="0" applyNumberFormat="1" applyFont="1" applyFill="1" applyBorder="1" applyAlignment="1"/>
    <xf numFmtId="0" fontId="27" fillId="3" borderId="12" xfId="0" applyFont="1" applyFill="1" applyBorder="1"/>
    <xf numFmtId="4" fontId="27" fillId="3" borderId="13" xfId="0" applyNumberFormat="1" applyFont="1" applyFill="1" applyBorder="1" applyAlignment="1">
      <alignment horizontal="center"/>
    </xf>
    <xf numFmtId="4" fontId="19" fillId="3" borderId="27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7" xfId="0" applyNumberFormat="1" applyFont="1" applyFill="1" applyBorder="1" applyAlignment="1">
      <alignment horizontal="center"/>
    </xf>
    <xf numFmtId="0" fontId="4" fillId="3" borderId="15" xfId="0" applyFont="1" applyFill="1" applyBorder="1"/>
    <xf numFmtId="4" fontId="4" fillId="3" borderId="16" xfId="0" applyNumberFormat="1" applyFont="1" applyFill="1" applyBorder="1" applyAlignment="1">
      <alignment horizontal="center"/>
    </xf>
    <xf numFmtId="4" fontId="4" fillId="3" borderId="34" xfId="0" applyNumberFormat="1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4" fillId="0" borderId="0" xfId="0" applyNumberFormat="1" applyFont="1" applyAlignment="1"/>
    <xf numFmtId="4" fontId="25" fillId="0" borderId="26" xfId="1" applyNumberFormat="1" applyFont="1" applyBorder="1" applyAlignment="1">
      <alignment horizontal="center"/>
    </xf>
    <xf numFmtId="4" fontId="37" fillId="0" borderId="26" xfId="1" applyNumberFormat="1" applyFont="1" applyBorder="1" applyAlignment="1">
      <alignment horizontal="center"/>
    </xf>
    <xf numFmtId="0" fontId="39" fillId="3" borderId="12" xfId="0" applyFont="1" applyFill="1" applyBorder="1"/>
    <xf numFmtId="4" fontId="39" fillId="3" borderId="13" xfId="0" applyNumberFormat="1" applyFont="1" applyFill="1" applyBorder="1" applyAlignment="1">
      <alignment horizontal="center"/>
    </xf>
    <xf numFmtId="0" fontId="39" fillId="4" borderId="0" xfId="0" applyFont="1" applyFill="1"/>
    <xf numFmtId="0" fontId="0" fillId="4" borderId="0" xfId="0" applyFill="1"/>
    <xf numFmtId="4" fontId="0" fillId="0" borderId="0" xfId="0" applyNumberFormat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32" fillId="3" borderId="10" xfId="0" applyNumberFormat="1" applyFont="1" applyFill="1" applyBorder="1" applyAlignment="1">
      <alignment horizontal="center"/>
    </xf>
    <xf numFmtId="4" fontId="0" fillId="0" borderId="26" xfId="0" applyNumberFormat="1" applyBorder="1" applyAlignment="1"/>
    <xf numFmtId="4" fontId="25" fillId="0" borderId="0" xfId="0" applyNumberFormat="1" applyFont="1" applyAlignment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0" fontId="21" fillId="4" borderId="0" xfId="0" applyFont="1" applyFill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12" xfId="0" applyFont="1" applyBorder="1"/>
    <xf numFmtId="4" fontId="26" fillId="0" borderId="13" xfId="0" applyNumberFormat="1" applyFont="1" applyBorder="1" applyAlignment="1"/>
    <xf numFmtId="4" fontId="20" fillId="2" borderId="42" xfId="0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6" fillId="2" borderId="42" xfId="0" applyNumberFormat="1" applyFont="1" applyFill="1" applyBorder="1" applyAlignment="1">
      <alignment horizontal="center"/>
    </xf>
    <xf numFmtId="4" fontId="19" fillId="2" borderId="42" xfId="0" applyNumberFormat="1" applyFont="1" applyFill="1" applyBorder="1" applyAlignment="1">
      <alignment horizontal="center"/>
    </xf>
    <xf numFmtId="4" fontId="28" fillId="2" borderId="42" xfId="0" applyNumberFormat="1" applyFont="1" applyFill="1" applyBorder="1" applyAlignment="1">
      <alignment horizontal="center"/>
    </xf>
    <xf numFmtId="4" fontId="4" fillId="3" borderId="42" xfId="0" applyNumberFormat="1" applyFont="1" applyFill="1" applyBorder="1" applyAlignment="1">
      <alignment horizontal="center"/>
    </xf>
    <xf numFmtId="4" fontId="32" fillId="3" borderId="42" xfId="0" applyNumberFormat="1" applyFont="1" applyFill="1" applyBorder="1" applyAlignment="1">
      <alignment horizontal="center"/>
    </xf>
    <xf numFmtId="4" fontId="16" fillId="2" borderId="42" xfId="0" applyNumberFormat="1" applyFont="1" applyFill="1" applyBorder="1" applyAlignment="1">
      <alignment horizontal="center"/>
    </xf>
    <xf numFmtId="4" fontId="4" fillId="2" borderId="42" xfId="0" applyNumberFormat="1" applyFont="1" applyFill="1" applyBorder="1" applyAlignment="1">
      <alignment horizontal="center"/>
    </xf>
    <xf numFmtId="4" fontId="19" fillId="2" borderId="43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4" fontId="6" fillId="3" borderId="42" xfId="0" applyNumberFormat="1" applyFont="1" applyFill="1" applyBorder="1" applyAlignment="1">
      <alignment horizontal="center"/>
    </xf>
    <xf numFmtId="4" fontId="42" fillId="3" borderId="4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5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5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5" xfId="0" applyNumberFormat="1" applyFont="1" applyFill="1" applyBorder="1" applyAlignment="1">
      <alignment horizontal="center"/>
    </xf>
    <xf numFmtId="4" fontId="19" fillId="3" borderId="45" xfId="0" applyNumberFormat="1" applyFont="1" applyFill="1" applyBorder="1" applyAlignment="1">
      <alignment horizontal="center"/>
    </xf>
    <xf numFmtId="4" fontId="36" fillId="2" borderId="45" xfId="0" applyNumberFormat="1" applyFont="1" applyFill="1" applyBorder="1" applyAlignment="1">
      <alignment horizontal="center"/>
    </xf>
    <xf numFmtId="4" fontId="32" fillId="2" borderId="45" xfId="0" applyNumberFormat="1" applyFont="1" applyFill="1" applyBorder="1" applyAlignment="1">
      <alignment horizontal="center"/>
    </xf>
    <xf numFmtId="4" fontId="6" fillId="2" borderId="45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5" xfId="0" applyNumberFormat="1" applyFont="1" applyFill="1" applyBorder="1" applyAlignment="1">
      <alignment horizontal="center"/>
    </xf>
    <xf numFmtId="0" fontId="32" fillId="0" borderId="12" xfId="0" applyFont="1" applyFill="1" applyBorder="1"/>
    <xf numFmtId="0" fontId="21" fillId="0" borderId="0" xfId="0" applyFont="1" applyFill="1"/>
    <xf numFmtId="4" fontId="4" fillId="0" borderId="17" xfId="0" applyNumberFormat="1" applyFont="1" applyBorder="1" applyAlignment="1">
      <alignment horizontal="center"/>
    </xf>
    <xf numFmtId="4" fontId="4" fillId="2" borderId="45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" fontId="6" fillId="3" borderId="45" xfId="0" applyNumberFormat="1" applyFont="1" applyFill="1" applyBorder="1" applyAlignment="1">
      <alignment horizontal="center"/>
    </xf>
    <xf numFmtId="0" fontId="27" fillId="0" borderId="29" xfId="0" applyFont="1" applyBorder="1"/>
    <xf numFmtId="0" fontId="27" fillId="0" borderId="30" xfId="0" applyFont="1" applyBorder="1"/>
    <xf numFmtId="4" fontId="27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32" fillId="0" borderId="13" xfId="0" applyNumberFormat="1" applyFont="1" applyBorder="1" applyAlignment="1"/>
    <xf numFmtId="4" fontId="6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3" fillId="0" borderId="12" xfId="0" applyFont="1" applyBorder="1"/>
    <xf numFmtId="4" fontId="43" fillId="0" borderId="13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4" fontId="42" fillId="0" borderId="27" xfId="0" applyNumberFormat="1" applyFont="1" applyBorder="1" applyAlignment="1">
      <alignment horizontal="center"/>
    </xf>
    <xf numFmtId="4" fontId="42" fillId="2" borderId="42" xfId="0" applyNumberFormat="1" applyFont="1" applyFill="1" applyBorder="1" applyAlignment="1">
      <alignment horizontal="center"/>
    </xf>
    <xf numFmtId="0" fontId="43" fillId="0" borderId="0" xfId="0" applyFont="1"/>
    <xf numFmtId="4" fontId="44" fillId="0" borderId="14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Font="1"/>
    <xf numFmtId="4" fontId="2" fillId="2" borderId="42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" fontId="11" fillId="0" borderId="16" xfId="0" applyNumberFormat="1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49" fillId="0" borderId="9" xfId="0" applyFont="1" applyBorder="1" applyAlignment="1">
      <alignment horizontal="center"/>
    </xf>
    <xf numFmtId="1" fontId="50" fillId="0" borderId="1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1" fontId="50" fillId="0" borderId="19" xfId="0" applyNumberFormat="1" applyFont="1" applyBorder="1" applyAlignment="1">
      <alignment horizontal="left" vertical="center"/>
    </xf>
    <xf numFmtId="3" fontId="50" fillId="0" borderId="19" xfId="0" applyNumberFormat="1" applyFont="1" applyBorder="1" applyAlignment="1">
      <alignment horizontal="center" vertical="center"/>
    </xf>
    <xf numFmtId="4" fontId="50" fillId="0" borderId="20" xfId="0" applyNumberFormat="1" applyFont="1" applyBorder="1" applyAlignment="1">
      <alignment horizontal="center" vertical="center"/>
    </xf>
    <xf numFmtId="164" fontId="32" fillId="3" borderId="4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/>
    <xf numFmtId="0" fontId="4" fillId="0" borderId="3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3" fontId="3" fillId="0" borderId="47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/>
    </xf>
    <xf numFmtId="3" fontId="3" fillId="0" borderId="4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8" fillId="0" borderId="2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left" vertical="center"/>
    </xf>
    <xf numFmtId="3" fontId="11" fillId="0" borderId="46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left" vertical="center"/>
    </xf>
    <xf numFmtId="0" fontId="0" fillId="0" borderId="49" xfId="0" applyBorder="1"/>
    <xf numFmtId="3" fontId="11" fillId="0" borderId="48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51" fillId="0" borderId="20" xfId="0" applyNumberFormat="1" applyFont="1" applyBorder="1" applyAlignment="1">
      <alignment horizontal="center"/>
    </xf>
    <xf numFmtId="4" fontId="51" fillId="0" borderId="23" xfId="0" applyNumberFormat="1" applyFont="1" applyBorder="1" applyAlignment="1">
      <alignment horizontal="center"/>
    </xf>
    <xf numFmtId="4" fontId="46" fillId="0" borderId="8" xfId="0" applyNumberFormat="1" applyFont="1" applyBorder="1" applyAlignment="1">
      <alignment horizontal="center"/>
    </xf>
    <xf numFmtId="4" fontId="46" fillId="0" borderId="17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 vertical="center" wrapText="1"/>
    </xf>
    <xf numFmtId="4" fontId="51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48" fillId="0" borderId="0" xfId="0" applyNumberFormat="1" applyFont="1"/>
    <xf numFmtId="4" fontId="49" fillId="0" borderId="0" xfId="0" applyNumberFormat="1" applyFo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1" fontId="11" fillId="0" borderId="30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center" vertical="center"/>
    </xf>
    <xf numFmtId="4" fontId="30" fillId="0" borderId="30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0" fontId="3" fillId="0" borderId="10" xfId="0" applyFont="1" applyBorder="1"/>
    <xf numFmtId="1" fontId="8" fillId="0" borderId="19" xfId="0" applyNumberFormat="1" applyFont="1" applyBorder="1" applyAlignment="1">
      <alignment horizontal="left" vertical="center"/>
    </xf>
    <xf numFmtId="4" fontId="9" fillId="0" borderId="19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4" fontId="26" fillId="0" borderId="4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52" fillId="0" borderId="22" xfId="0" applyNumberFormat="1" applyFont="1" applyBorder="1" applyAlignment="1">
      <alignment horizontal="center"/>
    </xf>
    <xf numFmtId="4" fontId="52" fillId="0" borderId="16" xfId="0" applyNumberFormat="1" applyFont="1" applyBorder="1" applyAlignment="1">
      <alignment horizontal="center"/>
    </xf>
    <xf numFmtId="4" fontId="52" fillId="0" borderId="6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21" fillId="3" borderId="5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 vertical="center"/>
    </xf>
    <xf numFmtId="4" fontId="44" fillId="0" borderId="27" xfId="0" applyNumberFormat="1" applyFont="1" applyBorder="1" applyAlignment="1">
      <alignment horizontal="center" vertical="center"/>
    </xf>
    <xf numFmtId="4" fontId="31" fillId="0" borderId="27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 vertical="center"/>
    </xf>
    <xf numFmtId="4" fontId="45" fillId="0" borderId="27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12" fillId="0" borderId="56" xfId="0" applyNumberFormat="1" applyFont="1" applyBorder="1" applyAlignment="1">
      <alignment horizontal="center" vertical="center"/>
    </xf>
    <xf numFmtId="4" fontId="13" fillId="0" borderId="56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44" xfId="0" applyFont="1" applyBorder="1"/>
    <xf numFmtId="4" fontId="9" fillId="0" borderId="42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12" fillId="0" borderId="5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3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4" fillId="0" borderId="6" xfId="0" applyNumberFormat="1" applyFont="1" applyBorder="1" applyAlignment="1">
      <alignment horizontal="center"/>
    </xf>
    <xf numFmtId="4" fontId="53" fillId="0" borderId="8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53" fillId="0" borderId="17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54" fillId="0" borderId="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/>
    </xf>
    <xf numFmtId="4" fontId="53" fillId="0" borderId="23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3" fillId="0" borderId="20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54" fillId="0" borderId="4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54" fillId="0" borderId="23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" fontId="4" fillId="0" borderId="4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/>
    </xf>
    <xf numFmtId="4" fontId="54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/>
    </xf>
    <xf numFmtId="4" fontId="53" fillId="0" borderId="33" xfId="0" applyNumberFormat="1" applyFont="1" applyBorder="1" applyAlignment="1">
      <alignment horizontal="center"/>
    </xf>
    <xf numFmtId="4" fontId="26" fillId="2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6" fillId="0" borderId="38" xfId="0" applyFont="1" applyBorder="1"/>
    <xf numFmtId="4" fontId="15" fillId="0" borderId="13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horizontal="center"/>
    </xf>
    <xf numFmtId="4" fontId="41" fillId="0" borderId="13" xfId="0" applyNumberFormat="1" applyFont="1" applyBorder="1"/>
    <xf numFmtId="4" fontId="41" fillId="0" borderId="13" xfId="0" applyNumberFormat="1" applyFont="1" applyBorder="1" applyAlignment="1">
      <alignment horizontal="center"/>
    </xf>
    <xf numFmtId="4" fontId="46" fillId="0" borderId="13" xfId="0" applyNumberFormat="1" applyFont="1" applyBorder="1" applyAlignment="1">
      <alignment horizontal="center"/>
    </xf>
    <xf numFmtId="4" fontId="46" fillId="0" borderId="13" xfId="0" applyNumberFormat="1" applyFont="1" applyBorder="1"/>
    <xf numFmtId="4" fontId="30" fillId="0" borderId="13" xfId="0" applyNumberFormat="1" applyFont="1" applyBorder="1"/>
    <xf numFmtId="4" fontId="29" fillId="0" borderId="13" xfId="0" applyNumberFormat="1" applyFont="1" applyBorder="1"/>
    <xf numFmtId="0" fontId="10" fillId="0" borderId="13" xfId="0" applyFont="1" applyBorder="1" applyAlignment="1">
      <alignment horizontal="center" wrapText="1"/>
    </xf>
    <xf numFmtId="4" fontId="6" fillId="0" borderId="13" xfId="0" applyNumberFormat="1" applyFont="1" applyBorder="1" applyAlignment="1"/>
    <xf numFmtId="17" fontId="10" fillId="0" borderId="13" xfId="0" applyNumberFormat="1" applyFont="1" applyBorder="1" applyAlignment="1">
      <alignment horizontal="left"/>
    </xf>
    <xf numFmtId="4" fontId="29" fillId="0" borderId="13" xfId="0" applyNumberFormat="1" applyFont="1" applyBorder="1" applyAlignment="1"/>
    <xf numFmtId="4" fontId="9" fillId="0" borderId="13" xfId="0" applyNumberFormat="1" applyFont="1" applyBorder="1" applyAlignment="1"/>
    <xf numFmtId="4" fontId="40" fillId="0" borderId="13" xfId="0" applyNumberFormat="1" applyFont="1" applyBorder="1" applyAlignment="1"/>
    <xf numFmtId="4" fontId="12" fillId="0" borderId="13" xfId="0" applyNumberFormat="1" applyFont="1" applyBorder="1" applyAlignment="1"/>
    <xf numFmtId="4" fontId="30" fillId="0" borderId="13" xfId="0" applyNumberFormat="1" applyFont="1" applyBorder="1" applyAlignment="1"/>
    <xf numFmtId="4" fontId="46" fillId="0" borderId="13" xfId="0" applyNumberFormat="1" applyFont="1" applyBorder="1" applyAlignment="1"/>
    <xf numFmtId="0" fontId="10" fillId="0" borderId="13" xfId="0" applyFont="1" applyBorder="1" applyAlignment="1">
      <alignment horizontal="left"/>
    </xf>
    <xf numFmtId="4" fontId="52" fillId="0" borderId="13" xfId="0" applyNumberFormat="1" applyFont="1" applyBorder="1" applyAlignment="1"/>
    <xf numFmtId="0" fontId="47" fillId="0" borderId="13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7" fontId="0" fillId="0" borderId="13" xfId="0" applyNumberFormat="1" applyBorder="1" applyAlignment="1">
      <alignment horizontal="center"/>
    </xf>
    <xf numFmtId="0" fontId="15" fillId="0" borderId="13" xfId="0" applyFont="1" applyBorder="1" applyAlignment="1">
      <alignment horizontal="center"/>
    </xf>
    <xf numFmtId="17" fontId="15" fillId="0" borderId="13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17" fontId="0" fillId="0" borderId="12" xfId="0" applyNumberForma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17" fontId="10" fillId="0" borderId="12" xfId="0" applyNumberFormat="1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" fontId="15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10" fillId="0" borderId="51" xfId="0" applyFont="1" applyBorder="1" applyAlignment="1">
      <alignment wrapText="1"/>
    </xf>
    <xf numFmtId="4" fontId="18" fillId="0" borderId="13" xfId="0" applyNumberFormat="1" applyFont="1" applyBorder="1" applyAlignment="1">
      <alignment horizontal="center"/>
    </xf>
    <xf numFmtId="4" fontId="35" fillId="0" borderId="13" xfId="0" applyNumberFormat="1" applyFon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4" fontId="18" fillId="0" borderId="22" xfId="0" applyNumberFormat="1" applyFont="1" applyBorder="1" applyAlignment="1">
      <alignment horizontal="center"/>
    </xf>
    <xf numFmtId="4" fontId="4" fillId="3" borderId="2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4" fontId="15" fillId="3" borderId="8" xfId="0" applyNumberFormat="1" applyFont="1" applyFill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4" fontId="27" fillId="3" borderId="27" xfId="0" applyNumberFormat="1" applyFont="1" applyFill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4" fontId="32" fillId="2" borderId="42" xfId="0" applyNumberFormat="1" applyFont="1" applyFill="1" applyBorder="1" applyAlignment="1">
      <alignment horizontal="center"/>
    </xf>
    <xf numFmtId="4" fontId="19" fillId="3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3" fontId="3" fillId="0" borderId="52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3" fontId="11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4" fontId="12" fillId="0" borderId="42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12" fillId="0" borderId="57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4" fontId="30" fillId="0" borderId="16" xfId="0" applyNumberFormat="1" applyFont="1" applyBorder="1" applyAlignment="1"/>
    <xf numFmtId="4" fontId="12" fillId="0" borderId="16" xfId="0" applyNumberFormat="1" applyFont="1" applyBorder="1" applyAlignment="1"/>
    <xf numFmtId="0" fontId="47" fillId="0" borderId="5" xfId="0" applyFont="1" applyBorder="1" applyAlignment="1">
      <alignment horizontal="center"/>
    </xf>
    <xf numFmtId="4" fontId="30" fillId="0" borderId="16" xfId="0" applyNumberFormat="1" applyFont="1" applyBorder="1" applyAlignment="1">
      <alignment horizontal="center"/>
    </xf>
    <xf numFmtId="4" fontId="30" fillId="0" borderId="16" xfId="0" applyNumberFormat="1" applyFont="1" applyBorder="1"/>
    <xf numFmtId="4" fontId="30" fillId="0" borderId="59" xfId="0" applyNumberFormat="1" applyFont="1" applyBorder="1"/>
    <xf numFmtId="4" fontId="12" fillId="0" borderId="8" xfId="0" applyNumberFormat="1" applyFont="1" applyBorder="1" applyAlignment="1">
      <alignment horizontal="center"/>
    </xf>
    <xf numFmtId="4" fontId="30" fillId="0" borderId="6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30" fillId="0" borderId="51" xfId="0" applyNumberFormat="1" applyFont="1" applyBorder="1"/>
    <xf numFmtId="4" fontId="30" fillId="0" borderId="51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" fontId="35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35" fillId="0" borderId="7" xfId="0" applyNumberFormat="1" applyFont="1" applyBorder="1" applyAlignment="1">
      <alignment horizontal="center"/>
    </xf>
    <xf numFmtId="4" fontId="18" fillId="0" borderId="59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0" fillId="3" borderId="22" xfId="0" applyFont="1" applyFill="1" applyBorder="1" applyAlignment="1">
      <alignment wrapText="1"/>
    </xf>
    <xf numFmtId="4" fontId="35" fillId="0" borderId="51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1" fillId="0" borderId="0" xfId="0" applyNumberFormat="1" applyFont="1" applyBorder="1" applyAlignment="1"/>
    <xf numFmtId="4" fontId="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27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/>
    </xf>
    <xf numFmtId="4" fontId="53" fillId="0" borderId="0" xfId="0" applyNumberFormat="1" applyFont="1" applyBorder="1" applyAlignment="1">
      <alignment horizontal="center"/>
    </xf>
    <xf numFmtId="4" fontId="54" fillId="0" borderId="48" xfId="0" applyNumberFormat="1" applyFont="1" applyBorder="1" applyAlignment="1">
      <alignment horizontal="center"/>
    </xf>
    <xf numFmtId="4" fontId="53" fillId="0" borderId="7" xfId="0" applyNumberFormat="1" applyFont="1" applyBorder="1" applyAlignment="1">
      <alignment horizontal="center"/>
    </xf>
    <xf numFmtId="4" fontId="53" fillId="0" borderId="34" xfId="0" applyNumberFormat="1" applyFont="1" applyBorder="1" applyAlignment="1">
      <alignment horizontal="center"/>
    </xf>
    <xf numFmtId="4" fontId="54" fillId="0" borderId="7" xfId="0" applyNumberFormat="1" applyFont="1" applyBorder="1" applyAlignment="1">
      <alignment horizontal="center"/>
    </xf>
    <xf numFmtId="4" fontId="53" fillId="0" borderId="28" xfId="0" applyNumberFormat="1" applyFont="1" applyBorder="1" applyAlignment="1">
      <alignment horizontal="center"/>
    </xf>
    <xf numFmtId="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54" fillId="0" borderId="46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left" vertical="center"/>
    </xf>
    <xf numFmtId="4" fontId="53" fillId="0" borderId="6" xfId="0" applyNumberFormat="1" applyFont="1" applyBorder="1" applyAlignment="1">
      <alignment horizontal="center"/>
    </xf>
    <xf numFmtId="4" fontId="53" fillId="0" borderId="16" xfId="0" applyNumberFormat="1" applyFont="1" applyBorder="1" applyAlignment="1">
      <alignment horizontal="center"/>
    </xf>
    <xf numFmtId="4" fontId="54" fillId="0" borderId="6" xfId="0" applyNumberFormat="1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4" fontId="53" fillId="0" borderId="48" xfId="0" applyNumberFormat="1" applyFont="1" applyBorder="1" applyAlignment="1">
      <alignment horizontal="center"/>
    </xf>
    <xf numFmtId="4" fontId="53" fillId="0" borderId="46" xfId="0" applyNumberFormat="1" applyFont="1" applyBorder="1" applyAlignment="1">
      <alignment horizontal="center"/>
    </xf>
    <xf numFmtId="1" fontId="50" fillId="0" borderId="9" xfId="0" applyNumberFormat="1" applyFont="1" applyBorder="1" applyAlignment="1">
      <alignment horizontal="left" vertical="center"/>
    </xf>
    <xf numFmtId="4" fontId="53" fillId="0" borderId="52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/>
    </xf>
    <xf numFmtId="1" fontId="50" fillId="0" borderId="18" xfId="0" applyNumberFormat="1" applyFont="1" applyBorder="1" applyAlignment="1">
      <alignment horizontal="left" vertical="center"/>
    </xf>
    <xf numFmtId="4" fontId="53" fillId="0" borderId="19" xfId="0" applyNumberFormat="1" applyFont="1" applyBorder="1" applyAlignment="1">
      <alignment horizontal="center"/>
    </xf>
    <xf numFmtId="4" fontId="53" fillId="0" borderId="4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30" fillId="0" borderId="24" xfId="0" applyNumberFormat="1" applyFont="1" applyBorder="1"/>
    <xf numFmtId="4" fontId="30" fillId="0" borderId="2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52" fillId="0" borderId="14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30" fillId="0" borderId="58" xfId="0" applyNumberFormat="1" applyFont="1" applyBorder="1" applyAlignmen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0" fontId="10" fillId="0" borderId="38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30" fillId="0" borderId="38" xfId="0" applyNumberFormat="1" applyFont="1" applyBorder="1"/>
    <xf numFmtId="4" fontId="30" fillId="0" borderId="38" xfId="0" applyNumberFormat="1" applyFont="1" applyBorder="1" applyAlignment="1">
      <alignment horizontal="center"/>
    </xf>
    <xf numFmtId="4" fontId="30" fillId="0" borderId="57" xfId="0" applyNumberFormat="1" applyFont="1" applyBorder="1" applyAlignment="1">
      <alignment horizontal="center"/>
    </xf>
    <xf numFmtId="4" fontId="30" fillId="0" borderId="60" xfId="0" applyNumberFormat="1" applyFont="1" applyBorder="1"/>
    <xf numFmtId="4" fontId="30" fillId="0" borderId="58" xfId="0" applyNumberFormat="1" applyFont="1" applyBorder="1"/>
    <xf numFmtId="4" fontId="12" fillId="0" borderId="51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18" fillId="0" borderId="60" xfId="0" applyNumberFormat="1" applyFont="1" applyBorder="1" applyAlignment="1">
      <alignment horizontal="center"/>
    </xf>
    <xf numFmtId="4" fontId="18" fillId="0" borderId="58" xfId="0" applyNumberFormat="1" applyFont="1" applyBorder="1" applyAlignment="1">
      <alignment horizontal="center"/>
    </xf>
    <xf numFmtId="4" fontId="35" fillId="0" borderId="5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4" xfId="0" applyBorder="1"/>
    <xf numFmtId="3" fontId="0" fillId="0" borderId="60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4" fontId="13" fillId="0" borderId="64" xfId="0" applyNumberFormat="1" applyFont="1" applyBorder="1" applyAlignment="1">
      <alignment horizontal="center" vertical="center"/>
    </xf>
    <xf numFmtId="4" fontId="12" fillId="0" borderId="64" xfId="0" applyNumberFormat="1" applyFont="1" applyBorder="1" applyAlignment="1">
      <alignment horizontal="center"/>
    </xf>
    <xf numFmtId="4" fontId="13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" fontId="7" fillId="0" borderId="47" xfId="0" applyNumberFormat="1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39" fillId="0" borderId="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30" fillId="0" borderId="60" xfId="0" applyNumberFormat="1" applyFont="1" applyBorder="1" applyAlignment="1"/>
    <xf numFmtId="4" fontId="30" fillId="0" borderId="56" xfId="0" applyNumberFormat="1" applyFont="1" applyBorder="1" applyAlignment="1">
      <alignment horizontal="center"/>
    </xf>
    <xf numFmtId="4" fontId="30" fillId="0" borderId="57" xfId="0" applyNumberFormat="1" applyFont="1" applyBorder="1"/>
    <xf numFmtId="4" fontId="6" fillId="0" borderId="56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4" fontId="30" fillId="0" borderId="51" xfId="0" applyNumberFormat="1" applyFont="1" applyBorder="1" applyAlignment="1"/>
    <xf numFmtId="4" fontId="30" fillId="0" borderId="57" xfId="0" applyNumberFormat="1" applyFont="1" applyBorder="1" applyAlignment="1"/>
    <xf numFmtId="4" fontId="12" fillId="0" borderId="51" xfId="0" applyNumberFormat="1" applyFont="1" applyBorder="1" applyAlignment="1"/>
    <xf numFmtId="4" fontId="12" fillId="0" borderId="57" xfId="0" applyNumberFormat="1" applyFont="1" applyBorder="1" applyAlignment="1"/>
    <xf numFmtId="4" fontId="6" fillId="0" borderId="12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0" fontId="10" fillId="0" borderId="45" xfId="0" applyFont="1" applyBorder="1"/>
    <xf numFmtId="4" fontId="6" fillId="0" borderId="6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" fontId="6" fillId="3" borderId="59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/DIALIZA%202020/SAIT%20CAS/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</row>
      </sheetData>
      <sheetData sheetId="5">
        <row r="6">
          <cell r="C6">
            <v>451360</v>
          </cell>
        </row>
        <row r="17">
          <cell r="G17">
            <v>0</v>
          </cell>
        </row>
        <row r="23">
          <cell r="E23">
            <v>0</v>
          </cell>
        </row>
        <row r="29">
          <cell r="E29">
            <v>0</v>
          </cell>
        </row>
      </sheetData>
      <sheetData sheetId="6">
        <row r="4">
          <cell r="C4">
            <v>245024</v>
          </cell>
        </row>
        <row r="21">
          <cell r="E21">
            <v>0</v>
          </cell>
        </row>
        <row r="27">
          <cell r="E27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F25" sqref="F25"/>
    </sheetView>
  </sheetViews>
  <sheetFormatPr defaultRowHeight="15" x14ac:dyDescent="0.25"/>
  <cols>
    <col min="1" max="1" width="8" customWidth="1"/>
    <col min="2" max="2" width="5.5703125" customWidth="1"/>
    <col min="3" max="3" width="35.42578125" style="345" customWidth="1"/>
    <col min="4" max="4" width="13.5703125" style="345" customWidth="1"/>
    <col min="5" max="5" width="12.140625" style="345" customWidth="1"/>
    <col min="6" max="6" width="15.42578125" style="346" customWidth="1"/>
    <col min="7" max="7" width="10.140625" bestFit="1" customWidth="1"/>
    <col min="9" max="9" width="11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</v>
      </c>
      <c r="B6" s="701"/>
      <c r="C6" s="701"/>
      <c r="D6" s="701"/>
      <c r="E6" s="701"/>
      <c r="F6" s="701"/>
    </row>
    <row r="7" spans="1:10" x14ac:dyDescent="0.25">
      <c r="B7" s="702" t="s">
        <v>79</v>
      </c>
      <c r="C7" s="702"/>
      <c r="D7" s="702"/>
      <c r="E7" s="702"/>
      <c r="F7" s="702"/>
    </row>
    <row r="8" spans="1:10" s="55" customFormat="1" x14ac:dyDescent="0.25">
      <c r="A8" s="703" t="s">
        <v>85</v>
      </c>
      <c r="B8" s="703"/>
      <c r="C8" s="703"/>
      <c r="D8" s="703"/>
      <c r="E8" s="703"/>
      <c r="F8" s="703"/>
      <c r="G8" s="703"/>
      <c r="H8" s="703"/>
      <c r="I8" s="703"/>
      <c r="J8" s="703"/>
    </row>
    <row r="9" spans="1:10" ht="15.75" thickBot="1" x14ac:dyDescent="0.3">
      <c r="B9" s="4"/>
      <c r="C9" s="5"/>
    </row>
    <row r="10" spans="1:10" ht="38.25" customHeight="1" thickBot="1" x14ac:dyDescent="0.3">
      <c r="B10" s="99" t="s">
        <v>2</v>
      </c>
      <c r="C10" s="104" t="s">
        <v>3</v>
      </c>
      <c r="D10" s="97" t="s">
        <v>80</v>
      </c>
      <c r="E10" s="98" t="s">
        <v>81</v>
      </c>
      <c r="F10" s="181" t="s">
        <v>82</v>
      </c>
    </row>
    <row r="11" spans="1:10" s="3" customFormat="1" ht="12" thickBot="1" x14ac:dyDescent="0.25">
      <c r="B11" s="100">
        <v>0</v>
      </c>
      <c r="C11" s="105">
        <v>1</v>
      </c>
      <c r="D11" s="65">
        <v>2</v>
      </c>
      <c r="E11" s="66">
        <v>3</v>
      </c>
      <c r="F11" s="69">
        <v>4</v>
      </c>
    </row>
    <row r="12" spans="1:10" s="3" customFormat="1" ht="12.75" x14ac:dyDescent="0.2">
      <c r="B12" s="101" t="s">
        <v>4</v>
      </c>
      <c r="C12" s="106" t="s">
        <v>5</v>
      </c>
      <c r="D12" s="184"/>
      <c r="E12" s="6"/>
      <c r="F12" s="18"/>
    </row>
    <row r="13" spans="1:10" x14ac:dyDescent="0.25">
      <c r="B13" s="102"/>
      <c r="C13" s="107" t="s">
        <v>6</v>
      </c>
      <c r="D13" s="8">
        <v>31</v>
      </c>
      <c r="E13" s="8">
        <v>403</v>
      </c>
      <c r="F13" s="19">
        <f>E13*561</f>
        <v>226083</v>
      </c>
    </row>
    <row r="14" spans="1:10" x14ac:dyDescent="0.25">
      <c r="B14" s="102"/>
      <c r="C14" s="107" t="s">
        <v>7</v>
      </c>
      <c r="D14" s="8">
        <v>3</v>
      </c>
      <c r="E14" s="8">
        <v>3</v>
      </c>
      <c r="F14" s="19">
        <f>14496+888</f>
        <v>15384</v>
      </c>
      <c r="G14" s="9"/>
      <c r="H14" s="9"/>
    </row>
    <row r="15" spans="1:10" x14ac:dyDescent="0.25">
      <c r="B15" s="102"/>
      <c r="C15" s="107" t="s">
        <v>8</v>
      </c>
      <c r="D15" s="8">
        <f>1-1</f>
        <v>0</v>
      </c>
      <c r="E15" s="8">
        <v>0</v>
      </c>
      <c r="F15" s="19">
        <v>0</v>
      </c>
    </row>
    <row r="16" spans="1:10" s="12" customFormat="1" x14ac:dyDescent="0.25">
      <c r="B16" s="110"/>
      <c r="C16" s="111" t="s">
        <v>9</v>
      </c>
      <c r="D16" s="114">
        <f>SUM(D13:D15)</f>
        <v>34</v>
      </c>
      <c r="E16" s="10" t="s">
        <v>14</v>
      </c>
      <c r="F16" s="255">
        <f>SUM(F13:F15)</f>
        <v>241467</v>
      </c>
      <c r="G16" s="11"/>
    </row>
    <row r="17" spans="2:9" x14ac:dyDescent="0.25">
      <c r="B17" s="7" t="s">
        <v>10</v>
      </c>
      <c r="C17" s="112" t="s">
        <v>11</v>
      </c>
      <c r="D17" s="8"/>
      <c r="E17" s="8"/>
      <c r="F17" s="253"/>
    </row>
    <row r="18" spans="2:9" x14ac:dyDescent="0.25">
      <c r="B18" s="7"/>
      <c r="C18" s="70" t="s">
        <v>6</v>
      </c>
      <c r="D18" s="13">
        <v>77</v>
      </c>
      <c r="E18" s="175">
        <v>1001</v>
      </c>
      <c r="F18" s="256">
        <f>E18*561</f>
        <v>561561</v>
      </c>
    </row>
    <row r="19" spans="2:9" x14ac:dyDescent="0.25">
      <c r="B19" s="7"/>
      <c r="C19" s="70" t="s">
        <v>7</v>
      </c>
      <c r="D19" s="13">
        <v>3</v>
      </c>
      <c r="E19" s="175">
        <v>3</v>
      </c>
      <c r="F19" s="19">
        <f>E19*4832</f>
        <v>14496</v>
      </c>
    </row>
    <row r="20" spans="2:9" x14ac:dyDescent="0.25">
      <c r="B20" s="7"/>
      <c r="C20" s="70" t="s">
        <v>12</v>
      </c>
      <c r="D20" s="13">
        <v>12</v>
      </c>
      <c r="E20" s="175">
        <v>156</v>
      </c>
      <c r="F20" s="19">
        <f>E20*636</f>
        <v>99216</v>
      </c>
    </row>
    <row r="21" spans="2:9" s="12" customFormat="1" x14ac:dyDescent="0.25">
      <c r="B21" s="116"/>
      <c r="C21" s="113" t="s">
        <v>9</v>
      </c>
      <c r="D21" s="114">
        <f>SUM(D18:D20)</f>
        <v>92</v>
      </c>
      <c r="E21" s="114" t="s">
        <v>14</v>
      </c>
      <c r="F21" s="183">
        <f>SUM(F18:F20)</f>
        <v>675273</v>
      </c>
    </row>
    <row r="22" spans="2:9" s="12" customFormat="1" x14ac:dyDescent="0.25">
      <c r="B22" s="116" t="s">
        <v>60</v>
      </c>
      <c r="C22" s="113" t="s">
        <v>59</v>
      </c>
      <c r="D22" s="114"/>
      <c r="E22" s="114"/>
      <c r="F22" s="254"/>
    </row>
    <row r="23" spans="2:9" s="12" customFormat="1" x14ac:dyDescent="0.25">
      <c r="B23" s="117"/>
      <c r="C23" s="70" t="s">
        <v>6</v>
      </c>
      <c r="D23" s="8">
        <v>60</v>
      </c>
      <c r="E23" s="8">
        <v>780</v>
      </c>
      <c r="F23" s="182">
        <f>E23*561</f>
        <v>437580</v>
      </c>
    </row>
    <row r="24" spans="2:9" s="12" customFormat="1" x14ac:dyDescent="0.25">
      <c r="B24" s="306"/>
      <c r="C24" s="70" t="s">
        <v>12</v>
      </c>
      <c r="D24" s="8">
        <v>10</v>
      </c>
      <c r="E24" s="307">
        <v>130</v>
      </c>
      <c r="F24" s="308">
        <f>E24*636</f>
        <v>82680</v>
      </c>
    </row>
    <row r="25" spans="2:9" s="12" customFormat="1" ht="15.75" thickBot="1" x14ac:dyDescent="0.3">
      <c r="B25" s="118"/>
      <c r="C25" s="71" t="s">
        <v>9</v>
      </c>
      <c r="D25" s="114">
        <f>SUM(D23:D24)</f>
        <v>70</v>
      </c>
      <c r="E25" s="257"/>
      <c r="F25" s="259">
        <f>SUM(F23:F24)</f>
        <v>520260</v>
      </c>
    </row>
    <row r="26" spans="2:9" s="15" customFormat="1" ht="15.75" thickBot="1" x14ac:dyDescent="0.25">
      <c r="B26" s="103"/>
      <c r="C26" s="108" t="s">
        <v>13</v>
      </c>
      <c r="D26" s="185">
        <f>D16+D21+D25</f>
        <v>196</v>
      </c>
      <c r="E26" s="258" t="s">
        <v>14</v>
      </c>
      <c r="F26" s="260">
        <f>F16+F21+F25</f>
        <v>1437000</v>
      </c>
      <c r="H26" s="348"/>
      <c r="I26" s="348"/>
    </row>
    <row r="27" spans="2:9" x14ac:dyDescent="0.25">
      <c r="B27" s="16"/>
      <c r="C27" s="17"/>
    </row>
    <row r="28" spans="2:9" x14ac:dyDescent="0.25">
      <c r="D28" s="119"/>
      <c r="F28" s="83"/>
    </row>
    <row r="29" spans="2:9" x14ac:dyDescent="0.25">
      <c r="C29" s="48" t="s">
        <v>45</v>
      </c>
      <c r="F29" s="345"/>
      <c r="G29" s="54"/>
      <c r="H29" s="345" t="s">
        <v>44</v>
      </c>
    </row>
    <row r="30" spans="2:9" x14ac:dyDescent="0.25">
      <c r="C30" s="345" t="s">
        <v>48</v>
      </c>
      <c r="F30" s="345"/>
      <c r="G30" s="54"/>
      <c r="H30" s="347" t="s">
        <v>46</v>
      </c>
    </row>
    <row r="31" spans="2:9" x14ac:dyDescent="0.25">
      <c r="C31"/>
      <c r="F31" s="345"/>
      <c r="G31" s="346"/>
    </row>
    <row r="32" spans="2:9" x14ac:dyDescent="0.25">
      <c r="B32" s="345"/>
      <c r="F32" s="54"/>
    </row>
  </sheetData>
  <mergeCells count="3">
    <mergeCell ref="A6:F6"/>
    <mergeCell ref="B7:F7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C1" workbookViewId="0">
      <selection activeCell="I29" sqref="I29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294" customWidth="1"/>
    <col min="6" max="6" width="34.7109375" style="294" customWidth="1"/>
    <col min="7" max="7" width="16.85546875" style="294" customWidth="1"/>
    <col min="8" max="8" width="11.5703125" style="295" customWidth="1"/>
    <col min="9" max="9" width="16.140625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2" x14ac:dyDescent="0.25">
      <c r="A1" s="58" t="s">
        <v>0</v>
      </c>
      <c r="C1" t="s">
        <v>69</v>
      </c>
      <c r="E1"/>
      <c r="F1" s="1"/>
      <c r="G1" s="1"/>
      <c r="H1" s="68"/>
    </row>
    <row r="2" spans="1:12" ht="15.75" customHeight="1" x14ac:dyDescent="0.25">
      <c r="A2" t="s">
        <v>43</v>
      </c>
      <c r="C2" t="s">
        <v>70</v>
      </c>
      <c r="E2"/>
    </row>
    <row r="3" spans="1:12" ht="16.5" customHeight="1" x14ac:dyDescent="0.25">
      <c r="A3" s="2" t="s">
        <v>44</v>
      </c>
      <c r="C3" t="s">
        <v>71</v>
      </c>
      <c r="E3"/>
    </row>
    <row r="4" spans="1:12" x14ac:dyDescent="0.25">
      <c r="B4" s="3"/>
      <c r="C4" s="3"/>
      <c r="D4" s="3"/>
    </row>
    <row r="6" spans="1:12" x14ac:dyDescent="0.25">
      <c r="B6" s="701" t="s">
        <v>72</v>
      </c>
      <c r="C6" s="701"/>
      <c r="D6" s="701"/>
      <c r="E6" s="701"/>
      <c r="F6" s="701"/>
      <c r="G6" s="701"/>
      <c r="H6" s="701"/>
      <c r="I6" s="701"/>
    </row>
    <row r="7" spans="1:12" x14ac:dyDescent="0.25">
      <c r="E7" s="1" t="s">
        <v>83</v>
      </c>
      <c r="F7" s="1"/>
      <c r="G7" s="1"/>
      <c r="H7" s="1"/>
      <c r="I7" s="1"/>
    </row>
    <row r="8" spans="1:12" x14ac:dyDescent="0.25">
      <c r="B8" s="68"/>
      <c r="C8" s="703" t="s">
        <v>86</v>
      </c>
      <c r="D8" s="703"/>
      <c r="E8" s="703"/>
      <c r="F8" s="703"/>
      <c r="G8" s="703"/>
      <c r="H8" s="703"/>
      <c r="I8" s="703"/>
      <c r="J8" s="703"/>
      <c r="K8" s="703"/>
      <c r="L8" s="703"/>
    </row>
    <row r="9" spans="1:12" x14ac:dyDescent="0.25">
      <c r="H9" s="294"/>
      <c r="I9" s="295"/>
    </row>
    <row r="10" spans="1:12" ht="15.75" thickBot="1" x14ac:dyDescent="0.3">
      <c r="E10" s="4"/>
      <c r="F10" s="5"/>
      <c r="H10" s="294"/>
      <c r="I10" s="295"/>
    </row>
    <row r="11" spans="1:12" ht="31.5" customHeight="1" thickBot="1" x14ac:dyDescent="0.3">
      <c r="E11" s="265" t="s">
        <v>2</v>
      </c>
      <c r="F11" s="266" t="s">
        <v>3</v>
      </c>
      <c r="G11" s="267" t="s">
        <v>80</v>
      </c>
      <c r="H11" s="268" t="s">
        <v>68</v>
      </c>
      <c r="I11" s="292" t="s">
        <v>84</v>
      </c>
    </row>
    <row r="12" spans="1:12" ht="15.75" thickBot="1" x14ac:dyDescent="0.3">
      <c r="B12" s="3"/>
      <c r="C12" s="3"/>
      <c r="D12" s="3"/>
      <c r="E12" s="269">
        <v>0</v>
      </c>
      <c r="F12" s="270">
        <v>1</v>
      </c>
      <c r="G12" s="65">
        <v>2</v>
      </c>
      <c r="H12" s="66">
        <v>3</v>
      </c>
      <c r="I12" s="69">
        <v>4</v>
      </c>
    </row>
    <row r="13" spans="1:12" x14ac:dyDescent="0.25">
      <c r="B13" s="3"/>
      <c r="C13" s="3"/>
      <c r="D13" s="3"/>
      <c r="E13" s="271" t="s">
        <v>4</v>
      </c>
      <c r="F13" s="272" t="s">
        <v>5</v>
      </c>
      <c r="G13" s="6"/>
      <c r="H13" s="6"/>
      <c r="I13" s="18"/>
    </row>
    <row r="14" spans="1:12" s="262" customFormat="1" ht="15.75" thickBot="1" x14ac:dyDescent="0.3">
      <c r="B14" s="12"/>
      <c r="C14" s="12"/>
      <c r="D14" s="12"/>
      <c r="E14" s="273"/>
      <c r="F14" s="278" t="s">
        <v>66</v>
      </c>
      <c r="G14" s="279">
        <v>34</v>
      </c>
      <c r="H14" s="279" t="s">
        <v>14</v>
      </c>
      <c r="I14" s="259">
        <f>241467+4034</f>
        <v>245501</v>
      </c>
    </row>
    <row r="15" spans="1:12" x14ac:dyDescent="0.25">
      <c r="E15" s="274" t="s">
        <v>10</v>
      </c>
      <c r="F15" s="272" t="s">
        <v>11</v>
      </c>
      <c r="G15" s="275"/>
      <c r="H15" s="275"/>
      <c r="I15" s="293"/>
    </row>
    <row r="16" spans="1:12" ht="15.75" thickBot="1" x14ac:dyDescent="0.3">
      <c r="E16" s="273"/>
      <c r="F16" s="71" t="s">
        <v>9</v>
      </c>
      <c r="G16" s="14">
        <v>92</v>
      </c>
      <c r="H16" s="14" t="s">
        <v>14</v>
      </c>
      <c r="I16" s="259">
        <f>675273-4034</f>
        <v>671239</v>
      </c>
    </row>
    <row r="17" spans="2:9" x14ac:dyDescent="0.25">
      <c r="E17" s="276">
        <v>3</v>
      </c>
      <c r="F17" s="277" t="s">
        <v>65</v>
      </c>
      <c r="G17" s="10"/>
      <c r="H17" s="10"/>
      <c r="I17" s="255"/>
    </row>
    <row r="18" spans="2:9" ht="15.75" thickBot="1" x14ac:dyDescent="0.3">
      <c r="E18" s="276"/>
      <c r="F18" s="277" t="s">
        <v>9</v>
      </c>
      <c r="G18" s="10">
        <v>70</v>
      </c>
      <c r="H18" s="10" t="s">
        <v>14</v>
      </c>
      <c r="I18" s="255">
        <v>520260</v>
      </c>
    </row>
    <row r="19" spans="2:9" s="280" customFormat="1" ht="15.75" x14ac:dyDescent="0.25">
      <c r="E19" s="283"/>
      <c r="F19" s="284" t="s">
        <v>67</v>
      </c>
      <c r="G19" s="285">
        <f>G16+G18</f>
        <v>162</v>
      </c>
      <c r="H19" s="285"/>
      <c r="I19" s="286">
        <f>I16+I18</f>
        <v>1191499</v>
      </c>
    </row>
    <row r="20" spans="2:9" s="281" customFormat="1" ht="16.5" thickBot="1" x14ac:dyDescent="0.3">
      <c r="B20" s="282"/>
      <c r="C20" s="282"/>
      <c r="D20" s="282"/>
      <c r="E20" s="287"/>
      <c r="F20" s="288" t="s">
        <v>13</v>
      </c>
      <c r="G20" s="289">
        <f>G14+G16+G18</f>
        <v>196</v>
      </c>
      <c r="H20" s="289" t="s">
        <v>14</v>
      </c>
      <c r="I20" s="290">
        <f>I14+I19</f>
        <v>1437000</v>
      </c>
    </row>
    <row r="21" spans="2:9" x14ac:dyDescent="0.25">
      <c r="E21" s="349"/>
      <c r="F21" s="349"/>
      <c r="G21" s="349"/>
      <c r="H21" s="350"/>
    </row>
    <row r="22" spans="2:9" x14ac:dyDescent="0.25">
      <c r="G22" s="119"/>
    </row>
    <row r="24" spans="2:9" x14ac:dyDescent="0.25">
      <c r="E24"/>
      <c r="F24" s="48" t="s">
        <v>45</v>
      </c>
      <c r="H24" s="294"/>
      <c r="I24" s="294" t="s">
        <v>73</v>
      </c>
    </row>
    <row r="25" spans="2:9" x14ac:dyDescent="0.25">
      <c r="E25"/>
      <c r="F25" s="294" t="s">
        <v>48</v>
      </c>
      <c r="H25" s="294"/>
      <c r="I25" s="294" t="s">
        <v>74</v>
      </c>
    </row>
  </sheetData>
  <mergeCells count="2">
    <mergeCell ref="B6:I6"/>
    <mergeCell ref="C8:L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C5" workbookViewId="0">
      <selection activeCell="M14" sqref="M14:R24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373" customWidth="1"/>
    <col min="6" max="6" width="34.7109375" style="373" customWidth="1"/>
    <col min="7" max="7" width="16.85546875" style="373" customWidth="1"/>
    <col min="8" max="8" width="11.5703125" style="374" customWidth="1"/>
    <col min="9" max="9" width="17.85546875" customWidth="1"/>
    <col min="10" max="11" width="14.42578125" customWidth="1"/>
    <col min="12" max="12" width="14.710937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8" t="s">
        <v>0</v>
      </c>
      <c r="C1" t="s">
        <v>69</v>
      </c>
      <c r="E1"/>
      <c r="F1" s="1"/>
      <c r="G1" s="1"/>
      <c r="H1" s="68"/>
    </row>
    <row r="2" spans="1:15" ht="15.75" customHeight="1" x14ac:dyDescent="0.25">
      <c r="A2" t="s">
        <v>43</v>
      </c>
      <c r="C2" t="s">
        <v>70</v>
      </c>
      <c r="E2"/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</row>
    <row r="7" spans="1:15" x14ac:dyDescent="0.25">
      <c r="D7" s="702" t="s">
        <v>92</v>
      </c>
      <c r="E7" s="702"/>
      <c r="F7" s="702"/>
      <c r="G7" s="702"/>
      <c r="H7" s="702"/>
      <c r="I7" s="702"/>
      <c r="J7" s="702"/>
      <c r="K7" s="702"/>
    </row>
    <row r="8" spans="1:15" x14ac:dyDescent="0.25">
      <c r="B8" s="68"/>
      <c r="C8" s="68"/>
      <c r="D8" s="68"/>
      <c r="E8" s="703" t="s">
        <v>91</v>
      </c>
      <c r="F8" s="703"/>
      <c r="G8" s="703"/>
      <c r="H8" s="703"/>
      <c r="I8" s="703"/>
      <c r="J8" s="703"/>
    </row>
    <row r="9" spans="1:15" x14ac:dyDescent="0.25">
      <c r="H9" s="373"/>
      <c r="I9" s="374"/>
    </row>
    <row r="10" spans="1:15" ht="15.75" thickBot="1" x14ac:dyDescent="0.3">
      <c r="E10" s="4"/>
      <c r="F10" s="5"/>
      <c r="H10" s="373"/>
      <c r="I10" s="374"/>
    </row>
    <row r="11" spans="1:15" ht="45.75" thickBot="1" x14ac:dyDescent="0.3">
      <c r="E11" s="265" t="s">
        <v>2</v>
      </c>
      <c r="F11" s="266" t="s">
        <v>3</v>
      </c>
      <c r="G11" s="267" t="s">
        <v>75</v>
      </c>
      <c r="H11" s="268" t="s">
        <v>68</v>
      </c>
      <c r="I11" s="268" t="s">
        <v>84</v>
      </c>
      <c r="J11" s="361" t="s">
        <v>76</v>
      </c>
      <c r="K11" s="338" t="s">
        <v>89</v>
      </c>
    </row>
    <row r="12" spans="1:15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03">
        <v>3</v>
      </c>
      <c r="I12" s="315">
        <v>4</v>
      </c>
      <c r="J12" s="362"/>
      <c r="K12" s="316"/>
    </row>
    <row r="13" spans="1:15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319"/>
      <c r="I13" s="320"/>
      <c r="J13" s="363"/>
      <c r="K13" s="329"/>
    </row>
    <row r="14" spans="1:15" s="262" customFormat="1" ht="15.75" thickBot="1" x14ac:dyDescent="0.3">
      <c r="B14" s="12"/>
      <c r="C14" s="12"/>
      <c r="D14" s="12"/>
      <c r="E14" s="323"/>
      <c r="F14" s="324" t="s">
        <v>66</v>
      </c>
      <c r="G14" s="325">
        <v>34</v>
      </c>
      <c r="H14" s="325" t="s">
        <v>14</v>
      </c>
      <c r="I14" s="259">
        <f>241467+4034</f>
        <v>245501</v>
      </c>
      <c r="J14" s="364">
        <v>258820.87</v>
      </c>
      <c r="K14" s="339">
        <f>I14+J14</f>
        <v>504321.87</v>
      </c>
      <c r="L14" s="261"/>
      <c r="M14" s="9"/>
    </row>
    <row r="15" spans="1:15" x14ac:dyDescent="0.25">
      <c r="E15" s="321" t="s">
        <v>10</v>
      </c>
      <c r="F15" s="312" t="s">
        <v>11</v>
      </c>
      <c r="G15" s="322"/>
      <c r="H15" s="322"/>
      <c r="I15" s="293"/>
      <c r="J15" s="365"/>
      <c r="K15" s="332"/>
      <c r="O15" s="262"/>
    </row>
    <row r="16" spans="1:15" ht="15.75" thickBot="1" x14ac:dyDescent="0.3">
      <c r="E16" s="273"/>
      <c r="F16" s="277" t="s">
        <v>9</v>
      </c>
      <c r="G16" s="10">
        <v>92</v>
      </c>
      <c r="H16" s="10" t="s">
        <v>14</v>
      </c>
      <c r="I16" s="259">
        <f>675273-4034</f>
        <v>671239</v>
      </c>
      <c r="J16" s="366">
        <v>652838.43000000005</v>
      </c>
      <c r="K16" s="337">
        <f>I16+J16</f>
        <v>1324077.4300000002</v>
      </c>
      <c r="L16" s="9"/>
      <c r="M16" s="9"/>
      <c r="O16" s="262"/>
    </row>
    <row r="17" spans="2:15" ht="15.75" thickBot="1" x14ac:dyDescent="0.3">
      <c r="E17" s="110">
        <v>3</v>
      </c>
      <c r="F17" s="328" t="s">
        <v>65</v>
      </c>
      <c r="G17" s="311"/>
      <c r="H17" s="311"/>
      <c r="I17" s="255"/>
      <c r="J17" s="367"/>
      <c r="K17" s="333"/>
      <c r="O17" s="262"/>
    </row>
    <row r="18" spans="2:15" ht="15.75" thickBot="1" x14ac:dyDescent="0.3">
      <c r="E18" s="276"/>
      <c r="F18" s="326" t="s">
        <v>9</v>
      </c>
      <c r="G18" s="327">
        <v>70</v>
      </c>
      <c r="H18" s="330" t="s">
        <v>14</v>
      </c>
      <c r="I18" s="255">
        <v>520260</v>
      </c>
      <c r="J18" s="367">
        <v>525340.69999999995</v>
      </c>
      <c r="K18" s="336">
        <f>I18+J18</f>
        <v>1045600.7</v>
      </c>
      <c r="L18" s="9"/>
      <c r="O18" s="262"/>
    </row>
    <row r="19" spans="2:15" s="280" customFormat="1" ht="15.75" x14ac:dyDescent="0.25">
      <c r="E19" s="283"/>
      <c r="F19" s="284" t="s">
        <v>67</v>
      </c>
      <c r="G19" s="285">
        <v>162</v>
      </c>
      <c r="H19" s="285"/>
      <c r="I19" s="286">
        <f>I16+I18</f>
        <v>1191499</v>
      </c>
      <c r="J19" s="368">
        <f>J16+J18</f>
        <v>1178179.1299999999</v>
      </c>
      <c r="K19" s="335">
        <f>K16+K18</f>
        <v>2369678.13</v>
      </c>
      <c r="M19" s="342"/>
    </row>
    <row r="20" spans="2:15" s="281" customFormat="1" ht="16.5" thickBot="1" x14ac:dyDescent="0.3">
      <c r="B20" s="282"/>
      <c r="C20" s="282"/>
      <c r="D20" s="282"/>
      <c r="E20" s="287"/>
      <c r="F20" s="288" t="s">
        <v>13</v>
      </c>
      <c r="G20" s="289">
        <v>196</v>
      </c>
      <c r="H20" s="289" t="s">
        <v>14</v>
      </c>
      <c r="I20" s="290">
        <f>I14+I19</f>
        <v>1437000</v>
      </c>
      <c r="J20" s="331">
        <f>J14+J19</f>
        <v>1437000</v>
      </c>
      <c r="K20" s="334">
        <f>K14+K19</f>
        <v>2874000</v>
      </c>
      <c r="L20" s="343"/>
      <c r="M20" s="343"/>
    </row>
    <row r="21" spans="2:15" x14ac:dyDescent="0.25">
      <c r="J21" s="9"/>
      <c r="K21" s="9"/>
    </row>
    <row r="22" spans="2:15" x14ac:dyDescent="0.25">
      <c r="G22" s="119"/>
      <c r="J22" s="9"/>
    </row>
    <row r="23" spans="2:15" x14ac:dyDescent="0.25">
      <c r="L23" s="9"/>
    </row>
    <row r="24" spans="2:15" x14ac:dyDescent="0.25">
      <c r="E24"/>
      <c r="F24" s="48" t="s">
        <v>45</v>
      </c>
      <c r="H24" s="373"/>
      <c r="J24" s="373" t="s">
        <v>73</v>
      </c>
    </row>
    <row r="25" spans="2:15" x14ac:dyDescent="0.25">
      <c r="E25"/>
      <c r="F25" s="373" t="s">
        <v>48</v>
      </c>
      <c r="H25" s="373"/>
      <c r="J25" s="373" t="s">
        <v>74</v>
      </c>
    </row>
  </sheetData>
  <mergeCells count="3">
    <mergeCell ref="B6:J6"/>
    <mergeCell ref="D7:K7"/>
    <mergeCell ref="E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C5" workbookViewId="0">
      <selection activeCell="M14" sqref="M14:Q21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376" customWidth="1"/>
    <col min="6" max="6" width="34.7109375" style="376" customWidth="1"/>
    <col min="7" max="7" width="16.85546875" style="376" customWidth="1"/>
    <col min="8" max="8" width="11.5703125" style="377" customWidth="1"/>
    <col min="9" max="9" width="17.85546875" customWidth="1"/>
    <col min="10" max="11" width="14.42578125" customWidth="1"/>
    <col min="12" max="12" width="14.710937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8" t="s">
        <v>0</v>
      </c>
      <c r="C1" t="s">
        <v>69</v>
      </c>
      <c r="E1"/>
      <c r="F1" s="1"/>
      <c r="G1" s="1"/>
      <c r="H1" s="68"/>
    </row>
    <row r="2" spans="1:15" ht="15.75" customHeight="1" x14ac:dyDescent="0.25">
      <c r="A2" t="s">
        <v>43</v>
      </c>
      <c r="C2" t="s">
        <v>70</v>
      </c>
      <c r="E2"/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</row>
    <row r="7" spans="1:15" x14ac:dyDescent="0.25">
      <c r="D7" s="702" t="s">
        <v>104</v>
      </c>
      <c r="E7" s="702"/>
      <c r="F7" s="702"/>
      <c r="G7" s="702"/>
      <c r="H7" s="702"/>
      <c r="I7" s="702"/>
      <c r="J7" s="702"/>
      <c r="K7" s="702"/>
    </row>
    <row r="8" spans="1:15" x14ac:dyDescent="0.25">
      <c r="B8" s="68"/>
      <c r="C8" s="68"/>
      <c r="D8" s="68"/>
      <c r="E8" s="703" t="s">
        <v>102</v>
      </c>
      <c r="F8" s="703"/>
      <c r="G8" s="703"/>
      <c r="H8" s="703"/>
      <c r="I8" s="703"/>
      <c r="J8" s="703"/>
    </row>
    <row r="9" spans="1:15" x14ac:dyDescent="0.25">
      <c r="H9" s="376"/>
      <c r="I9" s="377"/>
    </row>
    <row r="10" spans="1:15" ht="15.75" thickBot="1" x14ac:dyDescent="0.3">
      <c r="E10" s="4"/>
      <c r="F10" s="5"/>
      <c r="H10" s="376"/>
      <c r="I10" s="377"/>
    </row>
    <row r="11" spans="1:15" ht="45.75" thickBot="1" x14ac:dyDescent="0.3">
      <c r="E11" s="265" t="s">
        <v>2</v>
      </c>
      <c r="F11" s="266" t="s">
        <v>3</v>
      </c>
      <c r="G11" s="267" t="s">
        <v>75</v>
      </c>
      <c r="H11" s="268" t="s">
        <v>68</v>
      </c>
      <c r="I11" s="268" t="s">
        <v>89</v>
      </c>
      <c r="J11" s="361" t="s">
        <v>76</v>
      </c>
      <c r="K11" s="338" t="s">
        <v>103</v>
      </c>
    </row>
    <row r="12" spans="1:15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03">
        <v>3</v>
      </c>
      <c r="I12" s="315"/>
      <c r="J12" s="362"/>
      <c r="K12" s="316"/>
    </row>
    <row r="13" spans="1:15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319"/>
      <c r="I13" s="320"/>
      <c r="J13" s="363"/>
      <c r="K13" s="329"/>
    </row>
    <row r="14" spans="1:15" s="262" customFormat="1" ht="15.75" thickBot="1" x14ac:dyDescent="0.3">
      <c r="B14" s="12"/>
      <c r="C14" s="12"/>
      <c r="D14" s="12"/>
      <c r="E14" s="323"/>
      <c r="F14" s="324" t="s">
        <v>66</v>
      </c>
      <c r="G14" s="325">
        <v>36</v>
      </c>
      <c r="H14" s="325" t="s">
        <v>14</v>
      </c>
      <c r="I14" s="259">
        <v>504321.87</v>
      </c>
      <c r="J14" s="364">
        <v>259596</v>
      </c>
      <c r="K14" s="339">
        <f>I14+J14</f>
        <v>763917.87</v>
      </c>
      <c r="L14" s="261"/>
      <c r="M14" s="9"/>
    </row>
    <row r="15" spans="1:15" x14ac:dyDescent="0.25">
      <c r="E15" s="321" t="s">
        <v>10</v>
      </c>
      <c r="F15" s="312" t="s">
        <v>11</v>
      </c>
      <c r="G15" s="322"/>
      <c r="H15" s="322"/>
      <c r="I15" s="293"/>
      <c r="J15" s="365"/>
      <c r="K15" s="332"/>
      <c r="O15" s="262"/>
    </row>
    <row r="16" spans="1:15" ht="15.75" thickBot="1" x14ac:dyDescent="0.3">
      <c r="E16" s="273"/>
      <c r="F16" s="277" t="s">
        <v>9</v>
      </c>
      <c r="G16" s="10">
        <v>86</v>
      </c>
      <c r="H16" s="10" t="s">
        <v>14</v>
      </c>
      <c r="I16" s="259">
        <v>1324077.4300000002</v>
      </c>
      <c r="J16" s="366">
        <v>636437</v>
      </c>
      <c r="K16" s="337">
        <f>I16+J16</f>
        <v>1960514.4300000002</v>
      </c>
      <c r="L16" s="9"/>
      <c r="M16" s="9"/>
      <c r="O16" s="262"/>
    </row>
    <row r="17" spans="2:15" ht="15.75" thickBot="1" x14ac:dyDescent="0.3">
      <c r="E17" s="110">
        <v>3</v>
      </c>
      <c r="F17" s="328" t="s">
        <v>65</v>
      </c>
      <c r="G17" s="311"/>
      <c r="H17" s="311"/>
      <c r="I17" s="255"/>
      <c r="J17" s="367"/>
      <c r="K17" s="333"/>
      <c r="O17" s="262"/>
    </row>
    <row r="18" spans="2:15" ht="15.75" thickBot="1" x14ac:dyDescent="0.3">
      <c r="E18" s="276"/>
      <c r="F18" s="326" t="s">
        <v>9</v>
      </c>
      <c r="G18" s="327">
        <v>69</v>
      </c>
      <c r="H18" s="330" t="s">
        <v>14</v>
      </c>
      <c r="I18" s="255">
        <v>1045600.7</v>
      </c>
      <c r="J18" s="367">
        <v>512967</v>
      </c>
      <c r="K18" s="336">
        <f>I18+J18</f>
        <v>1558567.7</v>
      </c>
      <c r="L18" s="9"/>
      <c r="O18" s="262"/>
    </row>
    <row r="19" spans="2:15" s="280" customFormat="1" ht="15.75" x14ac:dyDescent="0.25">
      <c r="E19" s="283"/>
      <c r="F19" s="284" t="s">
        <v>67</v>
      </c>
      <c r="G19" s="285">
        <f>G16+G18</f>
        <v>155</v>
      </c>
      <c r="H19" s="285"/>
      <c r="I19" s="286">
        <v>2369678.13</v>
      </c>
      <c r="J19" s="368">
        <f>J16+J18</f>
        <v>1149404</v>
      </c>
      <c r="K19" s="335">
        <f>K16+K18</f>
        <v>3519082.13</v>
      </c>
      <c r="M19" s="342"/>
    </row>
    <row r="20" spans="2:15" s="281" customFormat="1" ht="16.5" thickBot="1" x14ac:dyDescent="0.3">
      <c r="B20" s="282"/>
      <c r="C20" s="282"/>
      <c r="D20" s="282"/>
      <c r="E20" s="287"/>
      <c r="F20" s="288" t="s">
        <v>13</v>
      </c>
      <c r="G20" s="289">
        <f>G14+G19</f>
        <v>191</v>
      </c>
      <c r="H20" s="289" t="s">
        <v>14</v>
      </c>
      <c r="I20" s="290">
        <v>2874000</v>
      </c>
      <c r="J20" s="331">
        <f>J14+J19</f>
        <v>1409000</v>
      </c>
      <c r="K20" s="334">
        <f>K14+K19</f>
        <v>4283000</v>
      </c>
      <c r="L20" s="343"/>
      <c r="M20" s="343"/>
    </row>
    <row r="21" spans="2:15" x14ac:dyDescent="0.25">
      <c r="J21" s="9"/>
      <c r="K21" s="9"/>
    </row>
    <row r="22" spans="2:15" x14ac:dyDescent="0.25">
      <c r="G22" s="119"/>
      <c r="J22" s="9"/>
    </row>
    <row r="23" spans="2:15" x14ac:dyDescent="0.25">
      <c r="L23" s="9"/>
    </row>
    <row r="24" spans="2:15" x14ac:dyDescent="0.25">
      <c r="E24"/>
      <c r="F24" s="48" t="s">
        <v>45</v>
      </c>
      <c r="H24" s="376"/>
      <c r="J24" s="376" t="s">
        <v>73</v>
      </c>
    </row>
    <row r="25" spans="2:15" x14ac:dyDescent="0.25">
      <c r="E25"/>
      <c r="F25" s="376" t="s">
        <v>48</v>
      </c>
      <c r="H25" s="376"/>
      <c r="J25" s="376" t="s">
        <v>74</v>
      </c>
    </row>
  </sheetData>
  <mergeCells count="3">
    <mergeCell ref="B6:J6"/>
    <mergeCell ref="D7:K7"/>
    <mergeCell ref="E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5" workbookViewId="0">
      <selection activeCell="M14" sqref="M14:Q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386" customWidth="1"/>
    <col min="6" max="6" width="34.7109375" style="386" customWidth="1"/>
    <col min="7" max="7" width="16.85546875" style="386" customWidth="1"/>
    <col min="8" max="8" width="11.5703125" style="387" customWidth="1"/>
    <col min="9" max="9" width="17.85546875" customWidth="1"/>
    <col min="10" max="10" width="13.28515625" customWidth="1"/>
    <col min="11" max="11" width="14.42578125" customWidth="1"/>
    <col min="12" max="12" width="14.7109375" bestFit="1" customWidth="1"/>
    <col min="14" max="14" width="10.14062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8" t="s">
        <v>0</v>
      </c>
      <c r="C1" t="s">
        <v>69</v>
      </c>
      <c r="E1"/>
      <c r="F1" s="1"/>
      <c r="G1" s="1"/>
      <c r="H1" s="68"/>
    </row>
    <row r="2" spans="1:15" ht="15.75" customHeight="1" x14ac:dyDescent="0.25">
      <c r="A2" t="s">
        <v>43</v>
      </c>
      <c r="C2" t="s">
        <v>70</v>
      </c>
      <c r="E2"/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</row>
    <row r="7" spans="1:15" x14ac:dyDescent="0.25">
      <c r="D7" s="702" t="s">
        <v>105</v>
      </c>
      <c r="E7" s="702"/>
      <c r="F7" s="702"/>
      <c r="G7" s="702"/>
      <c r="H7" s="702"/>
      <c r="I7" s="702"/>
      <c r="J7" s="702"/>
      <c r="K7" s="702"/>
    </row>
    <row r="8" spans="1:15" x14ac:dyDescent="0.25">
      <c r="B8" s="68"/>
      <c r="C8" s="68"/>
      <c r="D8" s="68"/>
      <c r="E8" s="703" t="s">
        <v>106</v>
      </c>
      <c r="F8" s="703"/>
      <c r="G8" s="703"/>
      <c r="H8" s="703"/>
      <c r="I8" s="703"/>
      <c r="J8" s="703"/>
    </row>
    <row r="9" spans="1:15" x14ac:dyDescent="0.25">
      <c r="H9" s="386"/>
      <c r="I9" s="387"/>
    </row>
    <row r="10" spans="1:15" ht="15.75" thickBot="1" x14ac:dyDescent="0.3">
      <c r="E10" s="4"/>
      <c r="F10" s="5"/>
      <c r="H10" s="386"/>
      <c r="I10" s="387"/>
    </row>
    <row r="11" spans="1:15" ht="45.75" thickBot="1" x14ac:dyDescent="0.3">
      <c r="E11" s="265" t="s">
        <v>2</v>
      </c>
      <c r="F11" s="266" t="s">
        <v>3</v>
      </c>
      <c r="G11" s="267" t="s">
        <v>75</v>
      </c>
      <c r="H11" s="268" t="s">
        <v>68</v>
      </c>
      <c r="I11" s="268" t="s">
        <v>103</v>
      </c>
      <c r="J11" s="361" t="s">
        <v>76</v>
      </c>
      <c r="K11" s="338" t="s">
        <v>107</v>
      </c>
    </row>
    <row r="12" spans="1:15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03">
        <v>3</v>
      </c>
      <c r="I12" s="315"/>
      <c r="J12" s="362"/>
      <c r="K12" s="316"/>
    </row>
    <row r="13" spans="1:15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319"/>
      <c r="I13" s="320"/>
      <c r="J13" s="363"/>
      <c r="K13" s="329"/>
    </row>
    <row r="14" spans="1:15" s="262" customFormat="1" ht="15.75" thickBot="1" x14ac:dyDescent="0.3">
      <c r="B14" s="12"/>
      <c r="C14" s="12"/>
      <c r="D14" s="12"/>
      <c r="E14" s="323"/>
      <c r="F14" s="324" t="s">
        <v>66</v>
      </c>
      <c r="G14" s="325">
        <v>36</v>
      </c>
      <c r="H14" s="325" t="s">
        <v>14</v>
      </c>
      <c r="I14" s="259">
        <v>763917.87</v>
      </c>
      <c r="J14" s="364">
        <v>-27288.969999999998</v>
      </c>
      <c r="K14" s="339">
        <f>I14+J14</f>
        <v>736628.9</v>
      </c>
      <c r="L14" s="261"/>
      <c r="M14" s="9"/>
    </row>
    <row r="15" spans="1:15" x14ac:dyDescent="0.25">
      <c r="E15" s="321" t="s">
        <v>10</v>
      </c>
      <c r="F15" s="312" t="s">
        <v>11</v>
      </c>
      <c r="G15" s="322"/>
      <c r="H15" s="322"/>
      <c r="I15" s="293"/>
      <c r="J15" s="365"/>
      <c r="K15" s="332"/>
      <c r="O15" s="262"/>
    </row>
    <row r="16" spans="1:15" ht="15.75" thickBot="1" x14ac:dyDescent="0.3">
      <c r="E16" s="273"/>
      <c r="F16" s="277" t="s">
        <v>9</v>
      </c>
      <c r="G16" s="10">
        <v>86</v>
      </c>
      <c r="H16" s="10" t="s">
        <v>14</v>
      </c>
      <c r="I16" s="259">
        <v>1960514.4300000002</v>
      </c>
      <c r="J16" s="366">
        <v>-148380.03</v>
      </c>
      <c r="K16" s="337">
        <f>I16+J16</f>
        <v>1812134.4000000001</v>
      </c>
      <c r="L16" s="9"/>
      <c r="M16" s="9"/>
      <c r="O16" s="262"/>
    </row>
    <row r="17" spans="2:15" ht="15.75" thickBot="1" x14ac:dyDescent="0.3">
      <c r="E17" s="110">
        <v>3</v>
      </c>
      <c r="F17" s="328" t="s">
        <v>65</v>
      </c>
      <c r="G17" s="311"/>
      <c r="H17" s="311"/>
      <c r="I17" s="255"/>
      <c r="J17" s="367"/>
      <c r="K17" s="333"/>
      <c r="O17" s="262"/>
    </row>
    <row r="18" spans="2:15" ht="15.75" thickBot="1" x14ac:dyDescent="0.3">
      <c r="E18" s="276"/>
      <c r="F18" s="326" t="s">
        <v>9</v>
      </c>
      <c r="G18" s="327">
        <v>69</v>
      </c>
      <c r="H18" s="330" t="s">
        <v>14</v>
      </c>
      <c r="I18" s="255">
        <v>1558567.7</v>
      </c>
      <c r="J18" s="367">
        <v>-51331</v>
      </c>
      <c r="K18" s="336">
        <f>I18+J18</f>
        <v>1507236.7</v>
      </c>
      <c r="L18" s="9"/>
      <c r="O18" s="262"/>
    </row>
    <row r="19" spans="2:15" s="280" customFormat="1" ht="15.75" x14ac:dyDescent="0.25">
      <c r="E19" s="283"/>
      <c r="F19" s="284" t="s">
        <v>67</v>
      </c>
      <c r="G19" s="285">
        <f>G16+G18</f>
        <v>155</v>
      </c>
      <c r="H19" s="285"/>
      <c r="I19" s="286">
        <v>3519082.13</v>
      </c>
      <c r="J19" s="368">
        <f>J16+J18</f>
        <v>-199711.03</v>
      </c>
      <c r="K19" s="335">
        <f>K16+K18</f>
        <v>3319371.1</v>
      </c>
      <c r="M19" s="342"/>
    </row>
    <row r="20" spans="2:15" s="281" customFormat="1" ht="16.5" thickBot="1" x14ac:dyDescent="0.3">
      <c r="B20" s="282"/>
      <c r="C20" s="282"/>
      <c r="D20" s="282"/>
      <c r="E20" s="287"/>
      <c r="F20" s="288" t="s">
        <v>13</v>
      </c>
      <c r="G20" s="289">
        <f>G14+G19</f>
        <v>191</v>
      </c>
      <c r="H20" s="289" t="s">
        <v>14</v>
      </c>
      <c r="I20" s="290">
        <v>4283000</v>
      </c>
      <c r="J20" s="331">
        <f>J14+J19</f>
        <v>-227000</v>
      </c>
      <c r="K20" s="334">
        <f>K14+K19</f>
        <v>4056000</v>
      </c>
      <c r="L20" s="343"/>
      <c r="M20" s="343"/>
    </row>
    <row r="21" spans="2:15" x14ac:dyDescent="0.25">
      <c r="J21" s="9"/>
      <c r="K21" s="9"/>
      <c r="L21" s="9"/>
    </row>
    <row r="22" spans="2:15" x14ac:dyDescent="0.25">
      <c r="G22" s="119"/>
      <c r="J22" s="9"/>
    </row>
    <row r="23" spans="2:15" x14ac:dyDescent="0.25">
      <c r="J23" s="9"/>
      <c r="K23" s="9"/>
      <c r="L23" s="9"/>
      <c r="N23" s="9"/>
    </row>
    <row r="24" spans="2:15" x14ac:dyDescent="0.25">
      <c r="E24"/>
      <c r="F24" s="48" t="s">
        <v>45</v>
      </c>
      <c r="H24" s="386"/>
      <c r="J24" s="386" t="s">
        <v>73</v>
      </c>
      <c r="K24" s="9"/>
    </row>
    <row r="25" spans="2:15" x14ac:dyDescent="0.25">
      <c r="E25"/>
      <c r="F25" s="386" t="s">
        <v>48</v>
      </c>
      <c r="H25" s="386"/>
      <c r="J25" s="386" t="s">
        <v>74</v>
      </c>
      <c r="K25" s="9"/>
    </row>
    <row r="26" spans="2:15" x14ac:dyDescent="0.25">
      <c r="K26" s="9"/>
      <c r="N26" s="9"/>
    </row>
  </sheetData>
  <mergeCells count="3">
    <mergeCell ref="B6:J6"/>
    <mergeCell ref="D7:K7"/>
    <mergeCell ref="E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C5" workbookViewId="0">
      <selection activeCell="O27" sqref="O27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0.28515625" customWidth="1"/>
    <col min="5" max="5" width="12.7109375" style="416" customWidth="1"/>
    <col min="6" max="6" width="30.85546875" style="416" customWidth="1"/>
    <col min="7" max="7" width="16.85546875" style="416" customWidth="1"/>
    <col min="8" max="8" width="11.5703125" style="417" customWidth="1"/>
    <col min="9" max="9" width="17.85546875" customWidth="1"/>
    <col min="10" max="10" width="13.28515625" customWidth="1"/>
    <col min="11" max="11" width="14.42578125" customWidth="1"/>
    <col min="12" max="12" width="14.7109375" bestFit="1" customWidth="1"/>
    <col min="13" max="13" width="14.7109375" customWidth="1"/>
    <col min="15" max="15" width="11.7109375" bestFit="1" customWidth="1"/>
    <col min="16" max="16" width="10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6" x14ac:dyDescent="0.25">
      <c r="A1" s="58" t="s">
        <v>0</v>
      </c>
      <c r="C1" t="s">
        <v>69</v>
      </c>
      <c r="E1"/>
      <c r="F1" s="1"/>
      <c r="G1" s="1"/>
      <c r="H1" s="68"/>
    </row>
    <row r="2" spans="1:16" ht="15.75" customHeight="1" x14ac:dyDescent="0.25">
      <c r="A2" t="s">
        <v>43</v>
      </c>
      <c r="C2" t="s">
        <v>70</v>
      </c>
      <c r="E2"/>
      <c r="M2" t="s">
        <v>123</v>
      </c>
    </row>
    <row r="3" spans="1:16" ht="16.5" customHeight="1" x14ac:dyDescent="0.25">
      <c r="A3" s="2" t="s">
        <v>44</v>
      </c>
      <c r="C3" t="s">
        <v>71</v>
      </c>
      <c r="E3"/>
    </row>
    <row r="4" spans="1:16" x14ac:dyDescent="0.25">
      <c r="B4" s="3"/>
      <c r="C4" s="3"/>
      <c r="D4" s="3"/>
    </row>
    <row r="6" spans="1:16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6" x14ac:dyDescent="0.25">
      <c r="D7" s="702" t="s">
        <v>126</v>
      </c>
      <c r="E7" s="702"/>
      <c r="F7" s="702"/>
      <c r="G7" s="702"/>
      <c r="H7" s="702"/>
      <c r="I7" s="702"/>
      <c r="J7" s="702"/>
      <c r="K7" s="702"/>
      <c r="L7" s="702"/>
      <c r="M7" s="702"/>
    </row>
    <row r="8" spans="1:16" x14ac:dyDescent="0.25">
      <c r="B8" s="68"/>
      <c r="C8" s="703" t="s">
        <v>125</v>
      </c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</row>
    <row r="9" spans="1:16" x14ac:dyDescent="0.25">
      <c r="H9" s="416"/>
      <c r="I9" s="417"/>
    </row>
    <row r="10" spans="1:16" ht="15.75" thickBot="1" x14ac:dyDescent="0.3">
      <c r="E10" s="4"/>
      <c r="F10" s="5"/>
      <c r="H10" s="416"/>
      <c r="I10" s="417"/>
    </row>
    <row r="11" spans="1:16" ht="45.75" thickBot="1" x14ac:dyDescent="0.3">
      <c r="E11" s="265" t="s">
        <v>2</v>
      </c>
      <c r="F11" s="266" t="s">
        <v>3</v>
      </c>
      <c r="G11" s="267" t="s">
        <v>75</v>
      </c>
      <c r="H11" s="268" t="s">
        <v>68</v>
      </c>
      <c r="I11" s="268" t="s">
        <v>107</v>
      </c>
      <c r="J11" s="418" t="s">
        <v>117</v>
      </c>
      <c r="K11" s="338" t="s">
        <v>118</v>
      </c>
      <c r="L11" s="338" t="s">
        <v>119</v>
      </c>
      <c r="M11" s="338" t="s">
        <v>120</v>
      </c>
    </row>
    <row r="12" spans="1:16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03">
        <v>3</v>
      </c>
      <c r="I12" s="315"/>
      <c r="J12" s="362"/>
      <c r="K12" s="316"/>
      <c r="L12" s="316"/>
      <c r="M12" s="316"/>
    </row>
    <row r="13" spans="1:16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319"/>
      <c r="I13" s="440">
        <v>736628.9</v>
      </c>
      <c r="J13" s="435">
        <v>674828.16</v>
      </c>
      <c r="K13" s="436">
        <f>674828.16+12313.48</f>
        <v>687141.64</v>
      </c>
      <c r="L13" s="436">
        <f>321996-48889</f>
        <v>273107</v>
      </c>
      <c r="M13" s="436">
        <f>I13+J13+K13+L13</f>
        <v>2371705.7000000002</v>
      </c>
      <c r="O13" s="9"/>
    </row>
    <row r="14" spans="1:16" s="262" customFormat="1" ht="15.75" thickBot="1" x14ac:dyDescent="0.3">
      <c r="B14" s="12"/>
      <c r="C14" s="12"/>
      <c r="D14" s="12"/>
      <c r="E14" s="323"/>
      <c r="F14" s="324" t="s">
        <v>66</v>
      </c>
      <c r="G14" s="325">
        <v>39</v>
      </c>
      <c r="H14" s="325" t="s">
        <v>14</v>
      </c>
      <c r="I14" s="432">
        <v>736628.9</v>
      </c>
      <c r="J14" s="423">
        <f>SUM(J13)</f>
        <v>674828.16</v>
      </c>
      <c r="K14" s="424">
        <f>SUM(K13)</f>
        <v>687141.64</v>
      </c>
      <c r="L14" s="424">
        <f>SUM(L13)</f>
        <v>273107</v>
      </c>
      <c r="M14" s="424">
        <f>SUM(M13)</f>
        <v>2371705.7000000002</v>
      </c>
      <c r="N14" s="9"/>
    </row>
    <row r="15" spans="1:16" x14ac:dyDescent="0.25">
      <c r="E15" s="321" t="s">
        <v>10</v>
      </c>
      <c r="F15" s="312" t="s">
        <v>11</v>
      </c>
      <c r="G15" s="322"/>
      <c r="H15" s="322"/>
      <c r="I15" s="437">
        <v>1812134.4</v>
      </c>
      <c r="J15" s="425">
        <v>1481377.69</v>
      </c>
      <c r="K15" s="438">
        <f>1481377.69+32215.5</f>
        <v>1513593.19</v>
      </c>
      <c r="L15" s="438">
        <f>700350-127915.2</f>
        <v>572434.80000000005</v>
      </c>
      <c r="M15" s="436">
        <f>I15+J15+K15+L15</f>
        <v>5379540.0799999991</v>
      </c>
      <c r="P15" s="262"/>
    </row>
    <row r="16" spans="1:16" ht="15.75" thickBot="1" x14ac:dyDescent="0.3">
      <c r="E16" s="276"/>
      <c r="F16" s="277" t="s">
        <v>9</v>
      </c>
      <c r="G16" s="10">
        <v>83</v>
      </c>
      <c r="H16" s="10" t="s">
        <v>14</v>
      </c>
      <c r="I16" s="439">
        <v>1812134.4000000001</v>
      </c>
      <c r="J16" s="75">
        <f>SUM(J15)</f>
        <v>1481377.69</v>
      </c>
      <c r="K16" s="426">
        <f>SUM(K15)</f>
        <v>1513593.19</v>
      </c>
      <c r="L16" s="426">
        <f>SUM(L15)</f>
        <v>572434.80000000005</v>
      </c>
      <c r="M16" s="426">
        <f>SUM(M15)</f>
        <v>5379540.0799999991</v>
      </c>
      <c r="N16" s="9"/>
      <c r="P16" s="262"/>
    </row>
    <row r="17" spans="2:16" ht="15.75" thickBot="1" x14ac:dyDescent="0.3">
      <c r="E17" s="445">
        <v>3</v>
      </c>
      <c r="F17" s="328" t="s">
        <v>65</v>
      </c>
      <c r="G17" s="311"/>
      <c r="H17" s="311"/>
      <c r="I17" s="446">
        <v>1507236.7</v>
      </c>
      <c r="J17" s="427">
        <v>1391114.15</v>
      </c>
      <c r="K17" s="428">
        <f>1391114.15+27061.02</f>
        <v>1418175.17</v>
      </c>
      <c r="L17" s="428">
        <f>661674-107445.8</f>
        <v>554228.19999999995</v>
      </c>
      <c r="M17" s="428">
        <f>I17+J17+K17+L17</f>
        <v>4870754.22</v>
      </c>
      <c r="P17" s="262"/>
    </row>
    <row r="18" spans="2:16" ht="15.75" thickBot="1" x14ac:dyDescent="0.3">
      <c r="E18" s="441"/>
      <c r="F18" s="326" t="s">
        <v>9</v>
      </c>
      <c r="G18" s="327">
        <v>78</v>
      </c>
      <c r="H18" s="330" t="s">
        <v>14</v>
      </c>
      <c r="I18" s="442">
        <v>1507236.7</v>
      </c>
      <c r="J18" s="443">
        <f>SUM(J17)</f>
        <v>1391114.15</v>
      </c>
      <c r="K18" s="444">
        <f>SUM(K17)</f>
        <v>1418175.17</v>
      </c>
      <c r="L18" s="444">
        <f>SUM(L17)</f>
        <v>554228.19999999995</v>
      </c>
      <c r="M18" s="444">
        <f>SUM(M17)</f>
        <v>4870754.22</v>
      </c>
      <c r="P18" s="262"/>
    </row>
    <row r="19" spans="2:16" s="280" customFormat="1" ht="15.75" x14ac:dyDescent="0.25">
      <c r="E19" s="283"/>
      <c r="F19" s="284" t="s">
        <v>67</v>
      </c>
      <c r="G19" s="285">
        <f>G16+G18</f>
        <v>161</v>
      </c>
      <c r="H19" s="285"/>
      <c r="I19" s="429">
        <v>3319371.1</v>
      </c>
      <c r="J19" s="430">
        <f>J16+J18</f>
        <v>2872491.84</v>
      </c>
      <c r="K19" s="431">
        <f>K16+K18</f>
        <v>2931768.36</v>
      </c>
      <c r="L19" s="431">
        <f>L16+L18</f>
        <v>1126663</v>
      </c>
      <c r="M19" s="431">
        <f>M16+M18</f>
        <v>10250294.299999999</v>
      </c>
      <c r="N19" s="342"/>
    </row>
    <row r="20" spans="2:16" s="281" customFormat="1" ht="16.5" thickBot="1" x14ac:dyDescent="0.3">
      <c r="B20" s="282"/>
      <c r="C20" s="282"/>
      <c r="D20" s="282"/>
      <c r="E20" s="287"/>
      <c r="F20" s="288" t="s">
        <v>13</v>
      </c>
      <c r="G20" s="289">
        <f>G14+G19</f>
        <v>200</v>
      </c>
      <c r="H20" s="289" t="s">
        <v>14</v>
      </c>
      <c r="I20" s="432">
        <v>4056000</v>
      </c>
      <c r="J20" s="433">
        <f>J14+J19</f>
        <v>3547320</v>
      </c>
      <c r="K20" s="434">
        <f>K14+K19</f>
        <v>3618910</v>
      </c>
      <c r="L20" s="434">
        <f>L14+L19</f>
        <v>1399770</v>
      </c>
      <c r="M20" s="434">
        <v>12622000</v>
      </c>
      <c r="N20" s="343"/>
    </row>
    <row r="21" spans="2:16" x14ac:dyDescent="0.25">
      <c r="E21" s="419"/>
      <c r="F21" s="419"/>
      <c r="G21" s="419"/>
      <c r="H21" s="420"/>
      <c r="I21" s="421"/>
      <c r="J21" s="422"/>
      <c r="K21" s="422"/>
      <c r="L21" s="422"/>
      <c r="M21" s="422"/>
    </row>
    <row r="22" spans="2:16" x14ac:dyDescent="0.25">
      <c r="G22" s="119"/>
      <c r="J22" s="9"/>
      <c r="K22" s="9"/>
      <c r="L22" s="9"/>
      <c r="M22" s="9"/>
    </row>
    <row r="23" spans="2:16" x14ac:dyDescent="0.25">
      <c r="I23" s="9"/>
      <c r="J23" s="9"/>
      <c r="K23" s="9"/>
      <c r="L23" s="9"/>
      <c r="M23" s="9"/>
      <c r="O23" s="9"/>
    </row>
    <row r="24" spans="2:16" x14ac:dyDescent="0.25">
      <c r="E24"/>
      <c r="F24" s="48" t="s">
        <v>45</v>
      </c>
      <c r="H24" s="416"/>
      <c r="K24" s="9"/>
      <c r="L24" s="416" t="s">
        <v>73</v>
      </c>
    </row>
    <row r="25" spans="2:16" x14ac:dyDescent="0.25">
      <c r="E25"/>
      <c r="F25" s="416" t="s">
        <v>48</v>
      </c>
      <c r="H25" s="416"/>
      <c r="K25" s="9"/>
      <c r="L25" s="416" t="s">
        <v>74</v>
      </c>
      <c r="M25" s="9"/>
    </row>
    <row r="26" spans="2:16" x14ac:dyDescent="0.25">
      <c r="K26" s="9"/>
      <c r="M26" s="9"/>
      <c r="O26" s="9"/>
    </row>
  </sheetData>
  <mergeCells count="3">
    <mergeCell ref="C8:N8"/>
    <mergeCell ref="B6:L6"/>
    <mergeCell ref="D7:M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C7" workbookViewId="0">
      <selection activeCell="P20" sqref="P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12.7109375" style="566" customWidth="1"/>
    <col min="6" max="6" width="30.85546875" style="566" customWidth="1"/>
    <col min="7" max="7" width="16.85546875" style="566" customWidth="1"/>
    <col min="8" max="8" width="11.5703125" style="567" customWidth="1"/>
    <col min="9" max="9" width="17.85546875" customWidth="1"/>
    <col min="10" max="10" width="13.28515625" customWidth="1"/>
    <col min="11" max="11" width="14.42578125" customWidth="1"/>
    <col min="12" max="12" width="14.7109375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12" x14ac:dyDescent="0.25">
      <c r="A1" s="58" t="s">
        <v>0</v>
      </c>
      <c r="C1" t="s">
        <v>69</v>
      </c>
      <c r="E1"/>
      <c r="F1" s="1"/>
      <c r="G1" s="1"/>
      <c r="H1" s="68"/>
    </row>
    <row r="2" spans="1:12" ht="15.75" customHeight="1" x14ac:dyDescent="0.25">
      <c r="A2" t="s">
        <v>43</v>
      </c>
      <c r="C2" t="s">
        <v>70</v>
      </c>
      <c r="E2"/>
      <c r="L2" t="s">
        <v>78</v>
      </c>
    </row>
    <row r="3" spans="1:12" ht="16.5" customHeight="1" x14ac:dyDescent="0.25">
      <c r="A3" s="2" t="s">
        <v>44</v>
      </c>
      <c r="C3" t="s">
        <v>71</v>
      </c>
      <c r="E3"/>
    </row>
    <row r="4" spans="1:12" x14ac:dyDescent="0.25">
      <c r="B4" s="3"/>
      <c r="C4" s="3"/>
      <c r="D4" s="3"/>
    </row>
    <row r="6" spans="1:12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</row>
    <row r="7" spans="1:12" x14ac:dyDescent="0.25">
      <c r="D7" s="702" t="s">
        <v>116</v>
      </c>
      <c r="E7" s="702"/>
      <c r="F7" s="702"/>
      <c r="G7" s="702"/>
      <c r="H7" s="702"/>
      <c r="I7" s="702"/>
      <c r="J7" s="702"/>
      <c r="K7" s="702"/>
    </row>
    <row r="8" spans="1:12" x14ac:dyDescent="0.25">
      <c r="B8" s="68"/>
      <c r="C8" s="703" t="s">
        <v>124</v>
      </c>
      <c r="D8" s="703"/>
      <c r="E8" s="703"/>
      <c r="F8" s="703"/>
      <c r="G8" s="703"/>
      <c r="H8" s="703"/>
      <c r="I8" s="703"/>
      <c r="J8" s="703"/>
      <c r="K8" s="703"/>
      <c r="L8" s="703"/>
    </row>
    <row r="9" spans="1:12" x14ac:dyDescent="0.25">
      <c r="H9" s="566"/>
      <c r="I9" s="567"/>
    </row>
    <row r="10" spans="1:12" ht="15.75" thickBot="1" x14ac:dyDescent="0.3">
      <c r="E10" s="4"/>
      <c r="F10" s="5"/>
      <c r="H10" s="566"/>
      <c r="I10" s="567"/>
    </row>
    <row r="11" spans="1:12" ht="60.75" thickBot="1" x14ac:dyDescent="0.3">
      <c r="E11" s="265" t="s">
        <v>2</v>
      </c>
      <c r="F11" s="266" t="s">
        <v>3</v>
      </c>
      <c r="G11" s="267" t="s">
        <v>75</v>
      </c>
      <c r="H11" s="268" t="s">
        <v>68</v>
      </c>
      <c r="I11" s="268" t="s">
        <v>107</v>
      </c>
      <c r="J11" s="418" t="s">
        <v>121</v>
      </c>
      <c r="K11" s="338" t="s">
        <v>122</v>
      </c>
      <c r="L11" s="338" t="s">
        <v>120</v>
      </c>
    </row>
    <row r="12" spans="1:12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03">
        <v>3</v>
      </c>
      <c r="I12" s="315"/>
      <c r="J12" s="362"/>
      <c r="K12" s="316"/>
      <c r="L12" s="316"/>
    </row>
    <row r="13" spans="1:12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319"/>
      <c r="I13" s="440">
        <v>736628.9</v>
      </c>
      <c r="J13" s="435">
        <v>284976</v>
      </c>
      <c r="K13" s="436">
        <v>1350100.8</v>
      </c>
      <c r="L13" s="436">
        <v>2371705.7000000002</v>
      </c>
    </row>
    <row r="14" spans="1:12" s="262" customFormat="1" ht="15.75" thickBot="1" x14ac:dyDescent="0.3">
      <c r="B14" s="12"/>
      <c r="C14" s="12"/>
      <c r="D14" s="12"/>
      <c r="E14" s="323"/>
      <c r="F14" s="324" t="s">
        <v>66</v>
      </c>
      <c r="G14" s="325">
        <v>39</v>
      </c>
      <c r="H14" s="325" t="s">
        <v>14</v>
      </c>
      <c r="I14" s="432">
        <v>736628.9</v>
      </c>
      <c r="J14" s="423">
        <f>SUM(J13)</f>
        <v>284976</v>
      </c>
      <c r="K14" s="424">
        <f>SUM(K13)</f>
        <v>1350100.8</v>
      </c>
      <c r="L14" s="424">
        <f>SUM(L13)</f>
        <v>2371705.7000000002</v>
      </c>
    </row>
    <row r="15" spans="1:12" x14ac:dyDescent="0.25">
      <c r="E15" s="321" t="s">
        <v>10</v>
      </c>
      <c r="F15" s="312" t="s">
        <v>11</v>
      </c>
      <c r="G15" s="322"/>
      <c r="H15" s="322"/>
      <c r="I15" s="437">
        <v>1812134.4</v>
      </c>
      <c r="J15" s="425">
        <v>600350</v>
      </c>
      <c r="K15" s="438">
        <v>2967055.68</v>
      </c>
      <c r="L15" s="436">
        <v>5379540.0800000001</v>
      </c>
    </row>
    <row r="16" spans="1:12" ht="15.75" thickBot="1" x14ac:dyDescent="0.3">
      <c r="E16" s="276"/>
      <c r="F16" s="277" t="s">
        <v>9</v>
      </c>
      <c r="G16" s="10">
        <v>83</v>
      </c>
      <c r="H16" s="10" t="s">
        <v>14</v>
      </c>
      <c r="I16" s="439">
        <v>1812134.4000000001</v>
      </c>
      <c r="J16" s="75">
        <f>SUM(J15)</f>
        <v>600350</v>
      </c>
      <c r="K16" s="426">
        <f>SUM(K15)</f>
        <v>2967055.68</v>
      </c>
      <c r="L16" s="426">
        <f>SUM(L15)</f>
        <v>5379540.0800000001</v>
      </c>
    </row>
    <row r="17" spans="2:12" ht="15.75" thickBot="1" x14ac:dyDescent="0.3">
      <c r="E17" s="445">
        <v>3</v>
      </c>
      <c r="F17" s="328" t="s">
        <v>65</v>
      </c>
      <c r="G17" s="311"/>
      <c r="H17" s="311"/>
      <c r="I17" s="446">
        <v>1507236.7</v>
      </c>
      <c r="J17" s="427">
        <v>551674</v>
      </c>
      <c r="K17" s="428">
        <v>2811843.52</v>
      </c>
      <c r="L17" s="428">
        <v>4870754.22</v>
      </c>
    </row>
    <row r="18" spans="2:12" ht="15.75" thickBot="1" x14ac:dyDescent="0.3">
      <c r="E18" s="441"/>
      <c r="F18" s="326" t="s">
        <v>9</v>
      </c>
      <c r="G18" s="327">
        <v>78</v>
      </c>
      <c r="H18" s="330" t="s">
        <v>14</v>
      </c>
      <c r="I18" s="442">
        <v>1507236.7</v>
      </c>
      <c r="J18" s="447">
        <f>SUM(J17)</f>
        <v>551674</v>
      </c>
      <c r="K18" s="444">
        <f>SUM(K17)</f>
        <v>2811843.52</v>
      </c>
      <c r="L18" s="448">
        <f>SUM(L17)</f>
        <v>4870754.22</v>
      </c>
    </row>
    <row r="19" spans="2:12" s="280" customFormat="1" ht="15.75" x14ac:dyDescent="0.25">
      <c r="E19" s="283"/>
      <c r="F19" s="284" t="s">
        <v>67</v>
      </c>
      <c r="G19" s="285">
        <f>G16+G18</f>
        <v>161</v>
      </c>
      <c r="H19" s="285"/>
      <c r="I19" s="429">
        <v>3319371.1</v>
      </c>
      <c r="J19" s="430">
        <f>J16+J18</f>
        <v>1152024</v>
      </c>
      <c r="K19" s="431">
        <f>K16+K18</f>
        <v>5778899.2000000002</v>
      </c>
      <c r="L19" s="431">
        <f>L16+L18</f>
        <v>10250294.300000001</v>
      </c>
    </row>
    <row r="20" spans="2:12" s="281" customFormat="1" ht="16.5" thickBot="1" x14ac:dyDescent="0.3">
      <c r="B20" s="282"/>
      <c r="C20" s="282"/>
      <c r="D20" s="282"/>
      <c r="E20" s="287"/>
      <c r="F20" s="288" t="s">
        <v>13</v>
      </c>
      <c r="G20" s="289">
        <f>G14+G19</f>
        <v>200</v>
      </c>
      <c r="H20" s="289" t="s">
        <v>14</v>
      </c>
      <c r="I20" s="432">
        <v>4056000</v>
      </c>
      <c r="J20" s="433">
        <f>J14+J19</f>
        <v>1437000</v>
      </c>
      <c r="K20" s="434">
        <f>K14+K19</f>
        <v>7129000</v>
      </c>
      <c r="L20" s="434">
        <f>L14+L19</f>
        <v>12622000</v>
      </c>
    </row>
    <row r="21" spans="2:12" x14ac:dyDescent="0.25">
      <c r="E21" s="419"/>
      <c r="F21" s="419"/>
      <c r="G21" s="419"/>
      <c r="H21" s="420"/>
      <c r="I21" s="421"/>
      <c r="J21" s="422"/>
      <c r="K21" s="422"/>
      <c r="L21" s="422"/>
    </row>
    <row r="22" spans="2:12" x14ac:dyDescent="0.25">
      <c r="G22" s="119"/>
      <c r="J22" s="9"/>
      <c r="K22" s="9"/>
      <c r="L22" s="9"/>
    </row>
    <row r="23" spans="2:12" x14ac:dyDescent="0.25">
      <c r="I23" s="9"/>
      <c r="J23" s="9"/>
      <c r="K23" s="9"/>
      <c r="L23" s="9"/>
    </row>
    <row r="24" spans="2:12" x14ac:dyDescent="0.25">
      <c r="E24"/>
      <c r="F24" s="48" t="s">
        <v>45</v>
      </c>
      <c r="H24" s="566"/>
      <c r="K24" s="568" t="s">
        <v>73</v>
      </c>
    </row>
    <row r="25" spans="2:12" x14ac:dyDescent="0.25">
      <c r="E25"/>
      <c r="F25" s="566" t="s">
        <v>48</v>
      </c>
      <c r="H25" s="566"/>
      <c r="K25" s="9" t="s">
        <v>74</v>
      </c>
      <c r="L25" s="9"/>
    </row>
    <row r="26" spans="2:12" x14ac:dyDescent="0.25">
      <c r="K26" s="9"/>
      <c r="L26" s="9"/>
    </row>
  </sheetData>
  <mergeCells count="3">
    <mergeCell ref="B6:J6"/>
    <mergeCell ref="D7:K7"/>
    <mergeCell ref="C8:L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H7" workbookViewId="0">
      <selection activeCell="N7" sqref="N1:X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8.42578125" style="610" customWidth="1"/>
    <col min="6" max="6" width="30.85546875" style="610" customWidth="1"/>
    <col min="7" max="7" width="16.85546875" style="610" customWidth="1"/>
    <col min="8" max="8" width="17.5703125" customWidth="1"/>
    <col min="9" max="9" width="17.42578125" customWidth="1"/>
    <col min="10" max="10" width="20" customWidth="1"/>
    <col min="11" max="13" width="14.7109375" customWidth="1"/>
    <col min="231" max="231" width="5" customWidth="1"/>
    <col min="232" max="232" width="29.85546875" customWidth="1"/>
    <col min="233" max="233" width="8.5703125" customWidth="1"/>
    <col min="234" max="234" width="11.85546875" customWidth="1"/>
    <col min="235" max="235" width="13" customWidth="1"/>
    <col min="236" max="236" width="11.7109375" customWidth="1"/>
    <col min="237" max="237" width="11.7109375" bestFit="1" customWidth="1"/>
    <col min="238" max="238" width="11.7109375" customWidth="1"/>
    <col min="239" max="239" width="12.5703125" customWidth="1"/>
    <col min="240" max="240" width="11.7109375" bestFit="1" customWidth="1"/>
    <col min="487" max="487" width="5" customWidth="1"/>
    <col min="488" max="488" width="29.85546875" customWidth="1"/>
    <col min="489" max="489" width="8.5703125" customWidth="1"/>
    <col min="490" max="490" width="11.85546875" customWidth="1"/>
    <col min="491" max="491" width="13" customWidth="1"/>
    <col min="492" max="492" width="11.7109375" customWidth="1"/>
    <col min="493" max="493" width="11.7109375" bestFit="1" customWidth="1"/>
    <col min="494" max="494" width="11.7109375" customWidth="1"/>
    <col min="495" max="495" width="12.5703125" customWidth="1"/>
    <col min="496" max="496" width="11.7109375" bestFit="1" customWidth="1"/>
    <col min="743" max="743" width="5" customWidth="1"/>
    <col min="744" max="744" width="29.85546875" customWidth="1"/>
    <col min="745" max="745" width="8.5703125" customWidth="1"/>
    <col min="746" max="746" width="11.85546875" customWidth="1"/>
    <col min="747" max="747" width="13" customWidth="1"/>
    <col min="748" max="748" width="11.7109375" customWidth="1"/>
    <col min="749" max="749" width="11.7109375" bestFit="1" customWidth="1"/>
    <col min="750" max="750" width="11.7109375" customWidth="1"/>
    <col min="751" max="751" width="12.5703125" customWidth="1"/>
    <col min="752" max="752" width="11.7109375" bestFit="1" customWidth="1"/>
    <col min="999" max="999" width="5" customWidth="1"/>
    <col min="1000" max="1000" width="29.85546875" customWidth="1"/>
    <col min="1001" max="1001" width="8.5703125" customWidth="1"/>
    <col min="1002" max="1002" width="11.85546875" customWidth="1"/>
    <col min="1003" max="1003" width="13" customWidth="1"/>
    <col min="1004" max="1004" width="11.7109375" customWidth="1"/>
    <col min="1005" max="1005" width="11.7109375" bestFit="1" customWidth="1"/>
    <col min="1006" max="1006" width="11.7109375" customWidth="1"/>
    <col min="1007" max="1007" width="12.5703125" customWidth="1"/>
    <col min="1008" max="1008" width="11.7109375" bestFit="1" customWidth="1"/>
    <col min="1255" max="1255" width="5" customWidth="1"/>
    <col min="1256" max="1256" width="29.85546875" customWidth="1"/>
    <col min="1257" max="1257" width="8.5703125" customWidth="1"/>
    <col min="1258" max="1258" width="11.85546875" customWidth="1"/>
    <col min="1259" max="1259" width="13" customWidth="1"/>
    <col min="1260" max="1260" width="11.7109375" customWidth="1"/>
    <col min="1261" max="1261" width="11.7109375" bestFit="1" customWidth="1"/>
    <col min="1262" max="1262" width="11.7109375" customWidth="1"/>
    <col min="1263" max="1263" width="12.5703125" customWidth="1"/>
    <col min="1264" max="1264" width="11.7109375" bestFit="1" customWidth="1"/>
    <col min="1511" max="1511" width="5" customWidth="1"/>
    <col min="1512" max="1512" width="29.85546875" customWidth="1"/>
    <col min="1513" max="1513" width="8.5703125" customWidth="1"/>
    <col min="1514" max="1514" width="11.85546875" customWidth="1"/>
    <col min="1515" max="1515" width="13" customWidth="1"/>
    <col min="1516" max="1516" width="11.7109375" customWidth="1"/>
    <col min="1517" max="1517" width="11.7109375" bestFit="1" customWidth="1"/>
    <col min="1518" max="1518" width="11.7109375" customWidth="1"/>
    <col min="1519" max="1519" width="12.5703125" customWidth="1"/>
    <col min="1520" max="1520" width="11.7109375" bestFit="1" customWidth="1"/>
    <col min="1767" max="1767" width="5" customWidth="1"/>
    <col min="1768" max="1768" width="29.85546875" customWidth="1"/>
    <col min="1769" max="1769" width="8.5703125" customWidth="1"/>
    <col min="1770" max="1770" width="11.85546875" customWidth="1"/>
    <col min="1771" max="1771" width="13" customWidth="1"/>
    <col min="1772" max="1772" width="11.7109375" customWidth="1"/>
    <col min="1773" max="1773" width="11.7109375" bestFit="1" customWidth="1"/>
    <col min="1774" max="1774" width="11.7109375" customWidth="1"/>
    <col min="1775" max="1775" width="12.5703125" customWidth="1"/>
    <col min="1776" max="1776" width="11.7109375" bestFit="1" customWidth="1"/>
    <col min="2023" max="2023" width="5" customWidth="1"/>
    <col min="2024" max="2024" width="29.85546875" customWidth="1"/>
    <col min="2025" max="2025" width="8.5703125" customWidth="1"/>
    <col min="2026" max="2026" width="11.85546875" customWidth="1"/>
    <col min="2027" max="2027" width="13" customWidth="1"/>
    <col min="2028" max="2028" width="11.7109375" customWidth="1"/>
    <col min="2029" max="2029" width="11.7109375" bestFit="1" customWidth="1"/>
    <col min="2030" max="2030" width="11.7109375" customWidth="1"/>
    <col min="2031" max="2031" width="12.5703125" customWidth="1"/>
    <col min="2032" max="2032" width="11.7109375" bestFit="1" customWidth="1"/>
    <col min="2279" max="2279" width="5" customWidth="1"/>
    <col min="2280" max="2280" width="29.85546875" customWidth="1"/>
    <col min="2281" max="2281" width="8.5703125" customWidth="1"/>
    <col min="2282" max="2282" width="11.85546875" customWidth="1"/>
    <col min="2283" max="2283" width="13" customWidth="1"/>
    <col min="2284" max="2284" width="11.7109375" customWidth="1"/>
    <col min="2285" max="2285" width="11.7109375" bestFit="1" customWidth="1"/>
    <col min="2286" max="2286" width="11.7109375" customWidth="1"/>
    <col min="2287" max="2287" width="12.5703125" customWidth="1"/>
    <col min="2288" max="2288" width="11.7109375" bestFit="1" customWidth="1"/>
    <col min="2535" max="2535" width="5" customWidth="1"/>
    <col min="2536" max="2536" width="29.85546875" customWidth="1"/>
    <col min="2537" max="2537" width="8.5703125" customWidth="1"/>
    <col min="2538" max="2538" width="11.85546875" customWidth="1"/>
    <col min="2539" max="2539" width="13" customWidth="1"/>
    <col min="2540" max="2540" width="11.7109375" customWidth="1"/>
    <col min="2541" max="2541" width="11.7109375" bestFit="1" customWidth="1"/>
    <col min="2542" max="2542" width="11.7109375" customWidth="1"/>
    <col min="2543" max="2543" width="12.5703125" customWidth="1"/>
    <col min="2544" max="2544" width="11.7109375" bestFit="1" customWidth="1"/>
    <col min="2791" max="2791" width="5" customWidth="1"/>
    <col min="2792" max="2792" width="29.85546875" customWidth="1"/>
    <col min="2793" max="2793" width="8.5703125" customWidth="1"/>
    <col min="2794" max="2794" width="11.85546875" customWidth="1"/>
    <col min="2795" max="2795" width="13" customWidth="1"/>
    <col min="2796" max="2796" width="11.7109375" customWidth="1"/>
    <col min="2797" max="2797" width="11.7109375" bestFit="1" customWidth="1"/>
    <col min="2798" max="2798" width="11.7109375" customWidth="1"/>
    <col min="2799" max="2799" width="12.5703125" customWidth="1"/>
    <col min="2800" max="2800" width="11.7109375" bestFit="1" customWidth="1"/>
    <col min="3047" max="3047" width="5" customWidth="1"/>
    <col min="3048" max="3048" width="29.85546875" customWidth="1"/>
    <col min="3049" max="3049" width="8.5703125" customWidth="1"/>
    <col min="3050" max="3050" width="11.85546875" customWidth="1"/>
    <col min="3051" max="3051" width="13" customWidth="1"/>
    <col min="3052" max="3052" width="11.7109375" customWidth="1"/>
    <col min="3053" max="3053" width="11.7109375" bestFit="1" customWidth="1"/>
    <col min="3054" max="3054" width="11.7109375" customWidth="1"/>
    <col min="3055" max="3055" width="12.5703125" customWidth="1"/>
    <col min="3056" max="3056" width="11.7109375" bestFit="1" customWidth="1"/>
    <col min="3303" max="3303" width="5" customWidth="1"/>
    <col min="3304" max="3304" width="29.85546875" customWidth="1"/>
    <col min="3305" max="3305" width="8.5703125" customWidth="1"/>
    <col min="3306" max="3306" width="11.85546875" customWidth="1"/>
    <col min="3307" max="3307" width="13" customWidth="1"/>
    <col min="3308" max="3308" width="11.7109375" customWidth="1"/>
    <col min="3309" max="3309" width="11.7109375" bestFit="1" customWidth="1"/>
    <col min="3310" max="3310" width="11.7109375" customWidth="1"/>
    <col min="3311" max="3311" width="12.5703125" customWidth="1"/>
    <col min="3312" max="3312" width="11.7109375" bestFit="1" customWidth="1"/>
    <col min="3559" max="3559" width="5" customWidth="1"/>
    <col min="3560" max="3560" width="29.85546875" customWidth="1"/>
    <col min="3561" max="3561" width="8.5703125" customWidth="1"/>
    <col min="3562" max="3562" width="11.85546875" customWidth="1"/>
    <col min="3563" max="3563" width="13" customWidth="1"/>
    <col min="3564" max="3564" width="11.7109375" customWidth="1"/>
    <col min="3565" max="3565" width="11.7109375" bestFit="1" customWidth="1"/>
    <col min="3566" max="3566" width="11.7109375" customWidth="1"/>
    <col min="3567" max="3567" width="12.5703125" customWidth="1"/>
    <col min="3568" max="3568" width="11.7109375" bestFit="1" customWidth="1"/>
    <col min="3815" max="3815" width="5" customWidth="1"/>
    <col min="3816" max="3816" width="29.85546875" customWidth="1"/>
    <col min="3817" max="3817" width="8.5703125" customWidth="1"/>
    <col min="3818" max="3818" width="11.85546875" customWidth="1"/>
    <col min="3819" max="3819" width="13" customWidth="1"/>
    <col min="3820" max="3820" width="11.7109375" customWidth="1"/>
    <col min="3821" max="3821" width="11.7109375" bestFit="1" customWidth="1"/>
    <col min="3822" max="3822" width="11.7109375" customWidth="1"/>
    <col min="3823" max="3823" width="12.5703125" customWidth="1"/>
    <col min="3824" max="3824" width="11.7109375" bestFit="1" customWidth="1"/>
    <col min="4071" max="4071" width="5" customWidth="1"/>
    <col min="4072" max="4072" width="29.85546875" customWidth="1"/>
    <col min="4073" max="4073" width="8.5703125" customWidth="1"/>
    <col min="4074" max="4074" width="11.85546875" customWidth="1"/>
    <col min="4075" max="4075" width="13" customWidth="1"/>
    <col min="4076" max="4076" width="11.7109375" customWidth="1"/>
    <col min="4077" max="4077" width="11.7109375" bestFit="1" customWidth="1"/>
    <col min="4078" max="4078" width="11.7109375" customWidth="1"/>
    <col min="4079" max="4079" width="12.5703125" customWidth="1"/>
    <col min="4080" max="4080" width="11.7109375" bestFit="1" customWidth="1"/>
    <col min="4327" max="4327" width="5" customWidth="1"/>
    <col min="4328" max="4328" width="29.85546875" customWidth="1"/>
    <col min="4329" max="4329" width="8.5703125" customWidth="1"/>
    <col min="4330" max="4330" width="11.85546875" customWidth="1"/>
    <col min="4331" max="4331" width="13" customWidth="1"/>
    <col min="4332" max="4332" width="11.7109375" customWidth="1"/>
    <col min="4333" max="4333" width="11.7109375" bestFit="1" customWidth="1"/>
    <col min="4334" max="4334" width="11.7109375" customWidth="1"/>
    <col min="4335" max="4335" width="12.5703125" customWidth="1"/>
    <col min="4336" max="4336" width="11.7109375" bestFit="1" customWidth="1"/>
    <col min="4583" max="4583" width="5" customWidth="1"/>
    <col min="4584" max="4584" width="29.85546875" customWidth="1"/>
    <col min="4585" max="4585" width="8.5703125" customWidth="1"/>
    <col min="4586" max="4586" width="11.85546875" customWidth="1"/>
    <col min="4587" max="4587" width="13" customWidth="1"/>
    <col min="4588" max="4588" width="11.7109375" customWidth="1"/>
    <col min="4589" max="4589" width="11.7109375" bestFit="1" customWidth="1"/>
    <col min="4590" max="4590" width="11.7109375" customWidth="1"/>
    <col min="4591" max="4591" width="12.5703125" customWidth="1"/>
    <col min="4592" max="4592" width="11.7109375" bestFit="1" customWidth="1"/>
    <col min="4839" max="4839" width="5" customWidth="1"/>
    <col min="4840" max="4840" width="29.85546875" customWidth="1"/>
    <col min="4841" max="4841" width="8.5703125" customWidth="1"/>
    <col min="4842" max="4842" width="11.85546875" customWidth="1"/>
    <col min="4843" max="4843" width="13" customWidth="1"/>
    <col min="4844" max="4844" width="11.7109375" customWidth="1"/>
    <col min="4845" max="4845" width="11.7109375" bestFit="1" customWidth="1"/>
    <col min="4846" max="4846" width="11.7109375" customWidth="1"/>
    <col min="4847" max="4847" width="12.5703125" customWidth="1"/>
    <col min="4848" max="4848" width="11.7109375" bestFit="1" customWidth="1"/>
    <col min="5095" max="5095" width="5" customWidth="1"/>
    <col min="5096" max="5096" width="29.85546875" customWidth="1"/>
    <col min="5097" max="5097" width="8.5703125" customWidth="1"/>
    <col min="5098" max="5098" width="11.85546875" customWidth="1"/>
    <col min="5099" max="5099" width="13" customWidth="1"/>
    <col min="5100" max="5100" width="11.7109375" customWidth="1"/>
    <col min="5101" max="5101" width="11.7109375" bestFit="1" customWidth="1"/>
    <col min="5102" max="5102" width="11.7109375" customWidth="1"/>
    <col min="5103" max="5103" width="12.5703125" customWidth="1"/>
    <col min="5104" max="5104" width="11.7109375" bestFit="1" customWidth="1"/>
    <col min="5351" max="5351" width="5" customWidth="1"/>
    <col min="5352" max="5352" width="29.85546875" customWidth="1"/>
    <col min="5353" max="5353" width="8.5703125" customWidth="1"/>
    <col min="5354" max="5354" width="11.85546875" customWidth="1"/>
    <col min="5355" max="5355" width="13" customWidth="1"/>
    <col min="5356" max="5356" width="11.7109375" customWidth="1"/>
    <col min="5357" max="5357" width="11.7109375" bestFit="1" customWidth="1"/>
    <col min="5358" max="5358" width="11.7109375" customWidth="1"/>
    <col min="5359" max="5359" width="12.5703125" customWidth="1"/>
    <col min="5360" max="5360" width="11.7109375" bestFit="1" customWidth="1"/>
    <col min="5607" max="5607" width="5" customWidth="1"/>
    <col min="5608" max="5608" width="29.85546875" customWidth="1"/>
    <col min="5609" max="5609" width="8.5703125" customWidth="1"/>
    <col min="5610" max="5610" width="11.85546875" customWidth="1"/>
    <col min="5611" max="5611" width="13" customWidth="1"/>
    <col min="5612" max="5612" width="11.7109375" customWidth="1"/>
    <col min="5613" max="5613" width="11.7109375" bestFit="1" customWidth="1"/>
    <col min="5614" max="5614" width="11.7109375" customWidth="1"/>
    <col min="5615" max="5615" width="12.5703125" customWidth="1"/>
    <col min="5616" max="5616" width="11.7109375" bestFit="1" customWidth="1"/>
    <col min="5863" max="5863" width="5" customWidth="1"/>
    <col min="5864" max="5864" width="29.85546875" customWidth="1"/>
    <col min="5865" max="5865" width="8.5703125" customWidth="1"/>
    <col min="5866" max="5866" width="11.85546875" customWidth="1"/>
    <col min="5867" max="5867" width="13" customWidth="1"/>
    <col min="5868" max="5868" width="11.7109375" customWidth="1"/>
    <col min="5869" max="5869" width="11.7109375" bestFit="1" customWidth="1"/>
    <col min="5870" max="5870" width="11.7109375" customWidth="1"/>
    <col min="5871" max="5871" width="12.5703125" customWidth="1"/>
    <col min="5872" max="5872" width="11.7109375" bestFit="1" customWidth="1"/>
    <col min="6119" max="6119" width="5" customWidth="1"/>
    <col min="6120" max="6120" width="29.85546875" customWidth="1"/>
    <col min="6121" max="6121" width="8.5703125" customWidth="1"/>
    <col min="6122" max="6122" width="11.85546875" customWidth="1"/>
    <col min="6123" max="6123" width="13" customWidth="1"/>
    <col min="6124" max="6124" width="11.7109375" customWidth="1"/>
    <col min="6125" max="6125" width="11.7109375" bestFit="1" customWidth="1"/>
    <col min="6126" max="6126" width="11.7109375" customWidth="1"/>
    <col min="6127" max="6127" width="12.5703125" customWidth="1"/>
    <col min="6128" max="6128" width="11.7109375" bestFit="1" customWidth="1"/>
    <col min="6375" max="6375" width="5" customWidth="1"/>
    <col min="6376" max="6376" width="29.85546875" customWidth="1"/>
    <col min="6377" max="6377" width="8.5703125" customWidth="1"/>
    <col min="6378" max="6378" width="11.85546875" customWidth="1"/>
    <col min="6379" max="6379" width="13" customWidth="1"/>
    <col min="6380" max="6380" width="11.7109375" customWidth="1"/>
    <col min="6381" max="6381" width="11.7109375" bestFit="1" customWidth="1"/>
    <col min="6382" max="6382" width="11.7109375" customWidth="1"/>
    <col min="6383" max="6383" width="12.5703125" customWidth="1"/>
    <col min="6384" max="6384" width="11.7109375" bestFit="1" customWidth="1"/>
    <col min="6631" max="6631" width="5" customWidth="1"/>
    <col min="6632" max="6632" width="29.85546875" customWidth="1"/>
    <col min="6633" max="6633" width="8.5703125" customWidth="1"/>
    <col min="6634" max="6634" width="11.85546875" customWidth="1"/>
    <col min="6635" max="6635" width="13" customWidth="1"/>
    <col min="6636" max="6636" width="11.7109375" customWidth="1"/>
    <col min="6637" max="6637" width="11.7109375" bestFit="1" customWidth="1"/>
    <col min="6638" max="6638" width="11.7109375" customWidth="1"/>
    <col min="6639" max="6639" width="12.5703125" customWidth="1"/>
    <col min="6640" max="6640" width="11.7109375" bestFit="1" customWidth="1"/>
    <col min="6887" max="6887" width="5" customWidth="1"/>
    <col min="6888" max="6888" width="29.85546875" customWidth="1"/>
    <col min="6889" max="6889" width="8.5703125" customWidth="1"/>
    <col min="6890" max="6890" width="11.85546875" customWidth="1"/>
    <col min="6891" max="6891" width="13" customWidth="1"/>
    <col min="6892" max="6892" width="11.7109375" customWidth="1"/>
    <col min="6893" max="6893" width="11.7109375" bestFit="1" customWidth="1"/>
    <col min="6894" max="6894" width="11.7109375" customWidth="1"/>
    <col min="6895" max="6895" width="12.5703125" customWidth="1"/>
    <col min="6896" max="6896" width="11.7109375" bestFit="1" customWidth="1"/>
    <col min="7143" max="7143" width="5" customWidth="1"/>
    <col min="7144" max="7144" width="29.85546875" customWidth="1"/>
    <col min="7145" max="7145" width="8.5703125" customWidth="1"/>
    <col min="7146" max="7146" width="11.85546875" customWidth="1"/>
    <col min="7147" max="7147" width="13" customWidth="1"/>
    <col min="7148" max="7148" width="11.7109375" customWidth="1"/>
    <col min="7149" max="7149" width="11.7109375" bestFit="1" customWidth="1"/>
    <col min="7150" max="7150" width="11.7109375" customWidth="1"/>
    <col min="7151" max="7151" width="12.5703125" customWidth="1"/>
    <col min="7152" max="7152" width="11.7109375" bestFit="1" customWidth="1"/>
    <col min="7399" max="7399" width="5" customWidth="1"/>
    <col min="7400" max="7400" width="29.85546875" customWidth="1"/>
    <col min="7401" max="7401" width="8.5703125" customWidth="1"/>
    <col min="7402" max="7402" width="11.85546875" customWidth="1"/>
    <col min="7403" max="7403" width="13" customWidth="1"/>
    <col min="7404" max="7404" width="11.7109375" customWidth="1"/>
    <col min="7405" max="7405" width="11.7109375" bestFit="1" customWidth="1"/>
    <col min="7406" max="7406" width="11.7109375" customWidth="1"/>
    <col min="7407" max="7407" width="12.5703125" customWidth="1"/>
    <col min="7408" max="7408" width="11.7109375" bestFit="1" customWidth="1"/>
    <col min="7655" max="7655" width="5" customWidth="1"/>
    <col min="7656" max="7656" width="29.85546875" customWidth="1"/>
    <col min="7657" max="7657" width="8.5703125" customWidth="1"/>
    <col min="7658" max="7658" width="11.85546875" customWidth="1"/>
    <col min="7659" max="7659" width="13" customWidth="1"/>
    <col min="7660" max="7660" width="11.7109375" customWidth="1"/>
    <col min="7661" max="7661" width="11.7109375" bestFit="1" customWidth="1"/>
    <col min="7662" max="7662" width="11.7109375" customWidth="1"/>
    <col min="7663" max="7663" width="12.5703125" customWidth="1"/>
    <col min="7664" max="7664" width="11.7109375" bestFit="1" customWidth="1"/>
    <col min="7911" max="7911" width="5" customWidth="1"/>
    <col min="7912" max="7912" width="29.85546875" customWidth="1"/>
    <col min="7913" max="7913" width="8.5703125" customWidth="1"/>
    <col min="7914" max="7914" width="11.85546875" customWidth="1"/>
    <col min="7915" max="7915" width="13" customWidth="1"/>
    <col min="7916" max="7916" width="11.7109375" customWidth="1"/>
    <col min="7917" max="7917" width="11.7109375" bestFit="1" customWidth="1"/>
    <col min="7918" max="7918" width="11.7109375" customWidth="1"/>
    <col min="7919" max="7919" width="12.5703125" customWidth="1"/>
    <col min="7920" max="7920" width="11.7109375" bestFit="1" customWidth="1"/>
    <col min="8167" max="8167" width="5" customWidth="1"/>
    <col min="8168" max="8168" width="29.85546875" customWidth="1"/>
    <col min="8169" max="8169" width="8.5703125" customWidth="1"/>
    <col min="8170" max="8170" width="11.85546875" customWidth="1"/>
    <col min="8171" max="8171" width="13" customWidth="1"/>
    <col min="8172" max="8172" width="11.7109375" customWidth="1"/>
    <col min="8173" max="8173" width="11.7109375" bestFit="1" customWidth="1"/>
    <col min="8174" max="8174" width="11.7109375" customWidth="1"/>
    <col min="8175" max="8175" width="12.5703125" customWidth="1"/>
    <col min="8176" max="8176" width="11.7109375" bestFit="1" customWidth="1"/>
    <col min="8423" max="8423" width="5" customWidth="1"/>
    <col min="8424" max="8424" width="29.85546875" customWidth="1"/>
    <col min="8425" max="8425" width="8.5703125" customWidth="1"/>
    <col min="8426" max="8426" width="11.85546875" customWidth="1"/>
    <col min="8427" max="8427" width="13" customWidth="1"/>
    <col min="8428" max="8428" width="11.7109375" customWidth="1"/>
    <col min="8429" max="8429" width="11.7109375" bestFit="1" customWidth="1"/>
    <col min="8430" max="8430" width="11.7109375" customWidth="1"/>
    <col min="8431" max="8431" width="12.5703125" customWidth="1"/>
    <col min="8432" max="8432" width="11.7109375" bestFit="1" customWidth="1"/>
    <col min="8679" max="8679" width="5" customWidth="1"/>
    <col min="8680" max="8680" width="29.85546875" customWidth="1"/>
    <col min="8681" max="8681" width="8.5703125" customWidth="1"/>
    <col min="8682" max="8682" width="11.85546875" customWidth="1"/>
    <col min="8683" max="8683" width="13" customWidth="1"/>
    <col min="8684" max="8684" width="11.7109375" customWidth="1"/>
    <col min="8685" max="8685" width="11.7109375" bestFit="1" customWidth="1"/>
    <col min="8686" max="8686" width="11.7109375" customWidth="1"/>
    <col min="8687" max="8687" width="12.5703125" customWidth="1"/>
    <col min="8688" max="8688" width="11.7109375" bestFit="1" customWidth="1"/>
    <col min="8935" max="8935" width="5" customWidth="1"/>
    <col min="8936" max="8936" width="29.85546875" customWidth="1"/>
    <col min="8937" max="8937" width="8.5703125" customWidth="1"/>
    <col min="8938" max="8938" width="11.85546875" customWidth="1"/>
    <col min="8939" max="8939" width="13" customWidth="1"/>
    <col min="8940" max="8940" width="11.7109375" customWidth="1"/>
    <col min="8941" max="8941" width="11.7109375" bestFit="1" customWidth="1"/>
    <col min="8942" max="8942" width="11.7109375" customWidth="1"/>
    <col min="8943" max="8943" width="12.5703125" customWidth="1"/>
    <col min="8944" max="8944" width="11.7109375" bestFit="1" customWidth="1"/>
    <col min="9191" max="9191" width="5" customWidth="1"/>
    <col min="9192" max="9192" width="29.85546875" customWidth="1"/>
    <col min="9193" max="9193" width="8.5703125" customWidth="1"/>
    <col min="9194" max="9194" width="11.85546875" customWidth="1"/>
    <col min="9195" max="9195" width="13" customWidth="1"/>
    <col min="9196" max="9196" width="11.7109375" customWidth="1"/>
    <col min="9197" max="9197" width="11.7109375" bestFit="1" customWidth="1"/>
    <col min="9198" max="9198" width="11.7109375" customWidth="1"/>
    <col min="9199" max="9199" width="12.5703125" customWidth="1"/>
    <col min="9200" max="9200" width="11.7109375" bestFit="1" customWidth="1"/>
    <col min="9447" max="9447" width="5" customWidth="1"/>
    <col min="9448" max="9448" width="29.85546875" customWidth="1"/>
    <col min="9449" max="9449" width="8.5703125" customWidth="1"/>
    <col min="9450" max="9450" width="11.85546875" customWidth="1"/>
    <col min="9451" max="9451" width="13" customWidth="1"/>
    <col min="9452" max="9452" width="11.7109375" customWidth="1"/>
    <col min="9453" max="9453" width="11.7109375" bestFit="1" customWidth="1"/>
    <col min="9454" max="9454" width="11.7109375" customWidth="1"/>
    <col min="9455" max="9455" width="12.5703125" customWidth="1"/>
    <col min="9456" max="9456" width="11.7109375" bestFit="1" customWidth="1"/>
    <col min="9703" max="9703" width="5" customWidth="1"/>
    <col min="9704" max="9704" width="29.85546875" customWidth="1"/>
    <col min="9705" max="9705" width="8.5703125" customWidth="1"/>
    <col min="9706" max="9706" width="11.85546875" customWidth="1"/>
    <col min="9707" max="9707" width="13" customWidth="1"/>
    <col min="9708" max="9708" width="11.7109375" customWidth="1"/>
    <col min="9709" max="9709" width="11.7109375" bestFit="1" customWidth="1"/>
    <col min="9710" max="9710" width="11.7109375" customWidth="1"/>
    <col min="9711" max="9711" width="12.5703125" customWidth="1"/>
    <col min="9712" max="9712" width="11.7109375" bestFit="1" customWidth="1"/>
    <col min="9959" max="9959" width="5" customWidth="1"/>
    <col min="9960" max="9960" width="29.85546875" customWidth="1"/>
    <col min="9961" max="9961" width="8.5703125" customWidth="1"/>
    <col min="9962" max="9962" width="11.85546875" customWidth="1"/>
    <col min="9963" max="9963" width="13" customWidth="1"/>
    <col min="9964" max="9964" width="11.7109375" customWidth="1"/>
    <col min="9965" max="9965" width="11.7109375" bestFit="1" customWidth="1"/>
    <col min="9966" max="9966" width="11.7109375" customWidth="1"/>
    <col min="9967" max="9967" width="12.5703125" customWidth="1"/>
    <col min="9968" max="9968" width="11.7109375" bestFit="1" customWidth="1"/>
    <col min="10215" max="10215" width="5" customWidth="1"/>
    <col min="10216" max="10216" width="29.85546875" customWidth="1"/>
    <col min="10217" max="10217" width="8.5703125" customWidth="1"/>
    <col min="10218" max="10218" width="11.85546875" customWidth="1"/>
    <col min="10219" max="10219" width="13" customWidth="1"/>
    <col min="10220" max="10220" width="11.7109375" customWidth="1"/>
    <col min="10221" max="10221" width="11.7109375" bestFit="1" customWidth="1"/>
    <col min="10222" max="10222" width="11.7109375" customWidth="1"/>
    <col min="10223" max="10223" width="12.5703125" customWidth="1"/>
    <col min="10224" max="10224" width="11.7109375" bestFit="1" customWidth="1"/>
    <col min="10471" max="10471" width="5" customWidth="1"/>
    <col min="10472" max="10472" width="29.85546875" customWidth="1"/>
    <col min="10473" max="10473" width="8.5703125" customWidth="1"/>
    <col min="10474" max="10474" width="11.85546875" customWidth="1"/>
    <col min="10475" max="10475" width="13" customWidth="1"/>
    <col min="10476" max="10476" width="11.7109375" customWidth="1"/>
    <col min="10477" max="10477" width="11.7109375" bestFit="1" customWidth="1"/>
    <col min="10478" max="10478" width="11.7109375" customWidth="1"/>
    <col min="10479" max="10479" width="12.5703125" customWidth="1"/>
    <col min="10480" max="10480" width="11.7109375" bestFit="1" customWidth="1"/>
    <col min="10727" max="10727" width="5" customWidth="1"/>
    <col min="10728" max="10728" width="29.85546875" customWidth="1"/>
    <col min="10729" max="10729" width="8.5703125" customWidth="1"/>
    <col min="10730" max="10730" width="11.85546875" customWidth="1"/>
    <col min="10731" max="10731" width="13" customWidth="1"/>
    <col min="10732" max="10732" width="11.7109375" customWidth="1"/>
    <col min="10733" max="10733" width="11.7109375" bestFit="1" customWidth="1"/>
    <col min="10734" max="10734" width="11.7109375" customWidth="1"/>
    <col min="10735" max="10735" width="12.5703125" customWidth="1"/>
    <col min="10736" max="10736" width="11.7109375" bestFit="1" customWidth="1"/>
    <col min="10983" max="10983" width="5" customWidth="1"/>
    <col min="10984" max="10984" width="29.85546875" customWidth="1"/>
    <col min="10985" max="10985" width="8.5703125" customWidth="1"/>
    <col min="10986" max="10986" width="11.85546875" customWidth="1"/>
    <col min="10987" max="10987" width="13" customWidth="1"/>
    <col min="10988" max="10988" width="11.7109375" customWidth="1"/>
    <col min="10989" max="10989" width="11.7109375" bestFit="1" customWidth="1"/>
    <col min="10990" max="10990" width="11.7109375" customWidth="1"/>
    <col min="10991" max="10991" width="12.5703125" customWidth="1"/>
    <col min="10992" max="10992" width="11.7109375" bestFit="1" customWidth="1"/>
    <col min="11239" max="11239" width="5" customWidth="1"/>
    <col min="11240" max="11240" width="29.85546875" customWidth="1"/>
    <col min="11241" max="11241" width="8.5703125" customWidth="1"/>
    <col min="11242" max="11242" width="11.85546875" customWidth="1"/>
    <col min="11243" max="11243" width="13" customWidth="1"/>
    <col min="11244" max="11244" width="11.7109375" customWidth="1"/>
    <col min="11245" max="11245" width="11.7109375" bestFit="1" customWidth="1"/>
    <col min="11246" max="11246" width="11.7109375" customWidth="1"/>
    <col min="11247" max="11247" width="12.5703125" customWidth="1"/>
    <col min="11248" max="11248" width="11.7109375" bestFit="1" customWidth="1"/>
    <col min="11495" max="11495" width="5" customWidth="1"/>
    <col min="11496" max="11496" width="29.85546875" customWidth="1"/>
    <col min="11497" max="11497" width="8.5703125" customWidth="1"/>
    <col min="11498" max="11498" width="11.85546875" customWidth="1"/>
    <col min="11499" max="11499" width="13" customWidth="1"/>
    <col min="11500" max="11500" width="11.7109375" customWidth="1"/>
    <col min="11501" max="11501" width="11.7109375" bestFit="1" customWidth="1"/>
    <col min="11502" max="11502" width="11.7109375" customWidth="1"/>
    <col min="11503" max="11503" width="12.5703125" customWidth="1"/>
    <col min="11504" max="11504" width="11.7109375" bestFit="1" customWidth="1"/>
    <col min="11751" max="11751" width="5" customWidth="1"/>
    <col min="11752" max="11752" width="29.85546875" customWidth="1"/>
    <col min="11753" max="11753" width="8.5703125" customWidth="1"/>
    <col min="11754" max="11754" width="11.85546875" customWidth="1"/>
    <col min="11755" max="11755" width="13" customWidth="1"/>
    <col min="11756" max="11756" width="11.7109375" customWidth="1"/>
    <col min="11757" max="11757" width="11.7109375" bestFit="1" customWidth="1"/>
    <col min="11758" max="11758" width="11.7109375" customWidth="1"/>
    <col min="11759" max="11759" width="12.5703125" customWidth="1"/>
    <col min="11760" max="11760" width="11.7109375" bestFit="1" customWidth="1"/>
    <col min="12007" max="12007" width="5" customWidth="1"/>
    <col min="12008" max="12008" width="29.85546875" customWidth="1"/>
    <col min="12009" max="12009" width="8.5703125" customWidth="1"/>
    <col min="12010" max="12010" width="11.85546875" customWidth="1"/>
    <col min="12011" max="12011" width="13" customWidth="1"/>
    <col min="12012" max="12012" width="11.7109375" customWidth="1"/>
    <col min="12013" max="12013" width="11.7109375" bestFit="1" customWidth="1"/>
    <col min="12014" max="12014" width="11.7109375" customWidth="1"/>
    <col min="12015" max="12015" width="12.5703125" customWidth="1"/>
    <col min="12016" max="12016" width="11.7109375" bestFit="1" customWidth="1"/>
    <col min="12263" max="12263" width="5" customWidth="1"/>
    <col min="12264" max="12264" width="29.85546875" customWidth="1"/>
    <col min="12265" max="12265" width="8.5703125" customWidth="1"/>
    <col min="12266" max="12266" width="11.85546875" customWidth="1"/>
    <col min="12267" max="12267" width="13" customWidth="1"/>
    <col min="12268" max="12268" width="11.7109375" customWidth="1"/>
    <col min="12269" max="12269" width="11.7109375" bestFit="1" customWidth="1"/>
    <col min="12270" max="12270" width="11.7109375" customWidth="1"/>
    <col min="12271" max="12271" width="12.5703125" customWidth="1"/>
    <col min="12272" max="12272" width="11.7109375" bestFit="1" customWidth="1"/>
    <col min="12519" max="12519" width="5" customWidth="1"/>
    <col min="12520" max="12520" width="29.85546875" customWidth="1"/>
    <col min="12521" max="12521" width="8.5703125" customWidth="1"/>
    <col min="12522" max="12522" width="11.85546875" customWidth="1"/>
    <col min="12523" max="12523" width="13" customWidth="1"/>
    <col min="12524" max="12524" width="11.7109375" customWidth="1"/>
    <col min="12525" max="12525" width="11.7109375" bestFit="1" customWidth="1"/>
    <col min="12526" max="12526" width="11.7109375" customWidth="1"/>
    <col min="12527" max="12527" width="12.5703125" customWidth="1"/>
    <col min="12528" max="12528" width="11.7109375" bestFit="1" customWidth="1"/>
    <col min="12775" max="12775" width="5" customWidth="1"/>
    <col min="12776" max="12776" width="29.85546875" customWidth="1"/>
    <col min="12777" max="12777" width="8.5703125" customWidth="1"/>
    <col min="12778" max="12778" width="11.85546875" customWidth="1"/>
    <col min="12779" max="12779" width="13" customWidth="1"/>
    <col min="12780" max="12780" width="11.7109375" customWidth="1"/>
    <col min="12781" max="12781" width="11.7109375" bestFit="1" customWidth="1"/>
    <col min="12782" max="12782" width="11.7109375" customWidth="1"/>
    <col min="12783" max="12783" width="12.5703125" customWidth="1"/>
    <col min="12784" max="12784" width="11.7109375" bestFit="1" customWidth="1"/>
    <col min="13031" max="13031" width="5" customWidth="1"/>
    <col min="13032" max="13032" width="29.85546875" customWidth="1"/>
    <col min="13033" max="13033" width="8.5703125" customWidth="1"/>
    <col min="13034" max="13034" width="11.85546875" customWidth="1"/>
    <col min="13035" max="13035" width="13" customWidth="1"/>
    <col min="13036" max="13036" width="11.7109375" customWidth="1"/>
    <col min="13037" max="13037" width="11.7109375" bestFit="1" customWidth="1"/>
    <col min="13038" max="13038" width="11.7109375" customWidth="1"/>
    <col min="13039" max="13039" width="12.5703125" customWidth="1"/>
    <col min="13040" max="13040" width="11.7109375" bestFit="1" customWidth="1"/>
    <col min="13287" max="13287" width="5" customWidth="1"/>
    <col min="13288" max="13288" width="29.85546875" customWidth="1"/>
    <col min="13289" max="13289" width="8.5703125" customWidth="1"/>
    <col min="13290" max="13290" width="11.85546875" customWidth="1"/>
    <col min="13291" max="13291" width="13" customWidth="1"/>
    <col min="13292" max="13292" width="11.7109375" customWidth="1"/>
    <col min="13293" max="13293" width="11.7109375" bestFit="1" customWidth="1"/>
    <col min="13294" max="13294" width="11.7109375" customWidth="1"/>
    <col min="13295" max="13295" width="12.5703125" customWidth="1"/>
    <col min="13296" max="13296" width="11.7109375" bestFit="1" customWidth="1"/>
    <col min="13543" max="13543" width="5" customWidth="1"/>
    <col min="13544" max="13544" width="29.85546875" customWidth="1"/>
    <col min="13545" max="13545" width="8.5703125" customWidth="1"/>
    <col min="13546" max="13546" width="11.85546875" customWidth="1"/>
    <col min="13547" max="13547" width="13" customWidth="1"/>
    <col min="13548" max="13548" width="11.7109375" customWidth="1"/>
    <col min="13549" max="13549" width="11.7109375" bestFit="1" customWidth="1"/>
    <col min="13550" max="13550" width="11.7109375" customWidth="1"/>
    <col min="13551" max="13551" width="12.5703125" customWidth="1"/>
    <col min="13552" max="13552" width="11.7109375" bestFit="1" customWidth="1"/>
    <col min="13799" max="13799" width="5" customWidth="1"/>
    <col min="13800" max="13800" width="29.85546875" customWidth="1"/>
    <col min="13801" max="13801" width="8.5703125" customWidth="1"/>
    <col min="13802" max="13802" width="11.85546875" customWidth="1"/>
    <col min="13803" max="13803" width="13" customWidth="1"/>
    <col min="13804" max="13804" width="11.7109375" customWidth="1"/>
    <col min="13805" max="13805" width="11.7109375" bestFit="1" customWidth="1"/>
    <col min="13806" max="13806" width="11.7109375" customWidth="1"/>
    <col min="13807" max="13807" width="12.5703125" customWidth="1"/>
    <col min="13808" max="13808" width="11.7109375" bestFit="1" customWidth="1"/>
    <col min="14055" max="14055" width="5" customWidth="1"/>
    <col min="14056" max="14056" width="29.85546875" customWidth="1"/>
    <col min="14057" max="14057" width="8.5703125" customWidth="1"/>
    <col min="14058" max="14058" width="11.85546875" customWidth="1"/>
    <col min="14059" max="14059" width="13" customWidth="1"/>
    <col min="14060" max="14060" width="11.7109375" customWidth="1"/>
    <col min="14061" max="14061" width="11.7109375" bestFit="1" customWidth="1"/>
    <col min="14062" max="14062" width="11.7109375" customWidth="1"/>
    <col min="14063" max="14063" width="12.5703125" customWidth="1"/>
    <col min="14064" max="14064" width="11.7109375" bestFit="1" customWidth="1"/>
    <col min="14311" max="14311" width="5" customWidth="1"/>
    <col min="14312" max="14312" width="29.85546875" customWidth="1"/>
    <col min="14313" max="14313" width="8.5703125" customWidth="1"/>
    <col min="14314" max="14314" width="11.85546875" customWidth="1"/>
    <col min="14315" max="14315" width="13" customWidth="1"/>
    <col min="14316" max="14316" width="11.7109375" customWidth="1"/>
    <col min="14317" max="14317" width="11.7109375" bestFit="1" customWidth="1"/>
    <col min="14318" max="14318" width="11.7109375" customWidth="1"/>
    <col min="14319" max="14319" width="12.5703125" customWidth="1"/>
    <col min="14320" max="14320" width="11.7109375" bestFit="1" customWidth="1"/>
    <col min="14567" max="14567" width="5" customWidth="1"/>
    <col min="14568" max="14568" width="29.85546875" customWidth="1"/>
    <col min="14569" max="14569" width="8.5703125" customWidth="1"/>
    <col min="14570" max="14570" width="11.85546875" customWidth="1"/>
    <col min="14571" max="14571" width="13" customWidth="1"/>
    <col min="14572" max="14572" width="11.7109375" customWidth="1"/>
    <col min="14573" max="14573" width="11.7109375" bestFit="1" customWidth="1"/>
    <col min="14574" max="14574" width="11.7109375" customWidth="1"/>
    <col min="14575" max="14575" width="12.5703125" customWidth="1"/>
    <col min="14576" max="14576" width="11.7109375" bestFit="1" customWidth="1"/>
    <col min="14823" max="14823" width="5" customWidth="1"/>
    <col min="14824" max="14824" width="29.85546875" customWidth="1"/>
    <col min="14825" max="14825" width="8.5703125" customWidth="1"/>
    <col min="14826" max="14826" width="11.85546875" customWidth="1"/>
    <col min="14827" max="14827" width="13" customWidth="1"/>
    <col min="14828" max="14828" width="11.7109375" customWidth="1"/>
    <col min="14829" max="14829" width="11.7109375" bestFit="1" customWidth="1"/>
    <col min="14830" max="14830" width="11.7109375" customWidth="1"/>
    <col min="14831" max="14831" width="12.5703125" customWidth="1"/>
    <col min="14832" max="14832" width="11.7109375" bestFit="1" customWidth="1"/>
    <col min="15079" max="15079" width="5" customWidth="1"/>
    <col min="15080" max="15080" width="29.85546875" customWidth="1"/>
    <col min="15081" max="15081" width="8.5703125" customWidth="1"/>
    <col min="15082" max="15082" width="11.85546875" customWidth="1"/>
    <col min="15083" max="15083" width="13" customWidth="1"/>
    <col min="15084" max="15084" width="11.7109375" customWidth="1"/>
    <col min="15085" max="15085" width="11.7109375" bestFit="1" customWidth="1"/>
    <col min="15086" max="15086" width="11.7109375" customWidth="1"/>
    <col min="15087" max="15087" width="12.5703125" customWidth="1"/>
    <col min="15088" max="15088" width="11.7109375" bestFit="1" customWidth="1"/>
    <col min="15335" max="15335" width="5" customWidth="1"/>
    <col min="15336" max="15336" width="29.85546875" customWidth="1"/>
    <col min="15337" max="15337" width="8.5703125" customWidth="1"/>
    <col min="15338" max="15338" width="11.85546875" customWidth="1"/>
    <col min="15339" max="15339" width="13" customWidth="1"/>
    <col min="15340" max="15340" width="11.7109375" customWidth="1"/>
    <col min="15341" max="15341" width="11.7109375" bestFit="1" customWidth="1"/>
    <col min="15342" max="15342" width="11.7109375" customWidth="1"/>
    <col min="15343" max="15343" width="12.5703125" customWidth="1"/>
    <col min="15344" max="15344" width="11.7109375" bestFit="1" customWidth="1"/>
    <col min="15591" max="15591" width="5" customWidth="1"/>
    <col min="15592" max="15592" width="29.85546875" customWidth="1"/>
    <col min="15593" max="15593" width="8.5703125" customWidth="1"/>
    <col min="15594" max="15594" width="11.85546875" customWidth="1"/>
    <col min="15595" max="15595" width="13" customWidth="1"/>
    <col min="15596" max="15596" width="11.7109375" customWidth="1"/>
    <col min="15597" max="15597" width="11.7109375" bestFit="1" customWidth="1"/>
    <col min="15598" max="15598" width="11.7109375" customWidth="1"/>
    <col min="15599" max="15599" width="12.5703125" customWidth="1"/>
    <col min="15600" max="15600" width="11.7109375" bestFit="1" customWidth="1"/>
    <col min="15847" max="15847" width="5" customWidth="1"/>
    <col min="15848" max="15848" width="29.85546875" customWidth="1"/>
    <col min="15849" max="15849" width="8.5703125" customWidth="1"/>
    <col min="15850" max="15850" width="11.85546875" customWidth="1"/>
    <col min="15851" max="15851" width="13" customWidth="1"/>
    <col min="15852" max="15852" width="11.7109375" customWidth="1"/>
    <col min="15853" max="15853" width="11.7109375" bestFit="1" customWidth="1"/>
    <col min="15854" max="15854" width="11.7109375" customWidth="1"/>
    <col min="15855" max="15855" width="12.5703125" customWidth="1"/>
    <col min="15856" max="15856" width="11.7109375" bestFit="1" customWidth="1"/>
    <col min="16103" max="16103" width="5" customWidth="1"/>
    <col min="16104" max="16104" width="29.85546875" customWidth="1"/>
    <col min="16105" max="16105" width="8.5703125" customWidth="1"/>
    <col min="16106" max="16106" width="11.85546875" customWidth="1"/>
    <col min="16107" max="16107" width="13" customWidth="1"/>
    <col min="16108" max="16108" width="11.7109375" customWidth="1"/>
    <col min="16109" max="16109" width="11.7109375" bestFit="1" customWidth="1"/>
    <col min="16110" max="16110" width="11.7109375" customWidth="1"/>
    <col min="16111" max="16111" width="12.5703125" customWidth="1"/>
    <col min="16112" max="16112" width="11.7109375" bestFit="1" customWidth="1"/>
  </cols>
  <sheetData>
    <row r="1" spans="1:13" x14ac:dyDescent="0.25">
      <c r="A1" s="58" t="s">
        <v>0</v>
      </c>
      <c r="C1" t="s">
        <v>69</v>
      </c>
      <c r="E1"/>
      <c r="F1" s="1"/>
      <c r="G1" s="1"/>
    </row>
    <row r="2" spans="1:13" ht="15.75" customHeight="1" x14ac:dyDescent="0.25">
      <c r="A2" t="s">
        <v>43</v>
      </c>
      <c r="C2" t="s">
        <v>70</v>
      </c>
      <c r="E2"/>
      <c r="J2" t="s">
        <v>78</v>
      </c>
    </row>
    <row r="3" spans="1:13" ht="16.5" customHeight="1" x14ac:dyDescent="0.25">
      <c r="A3" s="2" t="s">
        <v>44</v>
      </c>
      <c r="C3" t="s">
        <v>71</v>
      </c>
      <c r="E3"/>
    </row>
    <row r="4" spans="1:13" x14ac:dyDescent="0.25">
      <c r="B4" s="3"/>
      <c r="C4" s="3"/>
      <c r="D4" s="3"/>
    </row>
    <row r="6" spans="1:13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  <c r="K6" s="609"/>
      <c r="L6" s="609"/>
      <c r="M6" s="609"/>
    </row>
    <row r="7" spans="1:13" x14ac:dyDescent="0.25">
      <c r="C7" s="702" t="s">
        <v>116</v>
      </c>
      <c r="D7" s="702"/>
      <c r="E7" s="702"/>
      <c r="F7" s="702"/>
      <c r="G7" s="702"/>
      <c r="H7" s="702"/>
      <c r="I7" s="702"/>
      <c r="J7" s="702"/>
      <c r="K7" s="610"/>
      <c r="L7" s="610"/>
      <c r="M7" s="610"/>
    </row>
    <row r="8" spans="1:13" x14ac:dyDescent="0.25">
      <c r="B8" s="68"/>
      <c r="C8" s="703" t="s">
        <v>151</v>
      </c>
      <c r="D8" s="703"/>
      <c r="E8" s="703"/>
      <c r="F8" s="703"/>
      <c r="G8" s="703"/>
      <c r="H8" s="703"/>
      <c r="I8" s="703"/>
      <c r="J8" s="703"/>
      <c r="K8" s="611"/>
      <c r="L8" s="611"/>
      <c r="M8" s="611"/>
    </row>
    <row r="10" spans="1:13" ht="15.75" thickBot="1" x14ac:dyDescent="0.3">
      <c r="E10" s="4"/>
      <c r="F10" s="5"/>
    </row>
    <row r="11" spans="1:13" ht="30.75" thickBot="1" x14ac:dyDescent="0.3">
      <c r="E11" s="580" t="s">
        <v>2</v>
      </c>
      <c r="F11" s="581" t="s">
        <v>3</v>
      </c>
      <c r="G11" s="97" t="s">
        <v>75</v>
      </c>
      <c r="H11" s="582" t="s">
        <v>120</v>
      </c>
      <c r="I11" s="583" t="s">
        <v>76</v>
      </c>
      <c r="J11" s="584" t="s">
        <v>120</v>
      </c>
      <c r="K11" s="570"/>
      <c r="L11" s="570"/>
      <c r="M11" s="570"/>
    </row>
    <row r="12" spans="1:13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44">
        <v>3</v>
      </c>
      <c r="I12" s="586">
        <v>4</v>
      </c>
      <c r="J12" s="587" t="s">
        <v>152</v>
      </c>
      <c r="K12" s="604"/>
      <c r="L12" s="604"/>
      <c r="M12" s="604"/>
    </row>
    <row r="13" spans="1:13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573">
        <v>2371705.7000000002</v>
      </c>
      <c r="I13" s="588">
        <v>107304.83</v>
      </c>
      <c r="J13" s="436">
        <f>H13+I13</f>
        <v>2479010.5300000003</v>
      </c>
      <c r="K13" s="571"/>
      <c r="L13" s="571"/>
      <c r="M13" s="571"/>
    </row>
    <row r="14" spans="1:13" s="262" customFormat="1" ht="15.75" thickBot="1" x14ac:dyDescent="0.3">
      <c r="B14" s="12"/>
      <c r="C14" s="12"/>
      <c r="D14" s="12"/>
      <c r="E14" s="445"/>
      <c r="F14" s="589" t="s">
        <v>66</v>
      </c>
      <c r="G14" s="325">
        <v>39</v>
      </c>
      <c r="H14" s="574">
        <v>2371705.7000000002</v>
      </c>
      <c r="I14" s="590">
        <f>SUM(I13)</f>
        <v>107304.83</v>
      </c>
      <c r="J14" s="424">
        <f>SUM(J13)</f>
        <v>2479010.5300000003</v>
      </c>
      <c r="K14" s="572"/>
      <c r="L14" s="572"/>
      <c r="M14" s="572"/>
    </row>
    <row r="15" spans="1:13" x14ac:dyDescent="0.25">
      <c r="E15" s="321" t="s">
        <v>10</v>
      </c>
      <c r="F15" s="312" t="s">
        <v>11</v>
      </c>
      <c r="G15" s="322"/>
      <c r="H15" s="573">
        <v>5379540.0800000001</v>
      </c>
      <c r="I15" s="585">
        <v>280756.37</v>
      </c>
      <c r="J15" s="438">
        <f>H15+I15</f>
        <v>5660296.4500000002</v>
      </c>
      <c r="K15" s="571"/>
      <c r="L15" s="571"/>
      <c r="M15" s="571"/>
    </row>
    <row r="16" spans="1:13" ht="15.75" thickBot="1" x14ac:dyDescent="0.3">
      <c r="E16" s="276"/>
      <c r="F16" s="277" t="s">
        <v>9</v>
      </c>
      <c r="G16" s="10">
        <v>82</v>
      </c>
      <c r="H16" s="575">
        <v>5379540.0800000001</v>
      </c>
      <c r="I16" s="591">
        <f>SUM(I15)</f>
        <v>280756.37</v>
      </c>
      <c r="J16" s="426">
        <f>SUM(J15)</f>
        <v>5660296.4500000002</v>
      </c>
      <c r="K16" s="572"/>
      <c r="L16" s="572"/>
      <c r="M16" s="572"/>
    </row>
    <row r="17" spans="2:13" ht="15.75" thickBot="1" x14ac:dyDescent="0.3">
      <c r="E17" s="445">
        <v>3</v>
      </c>
      <c r="F17" s="328" t="s">
        <v>65</v>
      </c>
      <c r="G17" s="311"/>
      <c r="H17" s="576">
        <v>4870754.22</v>
      </c>
      <c r="I17" s="592">
        <v>235828.8</v>
      </c>
      <c r="J17" s="428">
        <f>H17+I17</f>
        <v>5106583.0199999996</v>
      </c>
      <c r="K17" s="571"/>
      <c r="L17" s="571"/>
      <c r="M17" s="571"/>
    </row>
    <row r="18" spans="2:13" ht="15.75" thickBot="1" x14ac:dyDescent="0.3">
      <c r="E18" s="441"/>
      <c r="F18" s="326" t="s">
        <v>9</v>
      </c>
      <c r="G18" s="327">
        <v>78</v>
      </c>
      <c r="H18" s="595">
        <v>4870754.22</v>
      </c>
      <c r="I18" s="596">
        <f>SUM(I17)</f>
        <v>235828.8</v>
      </c>
      <c r="J18" s="603">
        <f>SUM(J17)</f>
        <v>5106583.0199999996</v>
      </c>
      <c r="K18" s="572"/>
      <c r="L18" s="572"/>
      <c r="M18" s="572"/>
    </row>
    <row r="19" spans="2:13" s="280" customFormat="1" ht="15.75" x14ac:dyDescent="0.25">
      <c r="E19" s="593"/>
      <c r="F19" s="597" t="s">
        <v>67</v>
      </c>
      <c r="G19" s="285">
        <f>G16+G18</f>
        <v>160</v>
      </c>
      <c r="H19" s="598">
        <v>10250294.300000001</v>
      </c>
      <c r="I19" s="599">
        <f>I16+I18</f>
        <v>516585.17</v>
      </c>
      <c r="J19" s="600">
        <f>J16+J18</f>
        <v>10766879.469999999</v>
      </c>
      <c r="K19" s="572"/>
      <c r="L19" s="572"/>
      <c r="M19" s="572"/>
    </row>
    <row r="20" spans="2:13" s="281" customFormat="1" ht="16.5" thickBot="1" x14ac:dyDescent="0.3">
      <c r="B20" s="282"/>
      <c r="C20" s="282"/>
      <c r="D20" s="282"/>
      <c r="E20" s="594"/>
      <c r="F20" s="601" t="s">
        <v>13</v>
      </c>
      <c r="G20" s="289">
        <f>G14+G19</f>
        <v>199</v>
      </c>
      <c r="H20" s="577">
        <v>12622000</v>
      </c>
      <c r="I20" s="602">
        <f>I14+I19</f>
        <v>623890</v>
      </c>
      <c r="J20" s="434">
        <f>J14+J19</f>
        <v>13245890</v>
      </c>
      <c r="K20" s="572"/>
      <c r="L20" s="572"/>
      <c r="M20" s="572"/>
    </row>
    <row r="21" spans="2:13" x14ac:dyDescent="0.25">
      <c r="E21" s="419"/>
      <c r="F21" s="419"/>
      <c r="G21" s="419"/>
      <c r="H21" s="422"/>
      <c r="I21" s="422"/>
      <c r="J21" s="422"/>
      <c r="K21" s="422"/>
      <c r="L21" s="422"/>
      <c r="M21" s="422"/>
    </row>
    <row r="22" spans="2:13" x14ac:dyDescent="0.25">
      <c r="G22" s="119"/>
      <c r="H22" s="9"/>
      <c r="I22" s="9"/>
      <c r="J22" s="9"/>
      <c r="K22" s="9"/>
      <c r="L22" s="9"/>
      <c r="M22" s="9"/>
    </row>
    <row r="23" spans="2:13" x14ac:dyDescent="0.25">
      <c r="H23" s="9"/>
      <c r="J23" s="9"/>
      <c r="K23" s="9"/>
      <c r="L23" s="9"/>
      <c r="M23" s="9"/>
    </row>
    <row r="24" spans="2:13" x14ac:dyDescent="0.25">
      <c r="E24"/>
      <c r="F24" s="48" t="s">
        <v>45</v>
      </c>
    </row>
    <row r="25" spans="2:13" x14ac:dyDescent="0.25">
      <c r="E25"/>
      <c r="F25" s="610" t="s">
        <v>48</v>
      </c>
      <c r="H25" s="9"/>
      <c r="I25" s="9"/>
      <c r="J25" s="578" t="s">
        <v>73</v>
      </c>
      <c r="K25" s="9"/>
      <c r="L25" s="9"/>
      <c r="M25" s="9"/>
    </row>
    <row r="26" spans="2:13" x14ac:dyDescent="0.25">
      <c r="H26" s="9"/>
      <c r="J26" s="579" t="s">
        <v>74</v>
      </c>
      <c r="K26" s="578"/>
      <c r="L26" s="578"/>
      <c r="M26" s="578"/>
    </row>
    <row r="27" spans="2:13" x14ac:dyDescent="0.25">
      <c r="J27" s="579"/>
      <c r="K27" s="579"/>
      <c r="L27" s="579"/>
      <c r="M27" s="579"/>
    </row>
  </sheetData>
  <mergeCells count="3">
    <mergeCell ref="B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H4" workbookViewId="0">
      <selection activeCell="M17" sqref="M17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8.42578125" style="646" customWidth="1"/>
    <col min="6" max="6" width="30.85546875" style="646" customWidth="1"/>
    <col min="7" max="7" width="16.85546875" style="646" customWidth="1"/>
    <col min="8" max="8" width="17.5703125" customWidth="1"/>
    <col min="9" max="9" width="17.42578125" customWidth="1"/>
    <col min="10" max="10" width="20" customWidth="1"/>
    <col min="11" max="13" width="14.7109375" customWidth="1"/>
    <col min="231" max="231" width="5" customWidth="1"/>
    <col min="232" max="232" width="29.85546875" customWidth="1"/>
    <col min="233" max="233" width="8.5703125" customWidth="1"/>
    <col min="234" max="234" width="11.85546875" customWidth="1"/>
    <col min="235" max="235" width="13" customWidth="1"/>
    <col min="236" max="236" width="11.7109375" customWidth="1"/>
    <col min="237" max="237" width="11.7109375" bestFit="1" customWidth="1"/>
    <col min="238" max="238" width="11.7109375" customWidth="1"/>
    <col min="239" max="239" width="12.5703125" customWidth="1"/>
    <col min="240" max="240" width="11.7109375" bestFit="1" customWidth="1"/>
    <col min="487" max="487" width="5" customWidth="1"/>
    <col min="488" max="488" width="29.85546875" customWidth="1"/>
    <col min="489" max="489" width="8.5703125" customWidth="1"/>
    <col min="490" max="490" width="11.85546875" customWidth="1"/>
    <col min="491" max="491" width="13" customWidth="1"/>
    <col min="492" max="492" width="11.7109375" customWidth="1"/>
    <col min="493" max="493" width="11.7109375" bestFit="1" customWidth="1"/>
    <col min="494" max="494" width="11.7109375" customWidth="1"/>
    <col min="495" max="495" width="12.5703125" customWidth="1"/>
    <col min="496" max="496" width="11.7109375" bestFit="1" customWidth="1"/>
    <col min="743" max="743" width="5" customWidth="1"/>
    <col min="744" max="744" width="29.85546875" customWidth="1"/>
    <col min="745" max="745" width="8.5703125" customWidth="1"/>
    <col min="746" max="746" width="11.85546875" customWidth="1"/>
    <col min="747" max="747" width="13" customWidth="1"/>
    <col min="748" max="748" width="11.7109375" customWidth="1"/>
    <col min="749" max="749" width="11.7109375" bestFit="1" customWidth="1"/>
    <col min="750" max="750" width="11.7109375" customWidth="1"/>
    <col min="751" max="751" width="12.5703125" customWidth="1"/>
    <col min="752" max="752" width="11.7109375" bestFit="1" customWidth="1"/>
    <col min="999" max="999" width="5" customWidth="1"/>
    <col min="1000" max="1000" width="29.85546875" customWidth="1"/>
    <col min="1001" max="1001" width="8.5703125" customWidth="1"/>
    <col min="1002" max="1002" width="11.85546875" customWidth="1"/>
    <col min="1003" max="1003" width="13" customWidth="1"/>
    <col min="1004" max="1004" width="11.7109375" customWidth="1"/>
    <col min="1005" max="1005" width="11.7109375" bestFit="1" customWidth="1"/>
    <col min="1006" max="1006" width="11.7109375" customWidth="1"/>
    <col min="1007" max="1007" width="12.5703125" customWidth="1"/>
    <col min="1008" max="1008" width="11.7109375" bestFit="1" customWidth="1"/>
    <col min="1255" max="1255" width="5" customWidth="1"/>
    <col min="1256" max="1256" width="29.85546875" customWidth="1"/>
    <col min="1257" max="1257" width="8.5703125" customWidth="1"/>
    <col min="1258" max="1258" width="11.85546875" customWidth="1"/>
    <col min="1259" max="1259" width="13" customWidth="1"/>
    <col min="1260" max="1260" width="11.7109375" customWidth="1"/>
    <col min="1261" max="1261" width="11.7109375" bestFit="1" customWidth="1"/>
    <col min="1262" max="1262" width="11.7109375" customWidth="1"/>
    <col min="1263" max="1263" width="12.5703125" customWidth="1"/>
    <col min="1264" max="1264" width="11.7109375" bestFit="1" customWidth="1"/>
    <col min="1511" max="1511" width="5" customWidth="1"/>
    <col min="1512" max="1512" width="29.85546875" customWidth="1"/>
    <col min="1513" max="1513" width="8.5703125" customWidth="1"/>
    <col min="1514" max="1514" width="11.85546875" customWidth="1"/>
    <col min="1515" max="1515" width="13" customWidth="1"/>
    <col min="1516" max="1516" width="11.7109375" customWidth="1"/>
    <col min="1517" max="1517" width="11.7109375" bestFit="1" customWidth="1"/>
    <col min="1518" max="1518" width="11.7109375" customWidth="1"/>
    <col min="1519" max="1519" width="12.5703125" customWidth="1"/>
    <col min="1520" max="1520" width="11.7109375" bestFit="1" customWidth="1"/>
    <col min="1767" max="1767" width="5" customWidth="1"/>
    <col min="1768" max="1768" width="29.85546875" customWidth="1"/>
    <col min="1769" max="1769" width="8.5703125" customWidth="1"/>
    <col min="1770" max="1770" width="11.85546875" customWidth="1"/>
    <col min="1771" max="1771" width="13" customWidth="1"/>
    <col min="1772" max="1772" width="11.7109375" customWidth="1"/>
    <col min="1773" max="1773" width="11.7109375" bestFit="1" customWidth="1"/>
    <col min="1774" max="1774" width="11.7109375" customWidth="1"/>
    <col min="1775" max="1775" width="12.5703125" customWidth="1"/>
    <col min="1776" max="1776" width="11.7109375" bestFit="1" customWidth="1"/>
    <col min="2023" max="2023" width="5" customWidth="1"/>
    <col min="2024" max="2024" width="29.85546875" customWidth="1"/>
    <col min="2025" max="2025" width="8.5703125" customWidth="1"/>
    <col min="2026" max="2026" width="11.85546875" customWidth="1"/>
    <col min="2027" max="2027" width="13" customWidth="1"/>
    <col min="2028" max="2028" width="11.7109375" customWidth="1"/>
    <col min="2029" max="2029" width="11.7109375" bestFit="1" customWidth="1"/>
    <col min="2030" max="2030" width="11.7109375" customWidth="1"/>
    <col min="2031" max="2031" width="12.5703125" customWidth="1"/>
    <col min="2032" max="2032" width="11.7109375" bestFit="1" customWidth="1"/>
    <col min="2279" max="2279" width="5" customWidth="1"/>
    <col min="2280" max="2280" width="29.85546875" customWidth="1"/>
    <col min="2281" max="2281" width="8.5703125" customWidth="1"/>
    <col min="2282" max="2282" width="11.85546875" customWidth="1"/>
    <col min="2283" max="2283" width="13" customWidth="1"/>
    <col min="2284" max="2284" width="11.7109375" customWidth="1"/>
    <col min="2285" max="2285" width="11.7109375" bestFit="1" customWidth="1"/>
    <col min="2286" max="2286" width="11.7109375" customWidth="1"/>
    <col min="2287" max="2287" width="12.5703125" customWidth="1"/>
    <col min="2288" max="2288" width="11.7109375" bestFit="1" customWidth="1"/>
    <col min="2535" max="2535" width="5" customWidth="1"/>
    <col min="2536" max="2536" width="29.85546875" customWidth="1"/>
    <col min="2537" max="2537" width="8.5703125" customWidth="1"/>
    <col min="2538" max="2538" width="11.85546875" customWidth="1"/>
    <col min="2539" max="2539" width="13" customWidth="1"/>
    <col min="2540" max="2540" width="11.7109375" customWidth="1"/>
    <col min="2541" max="2541" width="11.7109375" bestFit="1" customWidth="1"/>
    <col min="2542" max="2542" width="11.7109375" customWidth="1"/>
    <col min="2543" max="2543" width="12.5703125" customWidth="1"/>
    <col min="2544" max="2544" width="11.7109375" bestFit="1" customWidth="1"/>
    <col min="2791" max="2791" width="5" customWidth="1"/>
    <col min="2792" max="2792" width="29.85546875" customWidth="1"/>
    <col min="2793" max="2793" width="8.5703125" customWidth="1"/>
    <col min="2794" max="2794" width="11.85546875" customWidth="1"/>
    <col min="2795" max="2795" width="13" customWidth="1"/>
    <col min="2796" max="2796" width="11.7109375" customWidth="1"/>
    <col min="2797" max="2797" width="11.7109375" bestFit="1" customWidth="1"/>
    <col min="2798" max="2798" width="11.7109375" customWidth="1"/>
    <col min="2799" max="2799" width="12.5703125" customWidth="1"/>
    <col min="2800" max="2800" width="11.7109375" bestFit="1" customWidth="1"/>
    <col min="3047" max="3047" width="5" customWidth="1"/>
    <col min="3048" max="3048" width="29.85546875" customWidth="1"/>
    <col min="3049" max="3049" width="8.5703125" customWidth="1"/>
    <col min="3050" max="3050" width="11.85546875" customWidth="1"/>
    <col min="3051" max="3051" width="13" customWidth="1"/>
    <col min="3052" max="3052" width="11.7109375" customWidth="1"/>
    <col min="3053" max="3053" width="11.7109375" bestFit="1" customWidth="1"/>
    <col min="3054" max="3054" width="11.7109375" customWidth="1"/>
    <col min="3055" max="3055" width="12.5703125" customWidth="1"/>
    <col min="3056" max="3056" width="11.7109375" bestFit="1" customWidth="1"/>
    <col min="3303" max="3303" width="5" customWidth="1"/>
    <col min="3304" max="3304" width="29.85546875" customWidth="1"/>
    <col min="3305" max="3305" width="8.5703125" customWidth="1"/>
    <col min="3306" max="3306" width="11.85546875" customWidth="1"/>
    <col min="3307" max="3307" width="13" customWidth="1"/>
    <col min="3308" max="3308" width="11.7109375" customWidth="1"/>
    <col min="3309" max="3309" width="11.7109375" bestFit="1" customWidth="1"/>
    <col min="3310" max="3310" width="11.7109375" customWidth="1"/>
    <col min="3311" max="3311" width="12.5703125" customWidth="1"/>
    <col min="3312" max="3312" width="11.7109375" bestFit="1" customWidth="1"/>
    <col min="3559" max="3559" width="5" customWidth="1"/>
    <col min="3560" max="3560" width="29.85546875" customWidth="1"/>
    <col min="3561" max="3561" width="8.5703125" customWidth="1"/>
    <col min="3562" max="3562" width="11.85546875" customWidth="1"/>
    <col min="3563" max="3563" width="13" customWidth="1"/>
    <col min="3564" max="3564" width="11.7109375" customWidth="1"/>
    <col min="3565" max="3565" width="11.7109375" bestFit="1" customWidth="1"/>
    <col min="3566" max="3566" width="11.7109375" customWidth="1"/>
    <col min="3567" max="3567" width="12.5703125" customWidth="1"/>
    <col min="3568" max="3568" width="11.7109375" bestFit="1" customWidth="1"/>
    <col min="3815" max="3815" width="5" customWidth="1"/>
    <col min="3816" max="3816" width="29.85546875" customWidth="1"/>
    <col min="3817" max="3817" width="8.5703125" customWidth="1"/>
    <col min="3818" max="3818" width="11.85546875" customWidth="1"/>
    <col min="3819" max="3819" width="13" customWidth="1"/>
    <col min="3820" max="3820" width="11.7109375" customWidth="1"/>
    <col min="3821" max="3821" width="11.7109375" bestFit="1" customWidth="1"/>
    <col min="3822" max="3822" width="11.7109375" customWidth="1"/>
    <col min="3823" max="3823" width="12.5703125" customWidth="1"/>
    <col min="3824" max="3824" width="11.7109375" bestFit="1" customWidth="1"/>
    <col min="4071" max="4071" width="5" customWidth="1"/>
    <col min="4072" max="4072" width="29.85546875" customWidth="1"/>
    <col min="4073" max="4073" width="8.5703125" customWidth="1"/>
    <col min="4074" max="4074" width="11.85546875" customWidth="1"/>
    <col min="4075" max="4075" width="13" customWidth="1"/>
    <col min="4076" max="4076" width="11.7109375" customWidth="1"/>
    <col min="4077" max="4077" width="11.7109375" bestFit="1" customWidth="1"/>
    <col min="4078" max="4078" width="11.7109375" customWidth="1"/>
    <col min="4079" max="4079" width="12.5703125" customWidth="1"/>
    <col min="4080" max="4080" width="11.7109375" bestFit="1" customWidth="1"/>
    <col min="4327" max="4327" width="5" customWidth="1"/>
    <col min="4328" max="4328" width="29.85546875" customWidth="1"/>
    <col min="4329" max="4329" width="8.5703125" customWidth="1"/>
    <col min="4330" max="4330" width="11.85546875" customWidth="1"/>
    <col min="4331" max="4331" width="13" customWidth="1"/>
    <col min="4332" max="4332" width="11.7109375" customWidth="1"/>
    <col min="4333" max="4333" width="11.7109375" bestFit="1" customWidth="1"/>
    <col min="4334" max="4334" width="11.7109375" customWidth="1"/>
    <col min="4335" max="4335" width="12.5703125" customWidth="1"/>
    <col min="4336" max="4336" width="11.7109375" bestFit="1" customWidth="1"/>
    <col min="4583" max="4583" width="5" customWidth="1"/>
    <col min="4584" max="4584" width="29.85546875" customWidth="1"/>
    <col min="4585" max="4585" width="8.5703125" customWidth="1"/>
    <col min="4586" max="4586" width="11.85546875" customWidth="1"/>
    <col min="4587" max="4587" width="13" customWidth="1"/>
    <col min="4588" max="4588" width="11.7109375" customWidth="1"/>
    <col min="4589" max="4589" width="11.7109375" bestFit="1" customWidth="1"/>
    <col min="4590" max="4590" width="11.7109375" customWidth="1"/>
    <col min="4591" max="4591" width="12.5703125" customWidth="1"/>
    <col min="4592" max="4592" width="11.7109375" bestFit="1" customWidth="1"/>
    <col min="4839" max="4839" width="5" customWidth="1"/>
    <col min="4840" max="4840" width="29.85546875" customWidth="1"/>
    <col min="4841" max="4841" width="8.5703125" customWidth="1"/>
    <col min="4842" max="4842" width="11.85546875" customWidth="1"/>
    <col min="4843" max="4843" width="13" customWidth="1"/>
    <col min="4844" max="4844" width="11.7109375" customWidth="1"/>
    <col min="4845" max="4845" width="11.7109375" bestFit="1" customWidth="1"/>
    <col min="4846" max="4846" width="11.7109375" customWidth="1"/>
    <col min="4847" max="4847" width="12.5703125" customWidth="1"/>
    <col min="4848" max="4848" width="11.7109375" bestFit="1" customWidth="1"/>
    <col min="5095" max="5095" width="5" customWidth="1"/>
    <col min="5096" max="5096" width="29.85546875" customWidth="1"/>
    <col min="5097" max="5097" width="8.5703125" customWidth="1"/>
    <col min="5098" max="5098" width="11.85546875" customWidth="1"/>
    <col min="5099" max="5099" width="13" customWidth="1"/>
    <col min="5100" max="5100" width="11.7109375" customWidth="1"/>
    <col min="5101" max="5101" width="11.7109375" bestFit="1" customWidth="1"/>
    <col min="5102" max="5102" width="11.7109375" customWidth="1"/>
    <col min="5103" max="5103" width="12.5703125" customWidth="1"/>
    <col min="5104" max="5104" width="11.7109375" bestFit="1" customWidth="1"/>
    <col min="5351" max="5351" width="5" customWidth="1"/>
    <col min="5352" max="5352" width="29.85546875" customWidth="1"/>
    <col min="5353" max="5353" width="8.5703125" customWidth="1"/>
    <col min="5354" max="5354" width="11.85546875" customWidth="1"/>
    <col min="5355" max="5355" width="13" customWidth="1"/>
    <col min="5356" max="5356" width="11.7109375" customWidth="1"/>
    <col min="5357" max="5357" width="11.7109375" bestFit="1" customWidth="1"/>
    <col min="5358" max="5358" width="11.7109375" customWidth="1"/>
    <col min="5359" max="5359" width="12.5703125" customWidth="1"/>
    <col min="5360" max="5360" width="11.7109375" bestFit="1" customWidth="1"/>
    <col min="5607" max="5607" width="5" customWidth="1"/>
    <col min="5608" max="5608" width="29.85546875" customWidth="1"/>
    <col min="5609" max="5609" width="8.5703125" customWidth="1"/>
    <col min="5610" max="5610" width="11.85546875" customWidth="1"/>
    <col min="5611" max="5611" width="13" customWidth="1"/>
    <col min="5612" max="5612" width="11.7109375" customWidth="1"/>
    <col min="5613" max="5613" width="11.7109375" bestFit="1" customWidth="1"/>
    <col min="5614" max="5614" width="11.7109375" customWidth="1"/>
    <col min="5615" max="5615" width="12.5703125" customWidth="1"/>
    <col min="5616" max="5616" width="11.7109375" bestFit="1" customWidth="1"/>
    <col min="5863" max="5863" width="5" customWidth="1"/>
    <col min="5864" max="5864" width="29.85546875" customWidth="1"/>
    <col min="5865" max="5865" width="8.5703125" customWidth="1"/>
    <col min="5866" max="5866" width="11.85546875" customWidth="1"/>
    <col min="5867" max="5867" width="13" customWidth="1"/>
    <col min="5868" max="5868" width="11.7109375" customWidth="1"/>
    <col min="5869" max="5869" width="11.7109375" bestFit="1" customWidth="1"/>
    <col min="5870" max="5870" width="11.7109375" customWidth="1"/>
    <col min="5871" max="5871" width="12.5703125" customWidth="1"/>
    <col min="5872" max="5872" width="11.7109375" bestFit="1" customWidth="1"/>
    <col min="6119" max="6119" width="5" customWidth="1"/>
    <col min="6120" max="6120" width="29.85546875" customWidth="1"/>
    <col min="6121" max="6121" width="8.5703125" customWidth="1"/>
    <col min="6122" max="6122" width="11.85546875" customWidth="1"/>
    <col min="6123" max="6123" width="13" customWidth="1"/>
    <col min="6124" max="6124" width="11.7109375" customWidth="1"/>
    <col min="6125" max="6125" width="11.7109375" bestFit="1" customWidth="1"/>
    <col min="6126" max="6126" width="11.7109375" customWidth="1"/>
    <col min="6127" max="6127" width="12.5703125" customWidth="1"/>
    <col min="6128" max="6128" width="11.7109375" bestFit="1" customWidth="1"/>
    <col min="6375" max="6375" width="5" customWidth="1"/>
    <col min="6376" max="6376" width="29.85546875" customWidth="1"/>
    <col min="6377" max="6377" width="8.5703125" customWidth="1"/>
    <col min="6378" max="6378" width="11.85546875" customWidth="1"/>
    <col min="6379" max="6379" width="13" customWidth="1"/>
    <col min="6380" max="6380" width="11.7109375" customWidth="1"/>
    <col min="6381" max="6381" width="11.7109375" bestFit="1" customWidth="1"/>
    <col min="6382" max="6382" width="11.7109375" customWidth="1"/>
    <col min="6383" max="6383" width="12.5703125" customWidth="1"/>
    <col min="6384" max="6384" width="11.7109375" bestFit="1" customWidth="1"/>
    <col min="6631" max="6631" width="5" customWidth="1"/>
    <col min="6632" max="6632" width="29.85546875" customWidth="1"/>
    <col min="6633" max="6633" width="8.5703125" customWidth="1"/>
    <col min="6634" max="6634" width="11.85546875" customWidth="1"/>
    <col min="6635" max="6635" width="13" customWidth="1"/>
    <col min="6636" max="6636" width="11.7109375" customWidth="1"/>
    <col min="6637" max="6637" width="11.7109375" bestFit="1" customWidth="1"/>
    <col min="6638" max="6638" width="11.7109375" customWidth="1"/>
    <col min="6639" max="6639" width="12.5703125" customWidth="1"/>
    <col min="6640" max="6640" width="11.7109375" bestFit="1" customWidth="1"/>
    <col min="6887" max="6887" width="5" customWidth="1"/>
    <col min="6888" max="6888" width="29.85546875" customWidth="1"/>
    <col min="6889" max="6889" width="8.5703125" customWidth="1"/>
    <col min="6890" max="6890" width="11.85546875" customWidth="1"/>
    <col min="6891" max="6891" width="13" customWidth="1"/>
    <col min="6892" max="6892" width="11.7109375" customWidth="1"/>
    <col min="6893" max="6893" width="11.7109375" bestFit="1" customWidth="1"/>
    <col min="6894" max="6894" width="11.7109375" customWidth="1"/>
    <col min="6895" max="6895" width="12.5703125" customWidth="1"/>
    <col min="6896" max="6896" width="11.7109375" bestFit="1" customWidth="1"/>
    <col min="7143" max="7143" width="5" customWidth="1"/>
    <col min="7144" max="7144" width="29.85546875" customWidth="1"/>
    <col min="7145" max="7145" width="8.5703125" customWidth="1"/>
    <col min="7146" max="7146" width="11.85546875" customWidth="1"/>
    <col min="7147" max="7147" width="13" customWidth="1"/>
    <col min="7148" max="7148" width="11.7109375" customWidth="1"/>
    <col min="7149" max="7149" width="11.7109375" bestFit="1" customWidth="1"/>
    <col min="7150" max="7150" width="11.7109375" customWidth="1"/>
    <col min="7151" max="7151" width="12.5703125" customWidth="1"/>
    <col min="7152" max="7152" width="11.7109375" bestFit="1" customWidth="1"/>
    <col min="7399" max="7399" width="5" customWidth="1"/>
    <col min="7400" max="7400" width="29.85546875" customWidth="1"/>
    <col min="7401" max="7401" width="8.5703125" customWidth="1"/>
    <col min="7402" max="7402" width="11.85546875" customWidth="1"/>
    <col min="7403" max="7403" width="13" customWidth="1"/>
    <col min="7404" max="7404" width="11.7109375" customWidth="1"/>
    <col min="7405" max="7405" width="11.7109375" bestFit="1" customWidth="1"/>
    <col min="7406" max="7406" width="11.7109375" customWidth="1"/>
    <col min="7407" max="7407" width="12.5703125" customWidth="1"/>
    <col min="7408" max="7408" width="11.7109375" bestFit="1" customWidth="1"/>
    <col min="7655" max="7655" width="5" customWidth="1"/>
    <col min="7656" max="7656" width="29.85546875" customWidth="1"/>
    <col min="7657" max="7657" width="8.5703125" customWidth="1"/>
    <col min="7658" max="7658" width="11.85546875" customWidth="1"/>
    <col min="7659" max="7659" width="13" customWidth="1"/>
    <col min="7660" max="7660" width="11.7109375" customWidth="1"/>
    <col min="7661" max="7661" width="11.7109375" bestFit="1" customWidth="1"/>
    <col min="7662" max="7662" width="11.7109375" customWidth="1"/>
    <col min="7663" max="7663" width="12.5703125" customWidth="1"/>
    <col min="7664" max="7664" width="11.7109375" bestFit="1" customWidth="1"/>
    <col min="7911" max="7911" width="5" customWidth="1"/>
    <col min="7912" max="7912" width="29.85546875" customWidth="1"/>
    <col min="7913" max="7913" width="8.5703125" customWidth="1"/>
    <col min="7914" max="7914" width="11.85546875" customWidth="1"/>
    <col min="7915" max="7915" width="13" customWidth="1"/>
    <col min="7916" max="7916" width="11.7109375" customWidth="1"/>
    <col min="7917" max="7917" width="11.7109375" bestFit="1" customWidth="1"/>
    <col min="7918" max="7918" width="11.7109375" customWidth="1"/>
    <col min="7919" max="7919" width="12.5703125" customWidth="1"/>
    <col min="7920" max="7920" width="11.7109375" bestFit="1" customWidth="1"/>
    <col min="8167" max="8167" width="5" customWidth="1"/>
    <col min="8168" max="8168" width="29.85546875" customWidth="1"/>
    <col min="8169" max="8169" width="8.5703125" customWidth="1"/>
    <col min="8170" max="8170" width="11.85546875" customWidth="1"/>
    <col min="8171" max="8171" width="13" customWidth="1"/>
    <col min="8172" max="8172" width="11.7109375" customWidth="1"/>
    <col min="8173" max="8173" width="11.7109375" bestFit="1" customWidth="1"/>
    <col min="8174" max="8174" width="11.7109375" customWidth="1"/>
    <col min="8175" max="8175" width="12.5703125" customWidth="1"/>
    <col min="8176" max="8176" width="11.7109375" bestFit="1" customWidth="1"/>
    <col min="8423" max="8423" width="5" customWidth="1"/>
    <col min="8424" max="8424" width="29.85546875" customWidth="1"/>
    <col min="8425" max="8425" width="8.5703125" customWidth="1"/>
    <col min="8426" max="8426" width="11.85546875" customWidth="1"/>
    <col min="8427" max="8427" width="13" customWidth="1"/>
    <col min="8428" max="8428" width="11.7109375" customWidth="1"/>
    <col min="8429" max="8429" width="11.7109375" bestFit="1" customWidth="1"/>
    <col min="8430" max="8430" width="11.7109375" customWidth="1"/>
    <col min="8431" max="8431" width="12.5703125" customWidth="1"/>
    <col min="8432" max="8432" width="11.7109375" bestFit="1" customWidth="1"/>
    <col min="8679" max="8679" width="5" customWidth="1"/>
    <col min="8680" max="8680" width="29.85546875" customWidth="1"/>
    <col min="8681" max="8681" width="8.5703125" customWidth="1"/>
    <col min="8682" max="8682" width="11.85546875" customWidth="1"/>
    <col min="8683" max="8683" width="13" customWidth="1"/>
    <col min="8684" max="8684" width="11.7109375" customWidth="1"/>
    <col min="8685" max="8685" width="11.7109375" bestFit="1" customWidth="1"/>
    <col min="8686" max="8686" width="11.7109375" customWidth="1"/>
    <col min="8687" max="8687" width="12.5703125" customWidth="1"/>
    <col min="8688" max="8688" width="11.7109375" bestFit="1" customWidth="1"/>
    <col min="8935" max="8935" width="5" customWidth="1"/>
    <col min="8936" max="8936" width="29.85546875" customWidth="1"/>
    <col min="8937" max="8937" width="8.5703125" customWidth="1"/>
    <col min="8938" max="8938" width="11.85546875" customWidth="1"/>
    <col min="8939" max="8939" width="13" customWidth="1"/>
    <col min="8940" max="8940" width="11.7109375" customWidth="1"/>
    <col min="8941" max="8941" width="11.7109375" bestFit="1" customWidth="1"/>
    <col min="8942" max="8942" width="11.7109375" customWidth="1"/>
    <col min="8943" max="8943" width="12.5703125" customWidth="1"/>
    <col min="8944" max="8944" width="11.7109375" bestFit="1" customWidth="1"/>
    <col min="9191" max="9191" width="5" customWidth="1"/>
    <col min="9192" max="9192" width="29.85546875" customWidth="1"/>
    <col min="9193" max="9193" width="8.5703125" customWidth="1"/>
    <col min="9194" max="9194" width="11.85546875" customWidth="1"/>
    <col min="9195" max="9195" width="13" customWidth="1"/>
    <col min="9196" max="9196" width="11.7109375" customWidth="1"/>
    <col min="9197" max="9197" width="11.7109375" bestFit="1" customWidth="1"/>
    <col min="9198" max="9198" width="11.7109375" customWidth="1"/>
    <col min="9199" max="9199" width="12.5703125" customWidth="1"/>
    <col min="9200" max="9200" width="11.7109375" bestFit="1" customWidth="1"/>
    <col min="9447" max="9447" width="5" customWidth="1"/>
    <col min="9448" max="9448" width="29.85546875" customWidth="1"/>
    <col min="9449" max="9449" width="8.5703125" customWidth="1"/>
    <col min="9450" max="9450" width="11.85546875" customWidth="1"/>
    <col min="9451" max="9451" width="13" customWidth="1"/>
    <col min="9452" max="9452" width="11.7109375" customWidth="1"/>
    <col min="9453" max="9453" width="11.7109375" bestFit="1" customWidth="1"/>
    <col min="9454" max="9454" width="11.7109375" customWidth="1"/>
    <col min="9455" max="9455" width="12.5703125" customWidth="1"/>
    <col min="9456" max="9456" width="11.7109375" bestFit="1" customWidth="1"/>
    <col min="9703" max="9703" width="5" customWidth="1"/>
    <col min="9704" max="9704" width="29.85546875" customWidth="1"/>
    <col min="9705" max="9705" width="8.5703125" customWidth="1"/>
    <col min="9706" max="9706" width="11.85546875" customWidth="1"/>
    <col min="9707" max="9707" width="13" customWidth="1"/>
    <col min="9708" max="9708" width="11.7109375" customWidth="1"/>
    <col min="9709" max="9709" width="11.7109375" bestFit="1" customWidth="1"/>
    <col min="9710" max="9710" width="11.7109375" customWidth="1"/>
    <col min="9711" max="9711" width="12.5703125" customWidth="1"/>
    <col min="9712" max="9712" width="11.7109375" bestFit="1" customWidth="1"/>
    <col min="9959" max="9959" width="5" customWidth="1"/>
    <col min="9960" max="9960" width="29.85546875" customWidth="1"/>
    <col min="9961" max="9961" width="8.5703125" customWidth="1"/>
    <col min="9962" max="9962" width="11.85546875" customWidth="1"/>
    <col min="9963" max="9963" width="13" customWidth="1"/>
    <col min="9964" max="9964" width="11.7109375" customWidth="1"/>
    <col min="9965" max="9965" width="11.7109375" bestFit="1" customWidth="1"/>
    <col min="9966" max="9966" width="11.7109375" customWidth="1"/>
    <col min="9967" max="9967" width="12.5703125" customWidth="1"/>
    <col min="9968" max="9968" width="11.7109375" bestFit="1" customWidth="1"/>
    <col min="10215" max="10215" width="5" customWidth="1"/>
    <col min="10216" max="10216" width="29.85546875" customWidth="1"/>
    <col min="10217" max="10217" width="8.5703125" customWidth="1"/>
    <col min="10218" max="10218" width="11.85546875" customWidth="1"/>
    <col min="10219" max="10219" width="13" customWidth="1"/>
    <col min="10220" max="10220" width="11.7109375" customWidth="1"/>
    <col min="10221" max="10221" width="11.7109375" bestFit="1" customWidth="1"/>
    <col min="10222" max="10222" width="11.7109375" customWidth="1"/>
    <col min="10223" max="10223" width="12.5703125" customWidth="1"/>
    <col min="10224" max="10224" width="11.7109375" bestFit="1" customWidth="1"/>
    <col min="10471" max="10471" width="5" customWidth="1"/>
    <col min="10472" max="10472" width="29.85546875" customWidth="1"/>
    <col min="10473" max="10473" width="8.5703125" customWidth="1"/>
    <col min="10474" max="10474" width="11.85546875" customWidth="1"/>
    <col min="10475" max="10475" width="13" customWidth="1"/>
    <col min="10476" max="10476" width="11.7109375" customWidth="1"/>
    <col min="10477" max="10477" width="11.7109375" bestFit="1" customWidth="1"/>
    <col min="10478" max="10478" width="11.7109375" customWidth="1"/>
    <col min="10479" max="10479" width="12.5703125" customWidth="1"/>
    <col min="10480" max="10480" width="11.7109375" bestFit="1" customWidth="1"/>
    <col min="10727" max="10727" width="5" customWidth="1"/>
    <col min="10728" max="10728" width="29.85546875" customWidth="1"/>
    <col min="10729" max="10729" width="8.5703125" customWidth="1"/>
    <col min="10730" max="10730" width="11.85546875" customWidth="1"/>
    <col min="10731" max="10731" width="13" customWidth="1"/>
    <col min="10732" max="10732" width="11.7109375" customWidth="1"/>
    <col min="10733" max="10733" width="11.7109375" bestFit="1" customWidth="1"/>
    <col min="10734" max="10734" width="11.7109375" customWidth="1"/>
    <col min="10735" max="10735" width="12.5703125" customWidth="1"/>
    <col min="10736" max="10736" width="11.7109375" bestFit="1" customWidth="1"/>
    <col min="10983" max="10983" width="5" customWidth="1"/>
    <col min="10984" max="10984" width="29.85546875" customWidth="1"/>
    <col min="10985" max="10985" width="8.5703125" customWidth="1"/>
    <col min="10986" max="10986" width="11.85546875" customWidth="1"/>
    <col min="10987" max="10987" width="13" customWidth="1"/>
    <col min="10988" max="10988" width="11.7109375" customWidth="1"/>
    <col min="10989" max="10989" width="11.7109375" bestFit="1" customWidth="1"/>
    <col min="10990" max="10990" width="11.7109375" customWidth="1"/>
    <col min="10991" max="10991" width="12.5703125" customWidth="1"/>
    <col min="10992" max="10992" width="11.7109375" bestFit="1" customWidth="1"/>
    <col min="11239" max="11239" width="5" customWidth="1"/>
    <col min="11240" max="11240" width="29.85546875" customWidth="1"/>
    <col min="11241" max="11241" width="8.5703125" customWidth="1"/>
    <col min="11242" max="11242" width="11.85546875" customWidth="1"/>
    <col min="11243" max="11243" width="13" customWidth="1"/>
    <col min="11244" max="11244" width="11.7109375" customWidth="1"/>
    <col min="11245" max="11245" width="11.7109375" bestFit="1" customWidth="1"/>
    <col min="11246" max="11246" width="11.7109375" customWidth="1"/>
    <col min="11247" max="11247" width="12.5703125" customWidth="1"/>
    <col min="11248" max="11248" width="11.7109375" bestFit="1" customWidth="1"/>
    <col min="11495" max="11495" width="5" customWidth="1"/>
    <col min="11496" max="11496" width="29.85546875" customWidth="1"/>
    <col min="11497" max="11497" width="8.5703125" customWidth="1"/>
    <col min="11498" max="11498" width="11.85546875" customWidth="1"/>
    <col min="11499" max="11499" width="13" customWidth="1"/>
    <col min="11500" max="11500" width="11.7109375" customWidth="1"/>
    <col min="11501" max="11501" width="11.7109375" bestFit="1" customWidth="1"/>
    <col min="11502" max="11502" width="11.7109375" customWidth="1"/>
    <col min="11503" max="11503" width="12.5703125" customWidth="1"/>
    <col min="11504" max="11504" width="11.7109375" bestFit="1" customWidth="1"/>
    <col min="11751" max="11751" width="5" customWidth="1"/>
    <col min="11752" max="11752" width="29.85546875" customWidth="1"/>
    <col min="11753" max="11753" width="8.5703125" customWidth="1"/>
    <col min="11754" max="11754" width="11.85546875" customWidth="1"/>
    <col min="11755" max="11755" width="13" customWidth="1"/>
    <col min="11756" max="11756" width="11.7109375" customWidth="1"/>
    <col min="11757" max="11757" width="11.7109375" bestFit="1" customWidth="1"/>
    <col min="11758" max="11758" width="11.7109375" customWidth="1"/>
    <col min="11759" max="11759" width="12.5703125" customWidth="1"/>
    <col min="11760" max="11760" width="11.7109375" bestFit="1" customWidth="1"/>
    <col min="12007" max="12007" width="5" customWidth="1"/>
    <col min="12008" max="12008" width="29.85546875" customWidth="1"/>
    <col min="12009" max="12009" width="8.5703125" customWidth="1"/>
    <col min="12010" max="12010" width="11.85546875" customWidth="1"/>
    <col min="12011" max="12011" width="13" customWidth="1"/>
    <col min="12012" max="12012" width="11.7109375" customWidth="1"/>
    <col min="12013" max="12013" width="11.7109375" bestFit="1" customWidth="1"/>
    <col min="12014" max="12014" width="11.7109375" customWidth="1"/>
    <col min="12015" max="12015" width="12.5703125" customWidth="1"/>
    <col min="12016" max="12016" width="11.7109375" bestFit="1" customWidth="1"/>
    <col min="12263" max="12263" width="5" customWidth="1"/>
    <col min="12264" max="12264" width="29.85546875" customWidth="1"/>
    <col min="12265" max="12265" width="8.5703125" customWidth="1"/>
    <col min="12266" max="12266" width="11.85546875" customWidth="1"/>
    <col min="12267" max="12267" width="13" customWidth="1"/>
    <col min="12268" max="12268" width="11.7109375" customWidth="1"/>
    <col min="12269" max="12269" width="11.7109375" bestFit="1" customWidth="1"/>
    <col min="12270" max="12270" width="11.7109375" customWidth="1"/>
    <col min="12271" max="12271" width="12.5703125" customWidth="1"/>
    <col min="12272" max="12272" width="11.7109375" bestFit="1" customWidth="1"/>
    <col min="12519" max="12519" width="5" customWidth="1"/>
    <col min="12520" max="12520" width="29.85546875" customWidth="1"/>
    <col min="12521" max="12521" width="8.5703125" customWidth="1"/>
    <col min="12522" max="12522" width="11.85546875" customWidth="1"/>
    <col min="12523" max="12523" width="13" customWidth="1"/>
    <col min="12524" max="12524" width="11.7109375" customWidth="1"/>
    <col min="12525" max="12525" width="11.7109375" bestFit="1" customWidth="1"/>
    <col min="12526" max="12526" width="11.7109375" customWidth="1"/>
    <col min="12527" max="12527" width="12.5703125" customWidth="1"/>
    <col min="12528" max="12528" width="11.7109375" bestFit="1" customWidth="1"/>
    <col min="12775" max="12775" width="5" customWidth="1"/>
    <col min="12776" max="12776" width="29.85546875" customWidth="1"/>
    <col min="12777" max="12777" width="8.5703125" customWidth="1"/>
    <col min="12778" max="12778" width="11.85546875" customWidth="1"/>
    <col min="12779" max="12779" width="13" customWidth="1"/>
    <col min="12780" max="12780" width="11.7109375" customWidth="1"/>
    <col min="12781" max="12781" width="11.7109375" bestFit="1" customWidth="1"/>
    <col min="12782" max="12782" width="11.7109375" customWidth="1"/>
    <col min="12783" max="12783" width="12.5703125" customWidth="1"/>
    <col min="12784" max="12784" width="11.7109375" bestFit="1" customWidth="1"/>
    <col min="13031" max="13031" width="5" customWidth="1"/>
    <col min="13032" max="13032" width="29.85546875" customWidth="1"/>
    <col min="13033" max="13033" width="8.5703125" customWidth="1"/>
    <col min="13034" max="13034" width="11.85546875" customWidth="1"/>
    <col min="13035" max="13035" width="13" customWidth="1"/>
    <col min="13036" max="13036" width="11.7109375" customWidth="1"/>
    <col min="13037" max="13037" width="11.7109375" bestFit="1" customWidth="1"/>
    <col min="13038" max="13038" width="11.7109375" customWidth="1"/>
    <col min="13039" max="13039" width="12.5703125" customWidth="1"/>
    <col min="13040" max="13040" width="11.7109375" bestFit="1" customWidth="1"/>
    <col min="13287" max="13287" width="5" customWidth="1"/>
    <col min="13288" max="13288" width="29.85546875" customWidth="1"/>
    <col min="13289" max="13289" width="8.5703125" customWidth="1"/>
    <col min="13290" max="13290" width="11.85546875" customWidth="1"/>
    <col min="13291" max="13291" width="13" customWidth="1"/>
    <col min="13292" max="13292" width="11.7109375" customWidth="1"/>
    <col min="13293" max="13293" width="11.7109375" bestFit="1" customWidth="1"/>
    <col min="13294" max="13294" width="11.7109375" customWidth="1"/>
    <col min="13295" max="13295" width="12.5703125" customWidth="1"/>
    <col min="13296" max="13296" width="11.7109375" bestFit="1" customWidth="1"/>
    <col min="13543" max="13543" width="5" customWidth="1"/>
    <col min="13544" max="13544" width="29.85546875" customWidth="1"/>
    <col min="13545" max="13545" width="8.5703125" customWidth="1"/>
    <col min="13546" max="13546" width="11.85546875" customWidth="1"/>
    <col min="13547" max="13547" width="13" customWidth="1"/>
    <col min="13548" max="13548" width="11.7109375" customWidth="1"/>
    <col min="13549" max="13549" width="11.7109375" bestFit="1" customWidth="1"/>
    <col min="13550" max="13550" width="11.7109375" customWidth="1"/>
    <col min="13551" max="13551" width="12.5703125" customWidth="1"/>
    <col min="13552" max="13552" width="11.7109375" bestFit="1" customWidth="1"/>
    <col min="13799" max="13799" width="5" customWidth="1"/>
    <col min="13800" max="13800" width="29.85546875" customWidth="1"/>
    <col min="13801" max="13801" width="8.5703125" customWidth="1"/>
    <col min="13802" max="13802" width="11.85546875" customWidth="1"/>
    <col min="13803" max="13803" width="13" customWidth="1"/>
    <col min="13804" max="13804" width="11.7109375" customWidth="1"/>
    <col min="13805" max="13805" width="11.7109375" bestFit="1" customWidth="1"/>
    <col min="13806" max="13806" width="11.7109375" customWidth="1"/>
    <col min="13807" max="13807" width="12.5703125" customWidth="1"/>
    <col min="13808" max="13808" width="11.7109375" bestFit="1" customWidth="1"/>
    <col min="14055" max="14055" width="5" customWidth="1"/>
    <col min="14056" max="14056" width="29.85546875" customWidth="1"/>
    <col min="14057" max="14057" width="8.5703125" customWidth="1"/>
    <col min="14058" max="14058" width="11.85546875" customWidth="1"/>
    <col min="14059" max="14059" width="13" customWidth="1"/>
    <col min="14060" max="14060" width="11.7109375" customWidth="1"/>
    <col min="14061" max="14061" width="11.7109375" bestFit="1" customWidth="1"/>
    <col min="14062" max="14062" width="11.7109375" customWidth="1"/>
    <col min="14063" max="14063" width="12.5703125" customWidth="1"/>
    <col min="14064" max="14064" width="11.7109375" bestFit="1" customWidth="1"/>
    <col min="14311" max="14311" width="5" customWidth="1"/>
    <col min="14312" max="14312" width="29.85546875" customWidth="1"/>
    <col min="14313" max="14313" width="8.5703125" customWidth="1"/>
    <col min="14314" max="14314" width="11.85546875" customWidth="1"/>
    <col min="14315" max="14315" width="13" customWidth="1"/>
    <col min="14316" max="14316" width="11.7109375" customWidth="1"/>
    <col min="14317" max="14317" width="11.7109375" bestFit="1" customWidth="1"/>
    <col min="14318" max="14318" width="11.7109375" customWidth="1"/>
    <col min="14319" max="14319" width="12.5703125" customWidth="1"/>
    <col min="14320" max="14320" width="11.7109375" bestFit="1" customWidth="1"/>
    <col min="14567" max="14567" width="5" customWidth="1"/>
    <col min="14568" max="14568" width="29.85546875" customWidth="1"/>
    <col min="14569" max="14569" width="8.5703125" customWidth="1"/>
    <col min="14570" max="14570" width="11.85546875" customWidth="1"/>
    <col min="14571" max="14571" width="13" customWidth="1"/>
    <col min="14572" max="14572" width="11.7109375" customWidth="1"/>
    <col min="14573" max="14573" width="11.7109375" bestFit="1" customWidth="1"/>
    <col min="14574" max="14574" width="11.7109375" customWidth="1"/>
    <col min="14575" max="14575" width="12.5703125" customWidth="1"/>
    <col min="14576" max="14576" width="11.7109375" bestFit="1" customWidth="1"/>
    <col min="14823" max="14823" width="5" customWidth="1"/>
    <col min="14824" max="14824" width="29.85546875" customWidth="1"/>
    <col min="14825" max="14825" width="8.5703125" customWidth="1"/>
    <col min="14826" max="14826" width="11.85546875" customWidth="1"/>
    <col min="14827" max="14827" width="13" customWidth="1"/>
    <col min="14828" max="14828" width="11.7109375" customWidth="1"/>
    <col min="14829" max="14829" width="11.7109375" bestFit="1" customWidth="1"/>
    <col min="14830" max="14830" width="11.7109375" customWidth="1"/>
    <col min="14831" max="14831" width="12.5703125" customWidth="1"/>
    <col min="14832" max="14832" width="11.7109375" bestFit="1" customWidth="1"/>
    <col min="15079" max="15079" width="5" customWidth="1"/>
    <col min="15080" max="15080" width="29.85546875" customWidth="1"/>
    <col min="15081" max="15081" width="8.5703125" customWidth="1"/>
    <col min="15082" max="15082" width="11.85546875" customWidth="1"/>
    <col min="15083" max="15083" width="13" customWidth="1"/>
    <col min="15084" max="15084" width="11.7109375" customWidth="1"/>
    <col min="15085" max="15085" width="11.7109375" bestFit="1" customWidth="1"/>
    <col min="15086" max="15086" width="11.7109375" customWidth="1"/>
    <col min="15087" max="15087" width="12.5703125" customWidth="1"/>
    <col min="15088" max="15088" width="11.7109375" bestFit="1" customWidth="1"/>
    <col min="15335" max="15335" width="5" customWidth="1"/>
    <col min="15336" max="15336" width="29.85546875" customWidth="1"/>
    <col min="15337" max="15337" width="8.5703125" customWidth="1"/>
    <col min="15338" max="15338" width="11.85546875" customWidth="1"/>
    <col min="15339" max="15339" width="13" customWidth="1"/>
    <col min="15340" max="15340" width="11.7109375" customWidth="1"/>
    <col min="15341" max="15341" width="11.7109375" bestFit="1" customWidth="1"/>
    <col min="15342" max="15342" width="11.7109375" customWidth="1"/>
    <col min="15343" max="15343" width="12.5703125" customWidth="1"/>
    <col min="15344" max="15344" width="11.7109375" bestFit="1" customWidth="1"/>
    <col min="15591" max="15591" width="5" customWidth="1"/>
    <col min="15592" max="15592" width="29.85546875" customWidth="1"/>
    <col min="15593" max="15593" width="8.5703125" customWidth="1"/>
    <col min="15594" max="15594" width="11.85546875" customWidth="1"/>
    <col min="15595" max="15595" width="13" customWidth="1"/>
    <col min="15596" max="15596" width="11.7109375" customWidth="1"/>
    <col min="15597" max="15597" width="11.7109375" bestFit="1" customWidth="1"/>
    <col min="15598" max="15598" width="11.7109375" customWidth="1"/>
    <col min="15599" max="15599" width="12.5703125" customWidth="1"/>
    <col min="15600" max="15600" width="11.7109375" bestFit="1" customWidth="1"/>
    <col min="15847" max="15847" width="5" customWidth="1"/>
    <col min="15848" max="15848" width="29.85546875" customWidth="1"/>
    <col min="15849" max="15849" width="8.5703125" customWidth="1"/>
    <col min="15850" max="15850" width="11.85546875" customWidth="1"/>
    <col min="15851" max="15851" width="13" customWidth="1"/>
    <col min="15852" max="15852" width="11.7109375" customWidth="1"/>
    <col min="15853" max="15853" width="11.7109375" bestFit="1" customWidth="1"/>
    <col min="15854" max="15854" width="11.7109375" customWidth="1"/>
    <col min="15855" max="15855" width="12.5703125" customWidth="1"/>
    <col min="15856" max="15856" width="11.7109375" bestFit="1" customWidth="1"/>
    <col min="16103" max="16103" width="5" customWidth="1"/>
    <col min="16104" max="16104" width="29.85546875" customWidth="1"/>
    <col min="16105" max="16105" width="8.5703125" customWidth="1"/>
    <col min="16106" max="16106" width="11.85546875" customWidth="1"/>
    <col min="16107" max="16107" width="13" customWidth="1"/>
    <col min="16108" max="16108" width="11.7109375" customWidth="1"/>
    <col min="16109" max="16109" width="11.7109375" bestFit="1" customWidth="1"/>
    <col min="16110" max="16110" width="11.7109375" customWidth="1"/>
    <col min="16111" max="16111" width="12.5703125" customWidth="1"/>
    <col min="16112" max="16112" width="11.7109375" bestFit="1" customWidth="1"/>
  </cols>
  <sheetData>
    <row r="1" spans="1:13" x14ac:dyDescent="0.25">
      <c r="A1" s="58" t="s">
        <v>0</v>
      </c>
      <c r="C1" t="s">
        <v>69</v>
      </c>
      <c r="E1"/>
      <c r="F1" s="1"/>
      <c r="G1" s="1"/>
    </row>
    <row r="2" spans="1:13" ht="15.75" customHeight="1" x14ac:dyDescent="0.25">
      <c r="A2" t="s">
        <v>43</v>
      </c>
      <c r="C2" t="s">
        <v>70</v>
      </c>
      <c r="E2"/>
      <c r="J2" t="s">
        <v>78</v>
      </c>
    </row>
    <row r="3" spans="1:13" ht="16.5" customHeight="1" x14ac:dyDescent="0.25">
      <c r="A3" s="2" t="s">
        <v>44</v>
      </c>
      <c r="C3" t="s">
        <v>71</v>
      </c>
      <c r="E3"/>
    </row>
    <row r="4" spans="1:13" x14ac:dyDescent="0.25">
      <c r="B4" s="3"/>
      <c r="C4" s="3"/>
      <c r="D4" s="3"/>
    </row>
    <row r="6" spans="1:13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  <c r="K6" s="645"/>
      <c r="L6" s="645"/>
      <c r="M6" s="645"/>
    </row>
    <row r="7" spans="1:13" x14ac:dyDescent="0.25">
      <c r="C7" s="702" t="s">
        <v>116</v>
      </c>
      <c r="D7" s="702"/>
      <c r="E7" s="702"/>
      <c r="F7" s="702"/>
      <c r="G7" s="702"/>
      <c r="H7" s="702"/>
      <c r="I7" s="702"/>
      <c r="J7" s="702"/>
      <c r="K7" s="646"/>
      <c r="L7" s="646"/>
      <c r="M7" s="646"/>
    </row>
    <row r="8" spans="1:13" x14ac:dyDescent="0.25">
      <c r="B8" s="68"/>
      <c r="C8" s="703" t="s">
        <v>154</v>
      </c>
      <c r="D8" s="703"/>
      <c r="E8" s="703"/>
      <c r="F8" s="703"/>
      <c r="G8" s="703"/>
      <c r="H8" s="703"/>
      <c r="I8" s="703"/>
      <c r="J8" s="703"/>
      <c r="K8" s="647"/>
      <c r="L8" s="647"/>
      <c r="M8" s="647"/>
    </row>
    <row r="10" spans="1:13" ht="15.75" thickBot="1" x14ac:dyDescent="0.3">
      <c r="E10" s="4"/>
      <c r="F10" s="5"/>
    </row>
    <row r="11" spans="1:13" ht="30.75" thickBot="1" x14ac:dyDescent="0.3">
      <c r="E11" s="580" t="s">
        <v>2</v>
      </c>
      <c r="F11" s="581" t="s">
        <v>3</v>
      </c>
      <c r="G11" s="97" t="s">
        <v>75</v>
      </c>
      <c r="H11" s="582" t="s">
        <v>120</v>
      </c>
      <c r="I11" s="583" t="s">
        <v>76</v>
      </c>
      <c r="J11" s="584" t="s">
        <v>120</v>
      </c>
      <c r="K11" s="570"/>
      <c r="L11" s="570"/>
      <c r="M11" s="570"/>
    </row>
    <row r="12" spans="1:13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44">
        <v>3</v>
      </c>
      <c r="I12" s="586">
        <v>4</v>
      </c>
      <c r="J12" s="587" t="s">
        <v>152</v>
      </c>
      <c r="K12" s="604"/>
      <c r="L12" s="604"/>
      <c r="M12" s="604"/>
    </row>
    <row r="13" spans="1:13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573">
        <v>2479010.5300000003</v>
      </c>
      <c r="I13" s="588">
        <v>339730</v>
      </c>
      <c r="J13" s="436">
        <f>H13+I13</f>
        <v>2818740.5300000003</v>
      </c>
      <c r="K13" s="571"/>
      <c r="L13" s="571"/>
      <c r="M13" s="571"/>
    </row>
    <row r="14" spans="1:13" s="262" customFormat="1" ht="15.75" thickBot="1" x14ac:dyDescent="0.3">
      <c r="B14" s="12"/>
      <c r="C14" s="12"/>
      <c r="D14" s="12"/>
      <c r="E14" s="445"/>
      <c r="F14" s="589" t="s">
        <v>66</v>
      </c>
      <c r="G14" s="325">
        <v>39</v>
      </c>
      <c r="H14" s="574">
        <v>2479010.5300000003</v>
      </c>
      <c r="I14" s="590">
        <f>SUM(I13)</f>
        <v>339730</v>
      </c>
      <c r="J14" s="424">
        <f>SUM(J13)</f>
        <v>2818740.5300000003</v>
      </c>
      <c r="K14" s="572"/>
      <c r="L14" s="572"/>
      <c r="M14" s="572"/>
    </row>
    <row r="15" spans="1:13" x14ac:dyDescent="0.25">
      <c r="E15" s="321" t="s">
        <v>10</v>
      </c>
      <c r="F15" s="312" t="s">
        <v>11</v>
      </c>
      <c r="G15" s="322"/>
      <c r="H15" s="573">
        <v>5660296.4500000002</v>
      </c>
      <c r="I15" s="585">
        <v>624559.32999999996</v>
      </c>
      <c r="J15" s="438">
        <f>H15+I15</f>
        <v>6284855.7800000003</v>
      </c>
      <c r="K15" s="571"/>
      <c r="L15" s="571"/>
      <c r="M15" s="571"/>
    </row>
    <row r="16" spans="1:13" ht="15.75" thickBot="1" x14ac:dyDescent="0.3">
      <c r="E16" s="276"/>
      <c r="F16" s="277" t="s">
        <v>9</v>
      </c>
      <c r="G16" s="10">
        <v>82</v>
      </c>
      <c r="H16" s="575">
        <v>5660296.4500000002</v>
      </c>
      <c r="I16" s="591">
        <f>SUM(I15)</f>
        <v>624559.32999999996</v>
      </c>
      <c r="J16" s="426">
        <f>SUM(J15)</f>
        <v>6284855.7800000003</v>
      </c>
      <c r="K16" s="572"/>
      <c r="L16" s="572"/>
      <c r="M16" s="572"/>
    </row>
    <row r="17" spans="2:13" ht="15.75" thickBot="1" x14ac:dyDescent="0.3">
      <c r="E17" s="445">
        <v>3</v>
      </c>
      <c r="F17" s="328" t="s">
        <v>65</v>
      </c>
      <c r="G17" s="311"/>
      <c r="H17" s="576">
        <v>5106583.0199999996</v>
      </c>
      <c r="I17" s="592">
        <f xml:space="preserve"> 578958+752.67</f>
        <v>579710.67000000004</v>
      </c>
      <c r="J17" s="428">
        <f>H17+I17</f>
        <v>5686293.6899999995</v>
      </c>
      <c r="K17" s="571"/>
      <c r="L17" s="571"/>
      <c r="M17" s="571"/>
    </row>
    <row r="18" spans="2:13" ht="15.75" thickBot="1" x14ac:dyDescent="0.3">
      <c r="E18" s="441"/>
      <c r="F18" s="326" t="s">
        <v>9</v>
      </c>
      <c r="G18" s="327">
        <v>78</v>
      </c>
      <c r="H18" s="595">
        <v>5106583.0199999996</v>
      </c>
      <c r="I18" s="596">
        <f>SUM(I17)</f>
        <v>579710.67000000004</v>
      </c>
      <c r="J18" s="603">
        <f>SUM(J17)</f>
        <v>5686293.6899999995</v>
      </c>
      <c r="K18" s="572"/>
      <c r="L18" s="572"/>
      <c r="M18" s="572"/>
    </row>
    <row r="19" spans="2:13" s="280" customFormat="1" ht="15.75" x14ac:dyDescent="0.25">
      <c r="E19" s="593"/>
      <c r="F19" s="597" t="s">
        <v>67</v>
      </c>
      <c r="G19" s="285">
        <f>G16+G18</f>
        <v>160</v>
      </c>
      <c r="H19" s="598">
        <v>10766879.469999999</v>
      </c>
      <c r="I19" s="599">
        <f>I16+I18</f>
        <v>1204270</v>
      </c>
      <c r="J19" s="600">
        <f>J16+J18</f>
        <v>11971149.469999999</v>
      </c>
      <c r="K19" s="572"/>
      <c r="L19" s="572"/>
      <c r="M19" s="572"/>
    </row>
    <row r="20" spans="2:13" s="281" customFormat="1" ht="16.5" thickBot="1" x14ac:dyDescent="0.3">
      <c r="B20" s="282"/>
      <c r="C20" s="282"/>
      <c r="D20" s="282"/>
      <c r="E20" s="594"/>
      <c r="F20" s="601" t="s">
        <v>13</v>
      </c>
      <c r="G20" s="289">
        <f>G14+G19</f>
        <v>199</v>
      </c>
      <c r="H20" s="577">
        <v>13245890</v>
      </c>
      <c r="I20" s="602">
        <f>I14+I19</f>
        <v>1544000</v>
      </c>
      <c r="J20" s="434">
        <f>J14+J19</f>
        <v>14789890</v>
      </c>
      <c r="K20" s="572"/>
      <c r="L20" s="572"/>
      <c r="M20" s="572"/>
    </row>
    <row r="21" spans="2:13" x14ac:dyDescent="0.25">
      <c r="E21" s="419"/>
      <c r="F21" s="419"/>
      <c r="G21" s="419"/>
      <c r="H21" s="422"/>
      <c r="I21" s="422"/>
      <c r="J21" s="422"/>
      <c r="K21" s="422"/>
      <c r="L21" s="422"/>
      <c r="M21" s="422"/>
    </row>
    <row r="22" spans="2:13" x14ac:dyDescent="0.25">
      <c r="G22" s="119"/>
      <c r="H22" s="9"/>
      <c r="I22" s="9"/>
      <c r="J22" s="9"/>
      <c r="K22" s="9"/>
      <c r="L22" s="9"/>
      <c r="M22" s="9"/>
    </row>
    <row r="23" spans="2:13" x14ac:dyDescent="0.25">
      <c r="H23" s="9"/>
      <c r="J23" s="9"/>
      <c r="K23" s="9"/>
      <c r="L23" s="9"/>
      <c r="M23" s="9"/>
    </row>
    <row r="24" spans="2:13" x14ac:dyDescent="0.25">
      <c r="E24"/>
      <c r="F24" s="48" t="s">
        <v>45</v>
      </c>
    </row>
    <row r="25" spans="2:13" x14ac:dyDescent="0.25">
      <c r="E25"/>
      <c r="F25" s="646" t="s">
        <v>48</v>
      </c>
      <c r="H25" s="9"/>
      <c r="I25" s="9"/>
      <c r="J25" s="578" t="s">
        <v>73</v>
      </c>
      <c r="K25" s="9"/>
      <c r="L25" s="9"/>
      <c r="M25" s="9"/>
    </row>
    <row r="26" spans="2:13" x14ac:dyDescent="0.25">
      <c r="H26" s="9"/>
      <c r="J26" s="579" t="s">
        <v>74</v>
      </c>
      <c r="K26" s="578"/>
      <c r="L26" s="578"/>
      <c r="M26" s="578"/>
    </row>
    <row r="27" spans="2:13" x14ac:dyDescent="0.25">
      <c r="J27" s="579"/>
      <c r="K27" s="579"/>
      <c r="L27" s="579"/>
      <c r="M27" s="579"/>
    </row>
  </sheetData>
  <mergeCells count="3">
    <mergeCell ref="B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C1" workbookViewId="0">
      <selection activeCell="N1" sqref="N1:R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8.42578125" style="649" customWidth="1"/>
    <col min="6" max="6" width="30.85546875" style="649" customWidth="1"/>
    <col min="7" max="7" width="16.85546875" style="649" customWidth="1"/>
    <col min="8" max="8" width="18.5703125" customWidth="1"/>
    <col min="9" max="9" width="18.42578125" customWidth="1"/>
    <col min="10" max="10" width="20" customWidth="1"/>
    <col min="11" max="13" width="14.7109375" customWidth="1"/>
    <col min="237" max="237" width="5" customWidth="1"/>
    <col min="238" max="238" width="29.85546875" customWidth="1"/>
    <col min="239" max="239" width="8.5703125" customWidth="1"/>
    <col min="240" max="240" width="11.85546875" customWidth="1"/>
    <col min="241" max="241" width="13" customWidth="1"/>
    <col min="242" max="242" width="11.7109375" customWidth="1"/>
    <col min="243" max="243" width="11.7109375" bestFit="1" customWidth="1"/>
    <col min="244" max="244" width="11.7109375" customWidth="1"/>
    <col min="245" max="245" width="12.5703125" customWidth="1"/>
    <col min="246" max="246" width="11.7109375" bestFit="1" customWidth="1"/>
    <col min="493" max="493" width="5" customWidth="1"/>
    <col min="494" max="494" width="29.85546875" customWidth="1"/>
    <col min="495" max="495" width="8.5703125" customWidth="1"/>
    <col min="496" max="496" width="11.85546875" customWidth="1"/>
    <col min="497" max="497" width="13" customWidth="1"/>
    <col min="498" max="498" width="11.7109375" customWidth="1"/>
    <col min="499" max="499" width="11.7109375" bestFit="1" customWidth="1"/>
    <col min="500" max="500" width="11.7109375" customWidth="1"/>
    <col min="501" max="501" width="12.5703125" customWidth="1"/>
    <col min="502" max="502" width="11.7109375" bestFit="1" customWidth="1"/>
    <col min="749" max="749" width="5" customWidth="1"/>
    <col min="750" max="750" width="29.85546875" customWidth="1"/>
    <col min="751" max="751" width="8.5703125" customWidth="1"/>
    <col min="752" max="752" width="11.85546875" customWidth="1"/>
    <col min="753" max="753" width="13" customWidth="1"/>
    <col min="754" max="754" width="11.7109375" customWidth="1"/>
    <col min="755" max="755" width="11.7109375" bestFit="1" customWidth="1"/>
    <col min="756" max="756" width="11.7109375" customWidth="1"/>
    <col min="757" max="757" width="12.5703125" customWidth="1"/>
    <col min="758" max="758" width="11.7109375" bestFit="1" customWidth="1"/>
    <col min="1005" max="1005" width="5" customWidth="1"/>
    <col min="1006" max="1006" width="29.85546875" customWidth="1"/>
    <col min="1007" max="1007" width="8.5703125" customWidth="1"/>
    <col min="1008" max="1008" width="11.85546875" customWidth="1"/>
    <col min="1009" max="1009" width="13" customWidth="1"/>
    <col min="1010" max="1010" width="11.7109375" customWidth="1"/>
    <col min="1011" max="1011" width="11.7109375" bestFit="1" customWidth="1"/>
    <col min="1012" max="1012" width="11.7109375" customWidth="1"/>
    <col min="1013" max="1013" width="12.5703125" customWidth="1"/>
    <col min="1014" max="1014" width="11.7109375" bestFit="1" customWidth="1"/>
    <col min="1261" max="1261" width="5" customWidth="1"/>
    <col min="1262" max="1262" width="29.85546875" customWidth="1"/>
    <col min="1263" max="1263" width="8.5703125" customWidth="1"/>
    <col min="1264" max="1264" width="11.85546875" customWidth="1"/>
    <col min="1265" max="1265" width="13" customWidth="1"/>
    <col min="1266" max="1266" width="11.7109375" customWidth="1"/>
    <col min="1267" max="1267" width="11.7109375" bestFit="1" customWidth="1"/>
    <col min="1268" max="1268" width="11.7109375" customWidth="1"/>
    <col min="1269" max="1269" width="12.5703125" customWidth="1"/>
    <col min="1270" max="1270" width="11.7109375" bestFit="1" customWidth="1"/>
    <col min="1517" max="1517" width="5" customWidth="1"/>
    <col min="1518" max="1518" width="29.85546875" customWidth="1"/>
    <col min="1519" max="1519" width="8.5703125" customWidth="1"/>
    <col min="1520" max="1520" width="11.85546875" customWidth="1"/>
    <col min="1521" max="1521" width="13" customWidth="1"/>
    <col min="1522" max="1522" width="11.7109375" customWidth="1"/>
    <col min="1523" max="1523" width="11.7109375" bestFit="1" customWidth="1"/>
    <col min="1524" max="1524" width="11.7109375" customWidth="1"/>
    <col min="1525" max="1525" width="12.5703125" customWidth="1"/>
    <col min="1526" max="1526" width="11.7109375" bestFit="1" customWidth="1"/>
    <col min="1773" max="1773" width="5" customWidth="1"/>
    <col min="1774" max="1774" width="29.85546875" customWidth="1"/>
    <col min="1775" max="1775" width="8.5703125" customWidth="1"/>
    <col min="1776" max="1776" width="11.85546875" customWidth="1"/>
    <col min="1777" max="1777" width="13" customWidth="1"/>
    <col min="1778" max="1778" width="11.7109375" customWidth="1"/>
    <col min="1779" max="1779" width="11.7109375" bestFit="1" customWidth="1"/>
    <col min="1780" max="1780" width="11.7109375" customWidth="1"/>
    <col min="1781" max="1781" width="12.5703125" customWidth="1"/>
    <col min="1782" max="1782" width="11.7109375" bestFit="1" customWidth="1"/>
    <col min="2029" max="2029" width="5" customWidth="1"/>
    <col min="2030" max="2030" width="29.85546875" customWidth="1"/>
    <col min="2031" max="2031" width="8.5703125" customWidth="1"/>
    <col min="2032" max="2032" width="11.85546875" customWidth="1"/>
    <col min="2033" max="2033" width="13" customWidth="1"/>
    <col min="2034" max="2034" width="11.7109375" customWidth="1"/>
    <col min="2035" max="2035" width="11.7109375" bestFit="1" customWidth="1"/>
    <col min="2036" max="2036" width="11.7109375" customWidth="1"/>
    <col min="2037" max="2037" width="12.5703125" customWidth="1"/>
    <col min="2038" max="2038" width="11.7109375" bestFit="1" customWidth="1"/>
    <col min="2285" max="2285" width="5" customWidth="1"/>
    <col min="2286" max="2286" width="29.85546875" customWidth="1"/>
    <col min="2287" max="2287" width="8.5703125" customWidth="1"/>
    <col min="2288" max="2288" width="11.85546875" customWidth="1"/>
    <col min="2289" max="2289" width="13" customWidth="1"/>
    <col min="2290" max="2290" width="11.7109375" customWidth="1"/>
    <col min="2291" max="2291" width="11.7109375" bestFit="1" customWidth="1"/>
    <col min="2292" max="2292" width="11.7109375" customWidth="1"/>
    <col min="2293" max="2293" width="12.5703125" customWidth="1"/>
    <col min="2294" max="2294" width="11.7109375" bestFit="1" customWidth="1"/>
    <col min="2541" max="2541" width="5" customWidth="1"/>
    <col min="2542" max="2542" width="29.85546875" customWidth="1"/>
    <col min="2543" max="2543" width="8.5703125" customWidth="1"/>
    <col min="2544" max="2544" width="11.85546875" customWidth="1"/>
    <col min="2545" max="2545" width="13" customWidth="1"/>
    <col min="2546" max="2546" width="11.7109375" customWidth="1"/>
    <col min="2547" max="2547" width="11.7109375" bestFit="1" customWidth="1"/>
    <col min="2548" max="2548" width="11.7109375" customWidth="1"/>
    <col min="2549" max="2549" width="12.5703125" customWidth="1"/>
    <col min="2550" max="2550" width="11.7109375" bestFit="1" customWidth="1"/>
    <col min="2797" max="2797" width="5" customWidth="1"/>
    <col min="2798" max="2798" width="29.85546875" customWidth="1"/>
    <col min="2799" max="2799" width="8.5703125" customWidth="1"/>
    <col min="2800" max="2800" width="11.85546875" customWidth="1"/>
    <col min="2801" max="2801" width="13" customWidth="1"/>
    <col min="2802" max="2802" width="11.7109375" customWidth="1"/>
    <col min="2803" max="2803" width="11.7109375" bestFit="1" customWidth="1"/>
    <col min="2804" max="2804" width="11.7109375" customWidth="1"/>
    <col min="2805" max="2805" width="12.5703125" customWidth="1"/>
    <col min="2806" max="2806" width="11.7109375" bestFit="1" customWidth="1"/>
    <col min="3053" max="3053" width="5" customWidth="1"/>
    <col min="3054" max="3054" width="29.85546875" customWidth="1"/>
    <col min="3055" max="3055" width="8.5703125" customWidth="1"/>
    <col min="3056" max="3056" width="11.85546875" customWidth="1"/>
    <col min="3057" max="3057" width="13" customWidth="1"/>
    <col min="3058" max="3058" width="11.7109375" customWidth="1"/>
    <col min="3059" max="3059" width="11.7109375" bestFit="1" customWidth="1"/>
    <col min="3060" max="3060" width="11.7109375" customWidth="1"/>
    <col min="3061" max="3061" width="12.5703125" customWidth="1"/>
    <col min="3062" max="3062" width="11.7109375" bestFit="1" customWidth="1"/>
    <col min="3309" max="3309" width="5" customWidth="1"/>
    <col min="3310" max="3310" width="29.85546875" customWidth="1"/>
    <col min="3311" max="3311" width="8.5703125" customWidth="1"/>
    <col min="3312" max="3312" width="11.85546875" customWidth="1"/>
    <col min="3313" max="3313" width="13" customWidth="1"/>
    <col min="3314" max="3314" width="11.7109375" customWidth="1"/>
    <col min="3315" max="3315" width="11.7109375" bestFit="1" customWidth="1"/>
    <col min="3316" max="3316" width="11.7109375" customWidth="1"/>
    <col min="3317" max="3317" width="12.5703125" customWidth="1"/>
    <col min="3318" max="3318" width="11.7109375" bestFit="1" customWidth="1"/>
    <col min="3565" max="3565" width="5" customWidth="1"/>
    <col min="3566" max="3566" width="29.85546875" customWidth="1"/>
    <col min="3567" max="3567" width="8.5703125" customWidth="1"/>
    <col min="3568" max="3568" width="11.85546875" customWidth="1"/>
    <col min="3569" max="3569" width="13" customWidth="1"/>
    <col min="3570" max="3570" width="11.7109375" customWidth="1"/>
    <col min="3571" max="3571" width="11.7109375" bestFit="1" customWidth="1"/>
    <col min="3572" max="3572" width="11.7109375" customWidth="1"/>
    <col min="3573" max="3573" width="12.5703125" customWidth="1"/>
    <col min="3574" max="3574" width="11.7109375" bestFit="1" customWidth="1"/>
    <col min="3821" max="3821" width="5" customWidth="1"/>
    <col min="3822" max="3822" width="29.85546875" customWidth="1"/>
    <col min="3823" max="3823" width="8.5703125" customWidth="1"/>
    <col min="3824" max="3824" width="11.85546875" customWidth="1"/>
    <col min="3825" max="3825" width="13" customWidth="1"/>
    <col min="3826" max="3826" width="11.7109375" customWidth="1"/>
    <col min="3827" max="3827" width="11.7109375" bestFit="1" customWidth="1"/>
    <col min="3828" max="3828" width="11.7109375" customWidth="1"/>
    <col min="3829" max="3829" width="12.5703125" customWidth="1"/>
    <col min="3830" max="3830" width="11.7109375" bestFit="1" customWidth="1"/>
    <col min="4077" max="4077" width="5" customWidth="1"/>
    <col min="4078" max="4078" width="29.85546875" customWidth="1"/>
    <col min="4079" max="4079" width="8.5703125" customWidth="1"/>
    <col min="4080" max="4080" width="11.85546875" customWidth="1"/>
    <col min="4081" max="4081" width="13" customWidth="1"/>
    <col min="4082" max="4082" width="11.7109375" customWidth="1"/>
    <col min="4083" max="4083" width="11.7109375" bestFit="1" customWidth="1"/>
    <col min="4084" max="4084" width="11.7109375" customWidth="1"/>
    <col min="4085" max="4085" width="12.5703125" customWidth="1"/>
    <col min="4086" max="4086" width="11.7109375" bestFit="1" customWidth="1"/>
    <col min="4333" max="4333" width="5" customWidth="1"/>
    <col min="4334" max="4334" width="29.85546875" customWidth="1"/>
    <col min="4335" max="4335" width="8.5703125" customWidth="1"/>
    <col min="4336" max="4336" width="11.85546875" customWidth="1"/>
    <col min="4337" max="4337" width="13" customWidth="1"/>
    <col min="4338" max="4338" width="11.7109375" customWidth="1"/>
    <col min="4339" max="4339" width="11.7109375" bestFit="1" customWidth="1"/>
    <col min="4340" max="4340" width="11.7109375" customWidth="1"/>
    <col min="4341" max="4341" width="12.5703125" customWidth="1"/>
    <col min="4342" max="4342" width="11.7109375" bestFit="1" customWidth="1"/>
    <col min="4589" max="4589" width="5" customWidth="1"/>
    <col min="4590" max="4590" width="29.85546875" customWidth="1"/>
    <col min="4591" max="4591" width="8.5703125" customWidth="1"/>
    <col min="4592" max="4592" width="11.85546875" customWidth="1"/>
    <col min="4593" max="4593" width="13" customWidth="1"/>
    <col min="4594" max="4594" width="11.7109375" customWidth="1"/>
    <col min="4595" max="4595" width="11.7109375" bestFit="1" customWidth="1"/>
    <col min="4596" max="4596" width="11.7109375" customWidth="1"/>
    <col min="4597" max="4597" width="12.5703125" customWidth="1"/>
    <col min="4598" max="4598" width="11.7109375" bestFit="1" customWidth="1"/>
    <col min="4845" max="4845" width="5" customWidth="1"/>
    <col min="4846" max="4846" width="29.85546875" customWidth="1"/>
    <col min="4847" max="4847" width="8.5703125" customWidth="1"/>
    <col min="4848" max="4848" width="11.85546875" customWidth="1"/>
    <col min="4849" max="4849" width="13" customWidth="1"/>
    <col min="4850" max="4850" width="11.7109375" customWidth="1"/>
    <col min="4851" max="4851" width="11.7109375" bestFit="1" customWidth="1"/>
    <col min="4852" max="4852" width="11.7109375" customWidth="1"/>
    <col min="4853" max="4853" width="12.5703125" customWidth="1"/>
    <col min="4854" max="4854" width="11.7109375" bestFit="1" customWidth="1"/>
    <col min="5101" max="5101" width="5" customWidth="1"/>
    <col min="5102" max="5102" width="29.85546875" customWidth="1"/>
    <col min="5103" max="5103" width="8.5703125" customWidth="1"/>
    <col min="5104" max="5104" width="11.85546875" customWidth="1"/>
    <col min="5105" max="5105" width="13" customWidth="1"/>
    <col min="5106" max="5106" width="11.7109375" customWidth="1"/>
    <col min="5107" max="5107" width="11.7109375" bestFit="1" customWidth="1"/>
    <col min="5108" max="5108" width="11.7109375" customWidth="1"/>
    <col min="5109" max="5109" width="12.5703125" customWidth="1"/>
    <col min="5110" max="5110" width="11.7109375" bestFit="1" customWidth="1"/>
    <col min="5357" max="5357" width="5" customWidth="1"/>
    <col min="5358" max="5358" width="29.85546875" customWidth="1"/>
    <col min="5359" max="5359" width="8.5703125" customWidth="1"/>
    <col min="5360" max="5360" width="11.85546875" customWidth="1"/>
    <col min="5361" max="5361" width="13" customWidth="1"/>
    <col min="5362" max="5362" width="11.7109375" customWidth="1"/>
    <col min="5363" max="5363" width="11.7109375" bestFit="1" customWidth="1"/>
    <col min="5364" max="5364" width="11.7109375" customWidth="1"/>
    <col min="5365" max="5365" width="12.5703125" customWidth="1"/>
    <col min="5366" max="5366" width="11.7109375" bestFit="1" customWidth="1"/>
    <col min="5613" max="5613" width="5" customWidth="1"/>
    <col min="5614" max="5614" width="29.85546875" customWidth="1"/>
    <col min="5615" max="5615" width="8.5703125" customWidth="1"/>
    <col min="5616" max="5616" width="11.85546875" customWidth="1"/>
    <col min="5617" max="5617" width="13" customWidth="1"/>
    <col min="5618" max="5618" width="11.7109375" customWidth="1"/>
    <col min="5619" max="5619" width="11.7109375" bestFit="1" customWidth="1"/>
    <col min="5620" max="5620" width="11.7109375" customWidth="1"/>
    <col min="5621" max="5621" width="12.5703125" customWidth="1"/>
    <col min="5622" max="5622" width="11.7109375" bestFit="1" customWidth="1"/>
    <col min="5869" max="5869" width="5" customWidth="1"/>
    <col min="5870" max="5870" width="29.85546875" customWidth="1"/>
    <col min="5871" max="5871" width="8.5703125" customWidth="1"/>
    <col min="5872" max="5872" width="11.85546875" customWidth="1"/>
    <col min="5873" max="5873" width="13" customWidth="1"/>
    <col min="5874" max="5874" width="11.7109375" customWidth="1"/>
    <col min="5875" max="5875" width="11.7109375" bestFit="1" customWidth="1"/>
    <col min="5876" max="5876" width="11.7109375" customWidth="1"/>
    <col min="5877" max="5877" width="12.5703125" customWidth="1"/>
    <col min="5878" max="5878" width="11.7109375" bestFit="1" customWidth="1"/>
    <col min="6125" max="6125" width="5" customWidth="1"/>
    <col min="6126" max="6126" width="29.85546875" customWidth="1"/>
    <col min="6127" max="6127" width="8.5703125" customWidth="1"/>
    <col min="6128" max="6128" width="11.85546875" customWidth="1"/>
    <col min="6129" max="6129" width="13" customWidth="1"/>
    <col min="6130" max="6130" width="11.7109375" customWidth="1"/>
    <col min="6131" max="6131" width="11.7109375" bestFit="1" customWidth="1"/>
    <col min="6132" max="6132" width="11.7109375" customWidth="1"/>
    <col min="6133" max="6133" width="12.5703125" customWidth="1"/>
    <col min="6134" max="6134" width="11.7109375" bestFit="1" customWidth="1"/>
    <col min="6381" max="6381" width="5" customWidth="1"/>
    <col min="6382" max="6382" width="29.85546875" customWidth="1"/>
    <col min="6383" max="6383" width="8.5703125" customWidth="1"/>
    <col min="6384" max="6384" width="11.85546875" customWidth="1"/>
    <col min="6385" max="6385" width="13" customWidth="1"/>
    <col min="6386" max="6386" width="11.7109375" customWidth="1"/>
    <col min="6387" max="6387" width="11.7109375" bestFit="1" customWidth="1"/>
    <col min="6388" max="6388" width="11.7109375" customWidth="1"/>
    <col min="6389" max="6389" width="12.5703125" customWidth="1"/>
    <col min="6390" max="6390" width="11.7109375" bestFit="1" customWidth="1"/>
    <col min="6637" max="6637" width="5" customWidth="1"/>
    <col min="6638" max="6638" width="29.85546875" customWidth="1"/>
    <col min="6639" max="6639" width="8.5703125" customWidth="1"/>
    <col min="6640" max="6640" width="11.85546875" customWidth="1"/>
    <col min="6641" max="6641" width="13" customWidth="1"/>
    <col min="6642" max="6642" width="11.7109375" customWidth="1"/>
    <col min="6643" max="6643" width="11.7109375" bestFit="1" customWidth="1"/>
    <col min="6644" max="6644" width="11.7109375" customWidth="1"/>
    <col min="6645" max="6645" width="12.5703125" customWidth="1"/>
    <col min="6646" max="6646" width="11.7109375" bestFit="1" customWidth="1"/>
    <col min="6893" max="6893" width="5" customWidth="1"/>
    <col min="6894" max="6894" width="29.85546875" customWidth="1"/>
    <col min="6895" max="6895" width="8.5703125" customWidth="1"/>
    <col min="6896" max="6896" width="11.85546875" customWidth="1"/>
    <col min="6897" max="6897" width="13" customWidth="1"/>
    <col min="6898" max="6898" width="11.7109375" customWidth="1"/>
    <col min="6899" max="6899" width="11.7109375" bestFit="1" customWidth="1"/>
    <col min="6900" max="6900" width="11.7109375" customWidth="1"/>
    <col min="6901" max="6901" width="12.5703125" customWidth="1"/>
    <col min="6902" max="6902" width="11.7109375" bestFit="1" customWidth="1"/>
    <col min="7149" max="7149" width="5" customWidth="1"/>
    <col min="7150" max="7150" width="29.85546875" customWidth="1"/>
    <col min="7151" max="7151" width="8.5703125" customWidth="1"/>
    <col min="7152" max="7152" width="11.85546875" customWidth="1"/>
    <col min="7153" max="7153" width="13" customWidth="1"/>
    <col min="7154" max="7154" width="11.7109375" customWidth="1"/>
    <col min="7155" max="7155" width="11.7109375" bestFit="1" customWidth="1"/>
    <col min="7156" max="7156" width="11.7109375" customWidth="1"/>
    <col min="7157" max="7157" width="12.5703125" customWidth="1"/>
    <col min="7158" max="7158" width="11.7109375" bestFit="1" customWidth="1"/>
    <col min="7405" max="7405" width="5" customWidth="1"/>
    <col min="7406" max="7406" width="29.85546875" customWidth="1"/>
    <col min="7407" max="7407" width="8.5703125" customWidth="1"/>
    <col min="7408" max="7408" width="11.85546875" customWidth="1"/>
    <col min="7409" max="7409" width="13" customWidth="1"/>
    <col min="7410" max="7410" width="11.7109375" customWidth="1"/>
    <col min="7411" max="7411" width="11.7109375" bestFit="1" customWidth="1"/>
    <col min="7412" max="7412" width="11.7109375" customWidth="1"/>
    <col min="7413" max="7413" width="12.5703125" customWidth="1"/>
    <col min="7414" max="7414" width="11.7109375" bestFit="1" customWidth="1"/>
    <col min="7661" max="7661" width="5" customWidth="1"/>
    <col min="7662" max="7662" width="29.85546875" customWidth="1"/>
    <col min="7663" max="7663" width="8.5703125" customWidth="1"/>
    <col min="7664" max="7664" width="11.85546875" customWidth="1"/>
    <col min="7665" max="7665" width="13" customWidth="1"/>
    <col min="7666" max="7666" width="11.7109375" customWidth="1"/>
    <col min="7667" max="7667" width="11.7109375" bestFit="1" customWidth="1"/>
    <col min="7668" max="7668" width="11.7109375" customWidth="1"/>
    <col min="7669" max="7669" width="12.5703125" customWidth="1"/>
    <col min="7670" max="7670" width="11.7109375" bestFit="1" customWidth="1"/>
    <col min="7917" max="7917" width="5" customWidth="1"/>
    <col min="7918" max="7918" width="29.85546875" customWidth="1"/>
    <col min="7919" max="7919" width="8.5703125" customWidth="1"/>
    <col min="7920" max="7920" width="11.85546875" customWidth="1"/>
    <col min="7921" max="7921" width="13" customWidth="1"/>
    <col min="7922" max="7922" width="11.7109375" customWidth="1"/>
    <col min="7923" max="7923" width="11.7109375" bestFit="1" customWidth="1"/>
    <col min="7924" max="7924" width="11.7109375" customWidth="1"/>
    <col min="7925" max="7925" width="12.5703125" customWidth="1"/>
    <col min="7926" max="7926" width="11.7109375" bestFit="1" customWidth="1"/>
    <col min="8173" max="8173" width="5" customWidth="1"/>
    <col min="8174" max="8174" width="29.85546875" customWidth="1"/>
    <col min="8175" max="8175" width="8.5703125" customWidth="1"/>
    <col min="8176" max="8176" width="11.85546875" customWidth="1"/>
    <col min="8177" max="8177" width="13" customWidth="1"/>
    <col min="8178" max="8178" width="11.7109375" customWidth="1"/>
    <col min="8179" max="8179" width="11.7109375" bestFit="1" customWidth="1"/>
    <col min="8180" max="8180" width="11.7109375" customWidth="1"/>
    <col min="8181" max="8181" width="12.5703125" customWidth="1"/>
    <col min="8182" max="8182" width="11.7109375" bestFit="1" customWidth="1"/>
    <col min="8429" max="8429" width="5" customWidth="1"/>
    <col min="8430" max="8430" width="29.85546875" customWidth="1"/>
    <col min="8431" max="8431" width="8.5703125" customWidth="1"/>
    <col min="8432" max="8432" width="11.85546875" customWidth="1"/>
    <col min="8433" max="8433" width="13" customWidth="1"/>
    <col min="8434" max="8434" width="11.7109375" customWidth="1"/>
    <col min="8435" max="8435" width="11.7109375" bestFit="1" customWidth="1"/>
    <col min="8436" max="8436" width="11.7109375" customWidth="1"/>
    <col min="8437" max="8437" width="12.5703125" customWidth="1"/>
    <col min="8438" max="8438" width="11.7109375" bestFit="1" customWidth="1"/>
    <col min="8685" max="8685" width="5" customWidth="1"/>
    <col min="8686" max="8686" width="29.85546875" customWidth="1"/>
    <col min="8687" max="8687" width="8.5703125" customWidth="1"/>
    <col min="8688" max="8688" width="11.85546875" customWidth="1"/>
    <col min="8689" max="8689" width="13" customWidth="1"/>
    <col min="8690" max="8690" width="11.7109375" customWidth="1"/>
    <col min="8691" max="8691" width="11.7109375" bestFit="1" customWidth="1"/>
    <col min="8692" max="8692" width="11.7109375" customWidth="1"/>
    <col min="8693" max="8693" width="12.5703125" customWidth="1"/>
    <col min="8694" max="8694" width="11.7109375" bestFit="1" customWidth="1"/>
    <col min="8941" max="8941" width="5" customWidth="1"/>
    <col min="8942" max="8942" width="29.85546875" customWidth="1"/>
    <col min="8943" max="8943" width="8.5703125" customWidth="1"/>
    <col min="8944" max="8944" width="11.85546875" customWidth="1"/>
    <col min="8945" max="8945" width="13" customWidth="1"/>
    <col min="8946" max="8946" width="11.7109375" customWidth="1"/>
    <col min="8947" max="8947" width="11.7109375" bestFit="1" customWidth="1"/>
    <col min="8948" max="8948" width="11.7109375" customWidth="1"/>
    <col min="8949" max="8949" width="12.5703125" customWidth="1"/>
    <col min="8950" max="8950" width="11.7109375" bestFit="1" customWidth="1"/>
    <col min="9197" max="9197" width="5" customWidth="1"/>
    <col min="9198" max="9198" width="29.85546875" customWidth="1"/>
    <col min="9199" max="9199" width="8.5703125" customWidth="1"/>
    <col min="9200" max="9200" width="11.85546875" customWidth="1"/>
    <col min="9201" max="9201" width="13" customWidth="1"/>
    <col min="9202" max="9202" width="11.7109375" customWidth="1"/>
    <col min="9203" max="9203" width="11.7109375" bestFit="1" customWidth="1"/>
    <col min="9204" max="9204" width="11.7109375" customWidth="1"/>
    <col min="9205" max="9205" width="12.5703125" customWidth="1"/>
    <col min="9206" max="9206" width="11.7109375" bestFit="1" customWidth="1"/>
    <col min="9453" max="9453" width="5" customWidth="1"/>
    <col min="9454" max="9454" width="29.85546875" customWidth="1"/>
    <col min="9455" max="9455" width="8.5703125" customWidth="1"/>
    <col min="9456" max="9456" width="11.85546875" customWidth="1"/>
    <col min="9457" max="9457" width="13" customWidth="1"/>
    <col min="9458" max="9458" width="11.7109375" customWidth="1"/>
    <col min="9459" max="9459" width="11.7109375" bestFit="1" customWidth="1"/>
    <col min="9460" max="9460" width="11.7109375" customWidth="1"/>
    <col min="9461" max="9461" width="12.5703125" customWidth="1"/>
    <col min="9462" max="9462" width="11.7109375" bestFit="1" customWidth="1"/>
    <col min="9709" max="9709" width="5" customWidth="1"/>
    <col min="9710" max="9710" width="29.85546875" customWidth="1"/>
    <col min="9711" max="9711" width="8.5703125" customWidth="1"/>
    <col min="9712" max="9712" width="11.85546875" customWidth="1"/>
    <col min="9713" max="9713" width="13" customWidth="1"/>
    <col min="9714" max="9714" width="11.7109375" customWidth="1"/>
    <col min="9715" max="9715" width="11.7109375" bestFit="1" customWidth="1"/>
    <col min="9716" max="9716" width="11.7109375" customWidth="1"/>
    <col min="9717" max="9717" width="12.5703125" customWidth="1"/>
    <col min="9718" max="9718" width="11.7109375" bestFit="1" customWidth="1"/>
    <col min="9965" max="9965" width="5" customWidth="1"/>
    <col min="9966" max="9966" width="29.85546875" customWidth="1"/>
    <col min="9967" max="9967" width="8.5703125" customWidth="1"/>
    <col min="9968" max="9968" width="11.85546875" customWidth="1"/>
    <col min="9969" max="9969" width="13" customWidth="1"/>
    <col min="9970" max="9970" width="11.7109375" customWidth="1"/>
    <col min="9971" max="9971" width="11.7109375" bestFit="1" customWidth="1"/>
    <col min="9972" max="9972" width="11.7109375" customWidth="1"/>
    <col min="9973" max="9973" width="12.5703125" customWidth="1"/>
    <col min="9974" max="9974" width="11.7109375" bestFit="1" customWidth="1"/>
    <col min="10221" max="10221" width="5" customWidth="1"/>
    <col min="10222" max="10222" width="29.85546875" customWidth="1"/>
    <col min="10223" max="10223" width="8.5703125" customWidth="1"/>
    <col min="10224" max="10224" width="11.85546875" customWidth="1"/>
    <col min="10225" max="10225" width="13" customWidth="1"/>
    <col min="10226" max="10226" width="11.7109375" customWidth="1"/>
    <col min="10227" max="10227" width="11.7109375" bestFit="1" customWidth="1"/>
    <col min="10228" max="10228" width="11.7109375" customWidth="1"/>
    <col min="10229" max="10229" width="12.5703125" customWidth="1"/>
    <col min="10230" max="10230" width="11.7109375" bestFit="1" customWidth="1"/>
    <col min="10477" max="10477" width="5" customWidth="1"/>
    <col min="10478" max="10478" width="29.85546875" customWidth="1"/>
    <col min="10479" max="10479" width="8.5703125" customWidth="1"/>
    <col min="10480" max="10480" width="11.85546875" customWidth="1"/>
    <col min="10481" max="10481" width="13" customWidth="1"/>
    <col min="10482" max="10482" width="11.7109375" customWidth="1"/>
    <col min="10483" max="10483" width="11.7109375" bestFit="1" customWidth="1"/>
    <col min="10484" max="10484" width="11.7109375" customWidth="1"/>
    <col min="10485" max="10485" width="12.5703125" customWidth="1"/>
    <col min="10486" max="10486" width="11.7109375" bestFit="1" customWidth="1"/>
    <col min="10733" max="10733" width="5" customWidth="1"/>
    <col min="10734" max="10734" width="29.85546875" customWidth="1"/>
    <col min="10735" max="10735" width="8.5703125" customWidth="1"/>
    <col min="10736" max="10736" width="11.85546875" customWidth="1"/>
    <col min="10737" max="10737" width="13" customWidth="1"/>
    <col min="10738" max="10738" width="11.7109375" customWidth="1"/>
    <col min="10739" max="10739" width="11.7109375" bestFit="1" customWidth="1"/>
    <col min="10740" max="10740" width="11.7109375" customWidth="1"/>
    <col min="10741" max="10741" width="12.5703125" customWidth="1"/>
    <col min="10742" max="10742" width="11.7109375" bestFit="1" customWidth="1"/>
    <col min="10989" max="10989" width="5" customWidth="1"/>
    <col min="10990" max="10990" width="29.85546875" customWidth="1"/>
    <col min="10991" max="10991" width="8.5703125" customWidth="1"/>
    <col min="10992" max="10992" width="11.85546875" customWidth="1"/>
    <col min="10993" max="10993" width="13" customWidth="1"/>
    <col min="10994" max="10994" width="11.7109375" customWidth="1"/>
    <col min="10995" max="10995" width="11.7109375" bestFit="1" customWidth="1"/>
    <col min="10996" max="10996" width="11.7109375" customWidth="1"/>
    <col min="10997" max="10997" width="12.5703125" customWidth="1"/>
    <col min="10998" max="10998" width="11.7109375" bestFit="1" customWidth="1"/>
    <col min="11245" max="11245" width="5" customWidth="1"/>
    <col min="11246" max="11246" width="29.85546875" customWidth="1"/>
    <col min="11247" max="11247" width="8.5703125" customWidth="1"/>
    <col min="11248" max="11248" width="11.85546875" customWidth="1"/>
    <col min="11249" max="11249" width="13" customWidth="1"/>
    <col min="11250" max="11250" width="11.7109375" customWidth="1"/>
    <col min="11251" max="11251" width="11.7109375" bestFit="1" customWidth="1"/>
    <col min="11252" max="11252" width="11.7109375" customWidth="1"/>
    <col min="11253" max="11253" width="12.5703125" customWidth="1"/>
    <col min="11254" max="11254" width="11.7109375" bestFit="1" customWidth="1"/>
    <col min="11501" max="11501" width="5" customWidth="1"/>
    <col min="11502" max="11502" width="29.85546875" customWidth="1"/>
    <col min="11503" max="11503" width="8.5703125" customWidth="1"/>
    <col min="11504" max="11504" width="11.85546875" customWidth="1"/>
    <col min="11505" max="11505" width="13" customWidth="1"/>
    <col min="11506" max="11506" width="11.7109375" customWidth="1"/>
    <col min="11507" max="11507" width="11.7109375" bestFit="1" customWidth="1"/>
    <col min="11508" max="11508" width="11.7109375" customWidth="1"/>
    <col min="11509" max="11509" width="12.5703125" customWidth="1"/>
    <col min="11510" max="11510" width="11.7109375" bestFit="1" customWidth="1"/>
    <col min="11757" max="11757" width="5" customWidth="1"/>
    <col min="11758" max="11758" width="29.85546875" customWidth="1"/>
    <col min="11759" max="11759" width="8.5703125" customWidth="1"/>
    <col min="11760" max="11760" width="11.85546875" customWidth="1"/>
    <col min="11761" max="11761" width="13" customWidth="1"/>
    <col min="11762" max="11762" width="11.7109375" customWidth="1"/>
    <col min="11763" max="11763" width="11.7109375" bestFit="1" customWidth="1"/>
    <col min="11764" max="11764" width="11.7109375" customWidth="1"/>
    <col min="11765" max="11765" width="12.5703125" customWidth="1"/>
    <col min="11766" max="11766" width="11.7109375" bestFit="1" customWidth="1"/>
    <col min="12013" max="12013" width="5" customWidth="1"/>
    <col min="12014" max="12014" width="29.85546875" customWidth="1"/>
    <col min="12015" max="12015" width="8.5703125" customWidth="1"/>
    <col min="12016" max="12016" width="11.85546875" customWidth="1"/>
    <col min="12017" max="12017" width="13" customWidth="1"/>
    <col min="12018" max="12018" width="11.7109375" customWidth="1"/>
    <col min="12019" max="12019" width="11.7109375" bestFit="1" customWidth="1"/>
    <col min="12020" max="12020" width="11.7109375" customWidth="1"/>
    <col min="12021" max="12021" width="12.5703125" customWidth="1"/>
    <col min="12022" max="12022" width="11.7109375" bestFit="1" customWidth="1"/>
    <col min="12269" max="12269" width="5" customWidth="1"/>
    <col min="12270" max="12270" width="29.85546875" customWidth="1"/>
    <col min="12271" max="12271" width="8.5703125" customWidth="1"/>
    <col min="12272" max="12272" width="11.85546875" customWidth="1"/>
    <col min="12273" max="12273" width="13" customWidth="1"/>
    <col min="12274" max="12274" width="11.7109375" customWidth="1"/>
    <col min="12275" max="12275" width="11.7109375" bestFit="1" customWidth="1"/>
    <col min="12276" max="12276" width="11.7109375" customWidth="1"/>
    <col min="12277" max="12277" width="12.5703125" customWidth="1"/>
    <col min="12278" max="12278" width="11.7109375" bestFit="1" customWidth="1"/>
    <col min="12525" max="12525" width="5" customWidth="1"/>
    <col min="12526" max="12526" width="29.85546875" customWidth="1"/>
    <col min="12527" max="12527" width="8.5703125" customWidth="1"/>
    <col min="12528" max="12528" width="11.85546875" customWidth="1"/>
    <col min="12529" max="12529" width="13" customWidth="1"/>
    <col min="12530" max="12530" width="11.7109375" customWidth="1"/>
    <col min="12531" max="12531" width="11.7109375" bestFit="1" customWidth="1"/>
    <col min="12532" max="12532" width="11.7109375" customWidth="1"/>
    <col min="12533" max="12533" width="12.5703125" customWidth="1"/>
    <col min="12534" max="12534" width="11.7109375" bestFit="1" customWidth="1"/>
    <col min="12781" max="12781" width="5" customWidth="1"/>
    <col min="12782" max="12782" width="29.85546875" customWidth="1"/>
    <col min="12783" max="12783" width="8.5703125" customWidth="1"/>
    <col min="12784" max="12784" width="11.85546875" customWidth="1"/>
    <col min="12785" max="12785" width="13" customWidth="1"/>
    <col min="12786" max="12786" width="11.7109375" customWidth="1"/>
    <col min="12787" max="12787" width="11.7109375" bestFit="1" customWidth="1"/>
    <col min="12788" max="12788" width="11.7109375" customWidth="1"/>
    <col min="12789" max="12789" width="12.5703125" customWidth="1"/>
    <col min="12790" max="12790" width="11.7109375" bestFit="1" customWidth="1"/>
    <col min="13037" max="13037" width="5" customWidth="1"/>
    <col min="13038" max="13038" width="29.85546875" customWidth="1"/>
    <col min="13039" max="13039" width="8.5703125" customWidth="1"/>
    <col min="13040" max="13040" width="11.85546875" customWidth="1"/>
    <col min="13041" max="13041" width="13" customWidth="1"/>
    <col min="13042" max="13042" width="11.7109375" customWidth="1"/>
    <col min="13043" max="13043" width="11.7109375" bestFit="1" customWidth="1"/>
    <col min="13044" max="13044" width="11.7109375" customWidth="1"/>
    <col min="13045" max="13045" width="12.5703125" customWidth="1"/>
    <col min="13046" max="13046" width="11.7109375" bestFit="1" customWidth="1"/>
    <col min="13293" max="13293" width="5" customWidth="1"/>
    <col min="13294" max="13294" width="29.85546875" customWidth="1"/>
    <col min="13295" max="13295" width="8.5703125" customWidth="1"/>
    <col min="13296" max="13296" width="11.85546875" customWidth="1"/>
    <col min="13297" max="13297" width="13" customWidth="1"/>
    <col min="13298" max="13298" width="11.7109375" customWidth="1"/>
    <col min="13299" max="13299" width="11.7109375" bestFit="1" customWidth="1"/>
    <col min="13300" max="13300" width="11.7109375" customWidth="1"/>
    <col min="13301" max="13301" width="12.5703125" customWidth="1"/>
    <col min="13302" max="13302" width="11.7109375" bestFit="1" customWidth="1"/>
    <col min="13549" max="13549" width="5" customWidth="1"/>
    <col min="13550" max="13550" width="29.85546875" customWidth="1"/>
    <col min="13551" max="13551" width="8.5703125" customWidth="1"/>
    <col min="13552" max="13552" width="11.85546875" customWidth="1"/>
    <col min="13553" max="13553" width="13" customWidth="1"/>
    <col min="13554" max="13554" width="11.7109375" customWidth="1"/>
    <col min="13555" max="13555" width="11.7109375" bestFit="1" customWidth="1"/>
    <col min="13556" max="13556" width="11.7109375" customWidth="1"/>
    <col min="13557" max="13557" width="12.5703125" customWidth="1"/>
    <col min="13558" max="13558" width="11.7109375" bestFit="1" customWidth="1"/>
    <col min="13805" max="13805" width="5" customWidth="1"/>
    <col min="13806" max="13806" width="29.85546875" customWidth="1"/>
    <col min="13807" max="13807" width="8.5703125" customWidth="1"/>
    <col min="13808" max="13808" width="11.85546875" customWidth="1"/>
    <col min="13809" max="13809" width="13" customWidth="1"/>
    <col min="13810" max="13810" width="11.7109375" customWidth="1"/>
    <col min="13811" max="13811" width="11.7109375" bestFit="1" customWidth="1"/>
    <col min="13812" max="13812" width="11.7109375" customWidth="1"/>
    <col min="13813" max="13813" width="12.5703125" customWidth="1"/>
    <col min="13814" max="13814" width="11.7109375" bestFit="1" customWidth="1"/>
    <col min="14061" max="14061" width="5" customWidth="1"/>
    <col min="14062" max="14062" width="29.85546875" customWidth="1"/>
    <col min="14063" max="14063" width="8.5703125" customWidth="1"/>
    <col min="14064" max="14064" width="11.85546875" customWidth="1"/>
    <col min="14065" max="14065" width="13" customWidth="1"/>
    <col min="14066" max="14066" width="11.7109375" customWidth="1"/>
    <col min="14067" max="14067" width="11.7109375" bestFit="1" customWidth="1"/>
    <col min="14068" max="14068" width="11.7109375" customWidth="1"/>
    <col min="14069" max="14069" width="12.5703125" customWidth="1"/>
    <col min="14070" max="14070" width="11.7109375" bestFit="1" customWidth="1"/>
    <col min="14317" max="14317" width="5" customWidth="1"/>
    <col min="14318" max="14318" width="29.85546875" customWidth="1"/>
    <col min="14319" max="14319" width="8.5703125" customWidth="1"/>
    <col min="14320" max="14320" width="11.85546875" customWidth="1"/>
    <col min="14321" max="14321" width="13" customWidth="1"/>
    <col min="14322" max="14322" width="11.7109375" customWidth="1"/>
    <col min="14323" max="14323" width="11.7109375" bestFit="1" customWidth="1"/>
    <col min="14324" max="14324" width="11.7109375" customWidth="1"/>
    <col min="14325" max="14325" width="12.5703125" customWidth="1"/>
    <col min="14326" max="14326" width="11.7109375" bestFit="1" customWidth="1"/>
    <col min="14573" max="14573" width="5" customWidth="1"/>
    <col min="14574" max="14574" width="29.85546875" customWidth="1"/>
    <col min="14575" max="14575" width="8.5703125" customWidth="1"/>
    <col min="14576" max="14576" width="11.85546875" customWidth="1"/>
    <col min="14577" max="14577" width="13" customWidth="1"/>
    <col min="14578" max="14578" width="11.7109375" customWidth="1"/>
    <col min="14579" max="14579" width="11.7109375" bestFit="1" customWidth="1"/>
    <col min="14580" max="14580" width="11.7109375" customWidth="1"/>
    <col min="14581" max="14581" width="12.5703125" customWidth="1"/>
    <col min="14582" max="14582" width="11.7109375" bestFit="1" customWidth="1"/>
    <col min="14829" max="14829" width="5" customWidth="1"/>
    <col min="14830" max="14830" width="29.85546875" customWidth="1"/>
    <col min="14831" max="14831" width="8.5703125" customWidth="1"/>
    <col min="14832" max="14832" width="11.85546875" customWidth="1"/>
    <col min="14833" max="14833" width="13" customWidth="1"/>
    <col min="14834" max="14834" width="11.7109375" customWidth="1"/>
    <col min="14835" max="14835" width="11.7109375" bestFit="1" customWidth="1"/>
    <col min="14836" max="14836" width="11.7109375" customWidth="1"/>
    <col min="14837" max="14837" width="12.5703125" customWidth="1"/>
    <col min="14838" max="14838" width="11.7109375" bestFit="1" customWidth="1"/>
    <col min="15085" max="15085" width="5" customWidth="1"/>
    <col min="15086" max="15086" width="29.85546875" customWidth="1"/>
    <col min="15087" max="15087" width="8.5703125" customWidth="1"/>
    <col min="15088" max="15088" width="11.85546875" customWidth="1"/>
    <col min="15089" max="15089" width="13" customWidth="1"/>
    <col min="15090" max="15090" width="11.7109375" customWidth="1"/>
    <col min="15091" max="15091" width="11.7109375" bestFit="1" customWidth="1"/>
    <col min="15092" max="15092" width="11.7109375" customWidth="1"/>
    <col min="15093" max="15093" width="12.5703125" customWidth="1"/>
    <col min="15094" max="15094" width="11.7109375" bestFit="1" customWidth="1"/>
    <col min="15341" max="15341" width="5" customWidth="1"/>
    <col min="15342" max="15342" width="29.85546875" customWidth="1"/>
    <col min="15343" max="15343" width="8.5703125" customWidth="1"/>
    <col min="15344" max="15344" width="11.85546875" customWidth="1"/>
    <col min="15345" max="15345" width="13" customWidth="1"/>
    <col min="15346" max="15346" width="11.7109375" customWidth="1"/>
    <col min="15347" max="15347" width="11.7109375" bestFit="1" customWidth="1"/>
    <col min="15348" max="15348" width="11.7109375" customWidth="1"/>
    <col min="15349" max="15349" width="12.5703125" customWidth="1"/>
    <col min="15350" max="15350" width="11.7109375" bestFit="1" customWidth="1"/>
    <col min="15597" max="15597" width="5" customWidth="1"/>
    <col min="15598" max="15598" width="29.85546875" customWidth="1"/>
    <col min="15599" max="15599" width="8.5703125" customWidth="1"/>
    <col min="15600" max="15600" width="11.85546875" customWidth="1"/>
    <col min="15601" max="15601" width="13" customWidth="1"/>
    <col min="15602" max="15602" width="11.7109375" customWidth="1"/>
    <col min="15603" max="15603" width="11.7109375" bestFit="1" customWidth="1"/>
    <col min="15604" max="15604" width="11.7109375" customWidth="1"/>
    <col min="15605" max="15605" width="12.5703125" customWidth="1"/>
    <col min="15606" max="15606" width="11.7109375" bestFit="1" customWidth="1"/>
    <col min="15853" max="15853" width="5" customWidth="1"/>
    <col min="15854" max="15854" width="29.85546875" customWidth="1"/>
    <col min="15855" max="15855" width="8.5703125" customWidth="1"/>
    <col min="15856" max="15856" width="11.85546875" customWidth="1"/>
    <col min="15857" max="15857" width="13" customWidth="1"/>
    <col min="15858" max="15858" width="11.7109375" customWidth="1"/>
    <col min="15859" max="15859" width="11.7109375" bestFit="1" customWidth="1"/>
    <col min="15860" max="15860" width="11.7109375" customWidth="1"/>
    <col min="15861" max="15861" width="12.5703125" customWidth="1"/>
    <col min="15862" max="15862" width="11.7109375" bestFit="1" customWidth="1"/>
    <col min="16109" max="16109" width="5" customWidth="1"/>
    <col min="16110" max="16110" width="29.85546875" customWidth="1"/>
    <col min="16111" max="16111" width="8.5703125" customWidth="1"/>
    <col min="16112" max="16112" width="11.85546875" customWidth="1"/>
    <col min="16113" max="16113" width="13" customWidth="1"/>
    <col min="16114" max="16114" width="11.7109375" customWidth="1"/>
    <col min="16115" max="16115" width="11.7109375" bestFit="1" customWidth="1"/>
    <col min="16116" max="16116" width="11.7109375" customWidth="1"/>
    <col min="16117" max="16117" width="12.5703125" customWidth="1"/>
    <col min="16118" max="16118" width="11.7109375" bestFit="1" customWidth="1"/>
  </cols>
  <sheetData>
    <row r="1" spans="1:13" x14ac:dyDescent="0.25">
      <c r="A1" s="58" t="s">
        <v>0</v>
      </c>
      <c r="C1" t="s">
        <v>69</v>
      </c>
      <c r="E1"/>
      <c r="F1" s="1"/>
      <c r="G1" s="1"/>
    </row>
    <row r="2" spans="1:13" ht="15.75" customHeight="1" x14ac:dyDescent="0.25">
      <c r="A2" t="s">
        <v>43</v>
      </c>
      <c r="C2" t="s">
        <v>70</v>
      </c>
      <c r="E2"/>
      <c r="J2" t="s">
        <v>78</v>
      </c>
    </row>
    <row r="3" spans="1:13" ht="16.5" customHeight="1" x14ac:dyDescent="0.25">
      <c r="A3" s="2" t="s">
        <v>44</v>
      </c>
      <c r="C3" t="s">
        <v>71</v>
      </c>
      <c r="E3"/>
    </row>
    <row r="4" spans="1:13" x14ac:dyDescent="0.25">
      <c r="B4" s="3"/>
      <c r="C4" s="3"/>
      <c r="D4" s="3"/>
    </row>
    <row r="6" spans="1:13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  <c r="K6" s="648"/>
      <c r="L6" s="648"/>
      <c r="M6" s="648"/>
    </row>
    <row r="7" spans="1:13" x14ac:dyDescent="0.25">
      <c r="C7" s="702" t="s">
        <v>116</v>
      </c>
      <c r="D7" s="702"/>
      <c r="E7" s="702"/>
      <c r="F7" s="702"/>
      <c r="G7" s="702"/>
      <c r="H7" s="702"/>
      <c r="I7" s="702"/>
      <c r="J7" s="702"/>
      <c r="K7" s="649"/>
      <c r="L7" s="649"/>
      <c r="M7" s="649"/>
    </row>
    <row r="8" spans="1:13" x14ac:dyDescent="0.25">
      <c r="B8" s="68"/>
      <c r="C8" s="703" t="s">
        <v>159</v>
      </c>
      <c r="D8" s="703"/>
      <c r="E8" s="703"/>
      <c r="F8" s="703"/>
      <c r="G8" s="703"/>
      <c r="H8" s="703"/>
      <c r="I8" s="703"/>
      <c r="J8" s="703"/>
      <c r="K8" s="650"/>
      <c r="L8" s="650"/>
      <c r="M8" s="650"/>
    </row>
    <row r="10" spans="1:13" ht="15.75" thickBot="1" x14ac:dyDescent="0.3">
      <c r="E10" s="4"/>
      <c r="F10" s="5"/>
    </row>
    <row r="11" spans="1:13" ht="30.75" thickBot="1" x14ac:dyDescent="0.3">
      <c r="E11" s="580" t="s">
        <v>2</v>
      </c>
      <c r="F11" s="581" t="s">
        <v>3</v>
      </c>
      <c r="G11" s="97" t="s">
        <v>75</v>
      </c>
      <c r="H11" s="582" t="s">
        <v>120</v>
      </c>
      <c r="I11" s="583" t="s">
        <v>76</v>
      </c>
      <c r="J11" s="584" t="s">
        <v>120</v>
      </c>
      <c r="K11" s="570"/>
      <c r="L11" s="570"/>
      <c r="M11" s="570"/>
    </row>
    <row r="12" spans="1:13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44">
        <v>3</v>
      </c>
      <c r="I12" s="586">
        <v>4</v>
      </c>
      <c r="J12" s="587" t="s">
        <v>152</v>
      </c>
      <c r="K12" s="604"/>
      <c r="L12" s="604"/>
      <c r="M12" s="604"/>
    </row>
    <row r="13" spans="1:13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573">
        <v>2951857.32</v>
      </c>
      <c r="I13" s="588">
        <v>371139</v>
      </c>
      <c r="J13" s="436">
        <f>H13+I13</f>
        <v>3322996.32</v>
      </c>
      <c r="K13" s="571"/>
      <c r="L13" s="571"/>
      <c r="M13" s="571"/>
    </row>
    <row r="14" spans="1:13" s="262" customFormat="1" ht="15.75" thickBot="1" x14ac:dyDescent="0.3">
      <c r="B14" s="12"/>
      <c r="C14" s="12"/>
      <c r="D14" s="12"/>
      <c r="E14" s="445"/>
      <c r="F14" s="589" t="s">
        <v>66</v>
      </c>
      <c r="G14" s="325">
        <v>39</v>
      </c>
      <c r="H14" s="574">
        <f>SUM(H13)</f>
        <v>2951857.32</v>
      </c>
      <c r="I14" s="590">
        <f>SUM(I13)</f>
        <v>371139</v>
      </c>
      <c r="J14" s="424">
        <f>SUM(J13)</f>
        <v>3322996.32</v>
      </c>
      <c r="K14" s="572"/>
      <c r="L14" s="572"/>
      <c r="M14" s="572"/>
    </row>
    <row r="15" spans="1:13" x14ac:dyDescent="0.25">
      <c r="E15" s="321" t="s">
        <v>10</v>
      </c>
      <c r="F15" s="312" t="s">
        <v>11</v>
      </c>
      <c r="G15" s="322"/>
      <c r="H15" s="573">
        <f>6372991.98+1169.7</f>
        <v>6374161.6800000006</v>
      </c>
      <c r="I15" s="585">
        <f>627123.33-518.33</f>
        <v>626605</v>
      </c>
      <c r="J15" s="438">
        <f>H15+I15</f>
        <v>7000766.6800000006</v>
      </c>
      <c r="K15" s="571"/>
      <c r="L15" s="571"/>
      <c r="M15" s="571"/>
    </row>
    <row r="16" spans="1:13" ht="15.75" thickBot="1" x14ac:dyDescent="0.3">
      <c r="E16" s="276"/>
      <c r="F16" s="277" t="s">
        <v>9</v>
      </c>
      <c r="G16" s="10">
        <v>82</v>
      </c>
      <c r="H16" s="575">
        <f>H15</f>
        <v>6374161.6800000006</v>
      </c>
      <c r="I16" s="591">
        <f>SUM(I15)</f>
        <v>626605</v>
      </c>
      <c r="J16" s="426">
        <f>SUM(J15)</f>
        <v>7000766.6800000006</v>
      </c>
      <c r="K16" s="572"/>
      <c r="L16" s="572"/>
      <c r="M16" s="572"/>
    </row>
    <row r="17" spans="2:13" ht="15.75" thickBot="1" x14ac:dyDescent="0.3">
      <c r="E17" s="445">
        <v>3</v>
      </c>
      <c r="F17" s="328" t="s">
        <v>65</v>
      </c>
      <c r="G17" s="311"/>
      <c r="H17" s="576">
        <v>5463871</v>
      </c>
      <c r="I17" s="592">
        <v>574096</v>
      </c>
      <c r="J17" s="428">
        <f>H17+I17</f>
        <v>6037967</v>
      </c>
      <c r="K17" s="571"/>
      <c r="L17" s="571"/>
      <c r="M17" s="571"/>
    </row>
    <row r="18" spans="2:13" ht="15.75" thickBot="1" x14ac:dyDescent="0.3">
      <c r="E18" s="441"/>
      <c r="F18" s="326" t="s">
        <v>9</v>
      </c>
      <c r="G18" s="327">
        <v>78</v>
      </c>
      <c r="H18" s="595">
        <f>H17</f>
        <v>5463871</v>
      </c>
      <c r="I18" s="596">
        <f>SUM(I17)</f>
        <v>574096</v>
      </c>
      <c r="J18" s="603">
        <f>SUM(J17)</f>
        <v>6037967</v>
      </c>
      <c r="K18" s="572"/>
      <c r="L18" s="572"/>
      <c r="M18" s="572"/>
    </row>
    <row r="19" spans="2:13" s="280" customFormat="1" ht="15.75" x14ac:dyDescent="0.25">
      <c r="E19" s="593"/>
      <c r="F19" s="597" t="s">
        <v>67</v>
      </c>
      <c r="G19" s="285">
        <f>G16+G18</f>
        <v>160</v>
      </c>
      <c r="H19" s="598">
        <f>H16+H18</f>
        <v>11838032.68</v>
      </c>
      <c r="I19" s="599">
        <f>I16+I18</f>
        <v>1200701</v>
      </c>
      <c r="J19" s="600">
        <f>J16+J18</f>
        <v>13038733.68</v>
      </c>
      <c r="K19" s="572"/>
      <c r="L19" s="572"/>
      <c r="M19" s="572"/>
    </row>
    <row r="20" spans="2:13" s="281" customFormat="1" ht="16.5" thickBot="1" x14ac:dyDescent="0.3">
      <c r="B20" s="282"/>
      <c r="C20" s="282"/>
      <c r="D20" s="282"/>
      <c r="E20" s="594"/>
      <c r="F20" s="601" t="s">
        <v>13</v>
      </c>
      <c r="G20" s="289">
        <f>G14+G19</f>
        <v>199</v>
      </c>
      <c r="H20" s="577">
        <f>H14+H19</f>
        <v>14789890</v>
      </c>
      <c r="I20" s="602">
        <f>I14+I19</f>
        <v>1571840</v>
      </c>
      <c r="J20" s="434">
        <f>J14+J19</f>
        <v>16361730</v>
      </c>
      <c r="K20" s="572"/>
      <c r="L20" s="572"/>
      <c r="M20" s="572"/>
    </row>
    <row r="21" spans="2:13" x14ac:dyDescent="0.25">
      <c r="E21" s="419"/>
      <c r="F21" s="419"/>
      <c r="G21" s="419"/>
      <c r="H21" s="422"/>
      <c r="I21" s="422"/>
      <c r="J21" s="422"/>
      <c r="K21" s="422"/>
      <c r="L21" s="422"/>
      <c r="M21" s="422"/>
    </row>
    <row r="22" spans="2:13" x14ac:dyDescent="0.25">
      <c r="G22" s="119"/>
      <c r="H22" s="9"/>
      <c r="I22" s="9"/>
      <c r="J22" s="9"/>
      <c r="K22" s="9"/>
      <c r="L22" s="9"/>
      <c r="M22" s="9"/>
    </row>
    <row r="23" spans="2:13" x14ac:dyDescent="0.25">
      <c r="H23" s="9"/>
      <c r="J23" s="9"/>
      <c r="K23" s="9"/>
      <c r="L23" s="9"/>
      <c r="M23" s="9"/>
    </row>
    <row r="24" spans="2:13" x14ac:dyDescent="0.25">
      <c r="E24"/>
      <c r="F24" s="48" t="s">
        <v>45</v>
      </c>
    </row>
    <row r="25" spans="2:13" x14ac:dyDescent="0.25">
      <c r="E25"/>
      <c r="F25" s="649" t="s">
        <v>48</v>
      </c>
      <c r="H25" s="9"/>
      <c r="I25" s="9"/>
      <c r="J25" s="578" t="s">
        <v>73</v>
      </c>
      <c r="K25" s="9"/>
      <c r="L25" s="9"/>
      <c r="M25" s="9"/>
    </row>
    <row r="26" spans="2:13" x14ac:dyDescent="0.25">
      <c r="H26" s="9"/>
      <c r="J26" s="579" t="s">
        <v>74</v>
      </c>
      <c r="K26" s="578"/>
      <c r="L26" s="578"/>
      <c r="M26" s="578"/>
    </row>
    <row r="27" spans="2:13" x14ac:dyDescent="0.25">
      <c r="J27" s="579"/>
      <c r="K27" s="579"/>
      <c r="L27" s="579"/>
      <c r="M27" s="579"/>
    </row>
  </sheetData>
  <mergeCells count="3">
    <mergeCell ref="B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C1" workbookViewId="0">
      <selection activeCell="N1" sqref="N1:R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8.42578125" style="661" customWidth="1"/>
    <col min="6" max="6" width="30.85546875" style="661" customWidth="1"/>
    <col min="7" max="7" width="16.85546875" style="661" customWidth="1"/>
    <col min="8" max="8" width="18.5703125" customWidth="1"/>
    <col min="9" max="9" width="18.42578125" customWidth="1"/>
    <col min="10" max="10" width="20" customWidth="1"/>
    <col min="11" max="13" width="14.7109375" customWidth="1"/>
    <col min="237" max="237" width="5" customWidth="1"/>
    <col min="238" max="238" width="29.85546875" customWidth="1"/>
    <col min="239" max="239" width="8.5703125" customWidth="1"/>
    <col min="240" max="240" width="11.85546875" customWidth="1"/>
    <col min="241" max="241" width="13" customWidth="1"/>
    <col min="242" max="242" width="11.7109375" customWidth="1"/>
    <col min="243" max="243" width="11.7109375" bestFit="1" customWidth="1"/>
    <col min="244" max="244" width="11.7109375" customWidth="1"/>
    <col min="245" max="245" width="12.5703125" customWidth="1"/>
    <col min="246" max="246" width="11.7109375" bestFit="1" customWidth="1"/>
    <col min="493" max="493" width="5" customWidth="1"/>
    <col min="494" max="494" width="29.85546875" customWidth="1"/>
    <col min="495" max="495" width="8.5703125" customWidth="1"/>
    <col min="496" max="496" width="11.85546875" customWidth="1"/>
    <col min="497" max="497" width="13" customWidth="1"/>
    <col min="498" max="498" width="11.7109375" customWidth="1"/>
    <col min="499" max="499" width="11.7109375" bestFit="1" customWidth="1"/>
    <col min="500" max="500" width="11.7109375" customWidth="1"/>
    <col min="501" max="501" width="12.5703125" customWidth="1"/>
    <col min="502" max="502" width="11.7109375" bestFit="1" customWidth="1"/>
    <col min="749" max="749" width="5" customWidth="1"/>
    <col min="750" max="750" width="29.85546875" customWidth="1"/>
    <col min="751" max="751" width="8.5703125" customWidth="1"/>
    <col min="752" max="752" width="11.85546875" customWidth="1"/>
    <col min="753" max="753" width="13" customWidth="1"/>
    <col min="754" max="754" width="11.7109375" customWidth="1"/>
    <col min="755" max="755" width="11.7109375" bestFit="1" customWidth="1"/>
    <col min="756" max="756" width="11.7109375" customWidth="1"/>
    <col min="757" max="757" width="12.5703125" customWidth="1"/>
    <col min="758" max="758" width="11.7109375" bestFit="1" customWidth="1"/>
    <col min="1005" max="1005" width="5" customWidth="1"/>
    <col min="1006" max="1006" width="29.85546875" customWidth="1"/>
    <col min="1007" max="1007" width="8.5703125" customWidth="1"/>
    <col min="1008" max="1008" width="11.85546875" customWidth="1"/>
    <col min="1009" max="1009" width="13" customWidth="1"/>
    <col min="1010" max="1010" width="11.7109375" customWidth="1"/>
    <col min="1011" max="1011" width="11.7109375" bestFit="1" customWidth="1"/>
    <col min="1012" max="1012" width="11.7109375" customWidth="1"/>
    <col min="1013" max="1013" width="12.5703125" customWidth="1"/>
    <col min="1014" max="1014" width="11.7109375" bestFit="1" customWidth="1"/>
    <col min="1261" max="1261" width="5" customWidth="1"/>
    <col min="1262" max="1262" width="29.85546875" customWidth="1"/>
    <col min="1263" max="1263" width="8.5703125" customWidth="1"/>
    <col min="1264" max="1264" width="11.85546875" customWidth="1"/>
    <col min="1265" max="1265" width="13" customWidth="1"/>
    <col min="1266" max="1266" width="11.7109375" customWidth="1"/>
    <col min="1267" max="1267" width="11.7109375" bestFit="1" customWidth="1"/>
    <col min="1268" max="1268" width="11.7109375" customWidth="1"/>
    <col min="1269" max="1269" width="12.5703125" customWidth="1"/>
    <col min="1270" max="1270" width="11.7109375" bestFit="1" customWidth="1"/>
    <col min="1517" max="1517" width="5" customWidth="1"/>
    <col min="1518" max="1518" width="29.85546875" customWidth="1"/>
    <col min="1519" max="1519" width="8.5703125" customWidth="1"/>
    <col min="1520" max="1520" width="11.85546875" customWidth="1"/>
    <col min="1521" max="1521" width="13" customWidth="1"/>
    <col min="1522" max="1522" width="11.7109375" customWidth="1"/>
    <col min="1523" max="1523" width="11.7109375" bestFit="1" customWidth="1"/>
    <col min="1524" max="1524" width="11.7109375" customWidth="1"/>
    <col min="1525" max="1525" width="12.5703125" customWidth="1"/>
    <col min="1526" max="1526" width="11.7109375" bestFit="1" customWidth="1"/>
    <col min="1773" max="1773" width="5" customWidth="1"/>
    <col min="1774" max="1774" width="29.85546875" customWidth="1"/>
    <col min="1775" max="1775" width="8.5703125" customWidth="1"/>
    <col min="1776" max="1776" width="11.85546875" customWidth="1"/>
    <col min="1777" max="1777" width="13" customWidth="1"/>
    <col min="1778" max="1778" width="11.7109375" customWidth="1"/>
    <col min="1779" max="1779" width="11.7109375" bestFit="1" customWidth="1"/>
    <col min="1780" max="1780" width="11.7109375" customWidth="1"/>
    <col min="1781" max="1781" width="12.5703125" customWidth="1"/>
    <col min="1782" max="1782" width="11.7109375" bestFit="1" customWidth="1"/>
    <col min="2029" max="2029" width="5" customWidth="1"/>
    <col min="2030" max="2030" width="29.85546875" customWidth="1"/>
    <col min="2031" max="2031" width="8.5703125" customWidth="1"/>
    <col min="2032" max="2032" width="11.85546875" customWidth="1"/>
    <col min="2033" max="2033" width="13" customWidth="1"/>
    <col min="2034" max="2034" width="11.7109375" customWidth="1"/>
    <col min="2035" max="2035" width="11.7109375" bestFit="1" customWidth="1"/>
    <col min="2036" max="2036" width="11.7109375" customWidth="1"/>
    <col min="2037" max="2037" width="12.5703125" customWidth="1"/>
    <col min="2038" max="2038" width="11.7109375" bestFit="1" customWidth="1"/>
    <col min="2285" max="2285" width="5" customWidth="1"/>
    <col min="2286" max="2286" width="29.85546875" customWidth="1"/>
    <col min="2287" max="2287" width="8.5703125" customWidth="1"/>
    <col min="2288" max="2288" width="11.85546875" customWidth="1"/>
    <col min="2289" max="2289" width="13" customWidth="1"/>
    <col min="2290" max="2290" width="11.7109375" customWidth="1"/>
    <col min="2291" max="2291" width="11.7109375" bestFit="1" customWidth="1"/>
    <col min="2292" max="2292" width="11.7109375" customWidth="1"/>
    <col min="2293" max="2293" width="12.5703125" customWidth="1"/>
    <col min="2294" max="2294" width="11.7109375" bestFit="1" customWidth="1"/>
    <col min="2541" max="2541" width="5" customWidth="1"/>
    <col min="2542" max="2542" width="29.85546875" customWidth="1"/>
    <col min="2543" max="2543" width="8.5703125" customWidth="1"/>
    <col min="2544" max="2544" width="11.85546875" customWidth="1"/>
    <col min="2545" max="2545" width="13" customWidth="1"/>
    <col min="2546" max="2546" width="11.7109375" customWidth="1"/>
    <col min="2547" max="2547" width="11.7109375" bestFit="1" customWidth="1"/>
    <col min="2548" max="2548" width="11.7109375" customWidth="1"/>
    <col min="2549" max="2549" width="12.5703125" customWidth="1"/>
    <col min="2550" max="2550" width="11.7109375" bestFit="1" customWidth="1"/>
    <col min="2797" max="2797" width="5" customWidth="1"/>
    <col min="2798" max="2798" width="29.85546875" customWidth="1"/>
    <col min="2799" max="2799" width="8.5703125" customWidth="1"/>
    <col min="2800" max="2800" width="11.85546875" customWidth="1"/>
    <col min="2801" max="2801" width="13" customWidth="1"/>
    <col min="2802" max="2802" width="11.7109375" customWidth="1"/>
    <col min="2803" max="2803" width="11.7109375" bestFit="1" customWidth="1"/>
    <col min="2804" max="2804" width="11.7109375" customWidth="1"/>
    <col min="2805" max="2805" width="12.5703125" customWidth="1"/>
    <col min="2806" max="2806" width="11.7109375" bestFit="1" customWidth="1"/>
    <col min="3053" max="3053" width="5" customWidth="1"/>
    <col min="3054" max="3054" width="29.85546875" customWidth="1"/>
    <col min="3055" max="3055" width="8.5703125" customWidth="1"/>
    <col min="3056" max="3056" width="11.85546875" customWidth="1"/>
    <col min="3057" max="3057" width="13" customWidth="1"/>
    <col min="3058" max="3058" width="11.7109375" customWidth="1"/>
    <col min="3059" max="3059" width="11.7109375" bestFit="1" customWidth="1"/>
    <col min="3060" max="3060" width="11.7109375" customWidth="1"/>
    <col min="3061" max="3061" width="12.5703125" customWidth="1"/>
    <col min="3062" max="3062" width="11.7109375" bestFit="1" customWidth="1"/>
    <col min="3309" max="3309" width="5" customWidth="1"/>
    <col min="3310" max="3310" width="29.85546875" customWidth="1"/>
    <col min="3311" max="3311" width="8.5703125" customWidth="1"/>
    <col min="3312" max="3312" width="11.85546875" customWidth="1"/>
    <col min="3313" max="3313" width="13" customWidth="1"/>
    <col min="3314" max="3314" width="11.7109375" customWidth="1"/>
    <col min="3315" max="3315" width="11.7109375" bestFit="1" customWidth="1"/>
    <col min="3316" max="3316" width="11.7109375" customWidth="1"/>
    <col min="3317" max="3317" width="12.5703125" customWidth="1"/>
    <col min="3318" max="3318" width="11.7109375" bestFit="1" customWidth="1"/>
    <col min="3565" max="3565" width="5" customWidth="1"/>
    <col min="3566" max="3566" width="29.85546875" customWidth="1"/>
    <col min="3567" max="3567" width="8.5703125" customWidth="1"/>
    <col min="3568" max="3568" width="11.85546875" customWidth="1"/>
    <col min="3569" max="3569" width="13" customWidth="1"/>
    <col min="3570" max="3570" width="11.7109375" customWidth="1"/>
    <col min="3571" max="3571" width="11.7109375" bestFit="1" customWidth="1"/>
    <col min="3572" max="3572" width="11.7109375" customWidth="1"/>
    <col min="3573" max="3573" width="12.5703125" customWidth="1"/>
    <col min="3574" max="3574" width="11.7109375" bestFit="1" customWidth="1"/>
    <col min="3821" max="3821" width="5" customWidth="1"/>
    <col min="3822" max="3822" width="29.85546875" customWidth="1"/>
    <col min="3823" max="3823" width="8.5703125" customWidth="1"/>
    <col min="3824" max="3824" width="11.85546875" customWidth="1"/>
    <col min="3825" max="3825" width="13" customWidth="1"/>
    <col min="3826" max="3826" width="11.7109375" customWidth="1"/>
    <col min="3827" max="3827" width="11.7109375" bestFit="1" customWidth="1"/>
    <col min="3828" max="3828" width="11.7109375" customWidth="1"/>
    <col min="3829" max="3829" width="12.5703125" customWidth="1"/>
    <col min="3830" max="3830" width="11.7109375" bestFit="1" customWidth="1"/>
    <col min="4077" max="4077" width="5" customWidth="1"/>
    <col min="4078" max="4078" width="29.85546875" customWidth="1"/>
    <col min="4079" max="4079" width="8.5703125" customWidth="1"/>
    <col min="4080" max="4080" width="11.85546875" customWidth="1"/>
    <col min="4081" max="4081" width="13" customWidth="1"/>
    <col min="4082" max="4082" width="11.7109375" customWidth="1"/>
    <col min="4083" max="4083" width="11.7109375" bestFit="1" customWidth="1"/>
    <col min="4084" max="4084" width="11.7109375" customWidth="1"/>
    <col min="4085" max="4085" width="12.5703125" customWidth="1"/>
    <col min="4086" max="4086" width="11.7109375" bestFit="1" customWidth="1"/>
    <col min="4333" max="4333" width="5" customWidth="1"/>
    <col min="4334" max="4334" width="29.85546875" customWidth="1"/>
    <col min="4335" max="4335" width="8.5703125" customWidth="1"/>
    <col min="4336" max="4336" width="11.85546875" customWidth="1"/>
    <col min="4337" max="4337" width="13" customWidth="1"/>
    <col min="4338" max="4338" width="11.7109375" customWidth="1"/>
    <col min="4339" max="4339" width="11.7109375" bestFit="1" customWidth="1"/>
    <col min="4340" max="4340" width="11.7109375" customWidth="1"/>
    <col min="4341" max="4341" width="12.5703125" customWidth="1"/>
    <col min="4342" max="4342" width="11.7109375" bestFit="1" customWidth="1"/>
    <col min="4589" max="4589" width="5" customWidth="1"/>
    <col min="4590" max="4590" width="29.85546875" customWidth="1"/>
    <col min="4591" max="4591" width="8.5703125" customWidth="1"/>
    <col min="4592" max="4592" width="11.85546875" customWidth="1"/>
    <col min="4593" max="4593" width="13" customWidth="1"/>
    <col min="4594" max="4594" width="11.7109375" customWidth="1"/>
    <col min="4595" max="4595" width="11.7109375" bestFit="1" customWidth="1"/>
    <col min="4596" max="4596" width="11.7109375" customWidth="1"/>
    <col min="4597" max="4597" width="12.5703125" customWidth="1"/>
    <col min="4598" max="4598" width="11.7109375" bestFit="1" customWidth="1"/>
    <col min="4845" max="4845" width="5" customWidth="1"/>
    <col min="4846" max="4846" width="29.85546875" customWidth="1"/>
    <col min="4847" max="4847" width="8.5703125" customWidth="1"/>
    <col min="4848" max="4848" width="11.85546875" customWidth="1"/>
    <col min="4849" max="4849" width="13" customWidth="1"/>
    <col min="4850" max="4850" width="11.7109375" customWidth="1"/>
    <col min="4851" max="4851" width="11.7109375" bestFit="1" customWidth="1"/>
    <col min="4852" max="4852" width="11.7109375" customWidth="1"/>
    <col min="4853" max="4853" width="12.5703125" customWidth="1"/>
    <col min="4854" max="4854" width="11.7109375" bestFit="1" customWidth="1"/>
    <col min="5101" max="5101" width="5" customWidth="1"/>
    <col min="5102" max="5102" width="29.85546875" customWidth="1"/>
    <col min="5103" max="5103" width="8.5703125" customWidth="1"/>
    <col min="5104" max="5104" width="11.85546875" customWidth="1"/>
    <col min="5105" max="5105" width="13" customWidth="1"/>
    <col min="5106" max="5106" width="11.7109375" customWidth="1"/>
    <col min="5107" max="5107" width="11.7109375" bestFit="1" customWidth="1"/>
    <col min="5108" max="5108" width="11.7109375" customWidth="1"/>
    <col min="5109" max="5109" width="12.5703125" customWidth="1"/>
    <col min="5110" max="5110" width="11.7109375" bestFit="1" customWidth="1"/>
    <col min="5357" max="5357" width="5" customWidth="1"/>
    <col min="5358" max="5358" width="29.85546875" customWidth="1"/>
    <col min="5359" max="5359" width="8.5703125" customWidth="1"/>
    <col min="5360" max="5360" width="11.85546875" customWidth="1"/>
    <col min="5361" max="5361" width="13" customWidth="1"/>
    <col min="5362" max="5362" width="11.7109375" customWidth="1"/>
    <col min="5363" max="5363" width="11.7109375" bestFit="1" customWidth="1"/>
    <col min="5364" max="5364" width="11.7109375" customWidth="1"/>
    <col min="5365" max="5365" width="12.5703125" customWidth="1"/>
    <col min="5366" max="5366" width="11.7109375" bestFit="1" customWidth="1"/>
    <col min="5613" max="5613" width="5" customWidth="1"/>
    <col min="5614" max="5614" width="29.85546875" customWidth="1"/>
    <col min="5615" max="5615" width="8.5703125" customWidth="1"/>
    <col min="5616" max="5616" width="11.85546875" customWidth="1"/>
    <col min="5617" max="5617" width="13" customWidth="1"/>
    <col min="5618" max="5618" width="11.7109375" customWidth="1"/>
    <col min="5619" max="5619" width="11.7109375" bestFit="1" customWidth="1"/>
    <col min="5620" max="5620" width="11.7109375" customWidth="1"/>
    <col min="5621" max="5621" width="12.5703125" customWidth="1"/>
    <col min="5622" max="5622" width="11.7109375" bestFit="1" customWidth="1"/>
    <col min="5869" max="5869" width="5" customWidth="1"/>
    <col min="5870" max="5870" width="29.85546875" customWidth="1"/>
    <col min="5871" max="5871" width="8.5703125" customWidth="1"/>
    <col min="5872" max="5872" width="11.85546875" customWidth="1"/>
    <col min="5873" max="5873" width="13" customWidth="1"/>
    <col min="5874" max="5874" width="11.7109375" customWidth="1"/>
    <col min="5875" max="5875" width="11.7109375" bestFit="1" customWidth="1"/>
    <col min="5876" max="5876" width="11.7109375" customWidth="1"/>
    <col min="5877" max="5877" width="12.5703125" customWidth="1"/>
    <col min="5878" max="5878" width="11.7109375" bestFit="1" customWidth="1"/>
    <col min="6125" max="6125" width="5" customWidth="1"/>
    <col min="6126" max="6126" width="29.85546875" customWidth="1"/>
    <col min="6127" max="6127" width="8.5703125" customWidth="1"/>
    <col min="6128" max="6128" width="11.85546875" customWidth="1"/>
    <col min="6129" max="6129" width="13" customWidth="1"/>
    <col min="6130" max="6130" width="11.7109375" customWidth="1"/>
    <col min="6131" max="6131" width="11.7109375" bestFit="1" customWidth="1"/>
    <col min="6132" max="6132" width="11.7109375" customWidth="1"/>
    <col min="6133" max="6133" width="12.5703125" customWidth="1"/>
    <col min="6134" max="6134" width="11.7109375" bestFit="1" customWidth="1"/>
    <col min="6381" max="6381" width="5" customWidth="1"/>
    <col min="6382" max="6382" width="29.85546875" customWidth="1"/>
    <col min="6383" max="6383" width="8.5703125" customWidth="1"/>
    <col min="6384" max="6384" width="11.85546875" customWidth="1"/>
    <col min="6385" max="6385" width="13" customWidth="1"/>
    <col min="6386" max="6386" width="11.7109375" customWidth="1"/>
    <col min="6387" max="6387" width="11.7109375" bestFit="1" customWidth="1"/>
    <col min="6388" max="6388" width="11.7109375" customWidth="1"/>
    <col min="6389" max="6389" width="12.5703125" customWidth="1"/>
    <col min="6390" max="6390" width="11.7109375" bestFit="1" customWidth="1"/>
    <col min="6637" max="6637" width="5" customWidth="1"/>
    <col min="6638" max="6638" width="29.85546875" customWidth="1"/>
    <col min="6639" max="6639" width="8.5703125" customWidth="1"/>
    <col min="6640" max="6640" width="11.85546875" customWidth="1"/>
    <col min="6641" max="6641" width="13" customWidth="1"/>
    <col min="6642" max="6642" width="11.7109375" customWidth="1"/>
    <col min="6643" max="6643" width="11.7109375" bestFit="1" customWidth="1"/>
    <col min="6644" max="6644" width="11.7109375" customWidth="1"/>
    <col min="6645" max="6645" width="12.5703125" customWidth="1"/>
    <col min="6646" max="6646" width="11.7109375" bestFit="1" customWidth="1"/>
    <col min="6893" max="6893" width="5" customWidth="1"/>
    <col min="6894" max="6894" width="29.85546875" customWidth="1"/>
    <col min="6895" max="6895" width="8.5703125" customWidth="1"/>
    <col min="6896" max="6896" width="11.85546875" customWidth="1"/>
    <col min="6897" max="6897" width="13" customWidth="1"/>
    <col min="6898" max="6898" width="11.7109375" customWidth="1"/>
    <col min="6899" max="6899" width="11.7109375" bestFit="1" customWidth="1"/>
    <col min="6900" max="6900" width="11.7109375" customWidth="1"/>
    <col min="6901" max="6901" width="12.5703125" customWidth="1"/>
    <col min="6902" max="6902" width="11.7109375" bestFit="1" customWidth="1"/>
    <col min="7149" max="7149" width="5" customWidth="1"/>
    <col min="7150" max="7150" width="29.85546875" customWidth="1"/>
    <col min="7151" max="7151" width="8.5703125" customWidth="1"/>
    <col min="7152" max="7152" width="11.85546875" customWidth="1"/>
    <col min="7153" max="7153" width="13" customWidth="1"/>
    <col min="7154" max="7154" width="11.7109375" customWidth="1"/>
    <col min="7155" max="7155" width="11.7109375" bestFit="1" customWidth="1"/>
    <col min="7156" max="7156" width="11.7109375" customWidth="1"/>
    <col min="7157" max="7157" width="12.5703125" customWidth="1"/>
    <col min="7158" max="7158" width="11.7109375" bestFit="1" customWidth="1"/>
    <col min="7405" max="7405" width="5" customWidth="1"/>
    <col min="7406" max="7406" width="29.85546875" customWidth="1"/>
    <col min="7407" max="7407" width="8.5703125" customWidth="1"/>
    <col min="7408" max="7408" width="11.85546875" customWidth="1"/>
    <col min="7409" max="7409" width="13" customWidth="1"/>
    <col min="7410" max="7410" width="11.7109375" customWidth="1"/>
    <col min="7411" max="7411" width="11.7109375" bestFit="1" customWidth="1"/>
    <col min="7412" max="7412" width="11.7109375" customWidth="1"/>
    <col min="7413" max="7413" width="12.5703125" customWidth="1"/>
    <col min="7414" max="7414" width="11.7109375" bestFit="1" customWidth="1"/>
    <col min="7661" max="7661" width="5" customWidth="1"/>
    <col min="7662" max="7662" width="29.85546875" customWidth="1"/>
    <col min="7663" max="7663" width="8.5703125" customWidth="1"/>
    <col min="7664" max="7664" width="11.85546875" customWidth="1"/>
    <col min="7665" max="7665" width="13" customWidth="1"/>
    <col min="7666" max="7666" width="11.7109375" customWidth="1"/>
    <col min="7667" max="7667" width="11.7109375" bestFit="1" customWidth="1"/>
    <col min="7668" max="7668" width="11.7109375" customWidth="1"/>
    <col min="7669" max="7669" width="12.5703125" customWidth="1"/>
    <col min="7670" max="7670" width="11.7109375" bestFit="1" customWidth="1"/>
    <col min="7917" max="7917" width="5" customWidth="1"/>
    <col min="7918" max="7918" width="29.85546875" customWidth="1"/>
    <col min="7919" max="7919" width="8.5703125" customWidth="1"/>
    <col min="7920" max="7920" width="11.85546875" customWidth="1"/>
    <col min="7921" max="7921" width="13" customWidth="1"/>
    <col min="7922" max="7922" width="11.7109375" customWidth="1"/>
    <col min="7923" max="7923" width="11.7109375" bestFit="1" customWidth="1"/>
    <col min="7924" max="7924" width="11.7109375" customWidth="1"/>
    <col min="7925" max="7925" width="12.5703125" customWidth="1"/>
    <col min="7926" max="7926" width="11.7109375" bestFit="1" customWidth="1"/>
    <col min="8173" max="8173" width="5" customWidth="1"/>
    <col min="8174" max="8174" width="29.85546875" customWidth="1"/>
    <col min="8175" max="8175" width="8.5703125" customWidth="1"/>
    <col min="8176" max="8176" width="11.85546875" customWidth="1"/>
    <col min="8177" max="8177" width="13" customWidth="1"/>
    <col min="8178" max="8178" width="11.7109375" customWidth="1"/>
    <col min="8179" max="8179" width="11.7109375" bestFit="1" customWidth="1"/>
    <col min="8180" max="8180" width="11.7109375" customWidth="1"/>
    <col min="8181" max="8181" width="12.5703125" customWidth="1"/>
    <col min="8182" max="8182" width="11.7109375" bestFit="1" customWidth="1"/>
    <col min="8429" max="8429" width="5" customWidth="1"/>
    <col min="8430" max="8430" width="29.85546875" customWidth="1"/>
    <col min="8431" max="8431" width="8.5703125" customWidth="1"/>
    <col min="8432" max="8432" width="11.85546875" customWidth="1"/>
    <col min="8433" max="8433" width="13" customWidth="1"/>
    <col min="8434" max="8434" width="11.7109375" customWidth="1"/>
    <col min="8435" max="8435" width="11.7109375" bestFit="1" customWidth="1"/>
    <col min="8436" max="8436" width="11.7109375" customWidth="1"/>
    <col min="8437" max="8437" width="12.5703125" customWidth="1"/>
    <col min="8438" max="8438" width="11.7109375" bestFit="1" customWidth="1"/>
    <col min="8685" max="8685" width="5" customWidth="1"/>
    <col min="8686" max="8686" width="29.85546875" customWidth="1"/>
    <col min="8687" max="8687" width="8.5703125" customWidth="1"/>
    <col min="8688" max="8688" width="11.85546875" customWidth="1"/>
    <col min="8689" max="8689" width="13" customWidth="1"/>
    <col min="8690" max="8690" width="11.7109375" customWidth="1"/>
    <col min="8691" max="8691" width="11.7109375" bestFit="1" customWidth="1"/>
    <col min="8692" max="8692" width="11.7109375" customWidth="1"/>
    <col min="8693" max="8693" width="12.5703125" customWidth="1"/>
    <col min="8694" max="8694" width="11.7109375" bestFit="1" customWidth="1"/>
    <col min="8941" max="8941" width="5" customWidth="1"/>
    <col min="8942" max="8942" width="29.85546875" customWidth="1"/>
    <col min="8943" max="8943" width="8.5703125" customWidth="1"/>
    <col min="8944" max="8944" width="11.85546875" customWidth="1"/>
    <col min="8945" max="8945" width="13" customWidth="1"/>
    <col min="8946" max="8946" width="11.7109375" customWidth="1"/>
    <col min="8947" max="8947" width="11.7109375" bestFit="1" customWidth="1"/>
    <col min="8948" max="8948" width="11.7109375" customWidth="1"/>
    <col min="8949" max="8949" width="12.5703125" customWidth="1"/>
    <col min="8950" max="8950" width="11.7109375" bestFit="1" customWidth="1"/>
    <col min="9197" max="9197" width="5" customWidth="1"/>
    <col min="9198" max="9198" width="29.85546875" customWidth="1"/>
    <col min="9199" max="9199" width="8.5703125" customWidth="1"/>
    <col min="9200" max="9200" width="11.85546875" customWidth="1"/>
    <col min="9201" max="9201" width="13" customWidth="1"/>
    <col min="9202" max="9202" width="11.7109375" customWidth="1"/>
    <col min="9203" max="9203" width="11.7109375" bestFit="1" customWidth="1"/>
    <col min="9204" max="9204" width="11.7109375" customWidth="1"/>
    <col min="9205" max="9205" width="12.5703125" customWidth="1"/>
    <col min="9206" max="9206" width="11.7109375" bestFit="1" customWidth="1"/>
    <col min="9453" max="9453" width="5" customWidth="1"/>
    <col min="9454" max="9454" width="29.85546875" customWidth="1"/>
    <col min="9455" max="9455" width="8.5703125" customWidth="1"/>
    <col min="9456" max="9456" width="11.85546875" customWidth="1"/>
    <col min="9457" max="9457" width="13" customWidth="1"/>
    <col min="9458" max="9458" width="11.7109375" customWidth="1"/>
    <col min="9459" max="9459" width="11.7109375" bestFit="1" customWidth="1"/>
    <col min="9460" max="9460" width="11.7109375" customWidth="1"/>
    <col min="9461" max="9461" width="12.5703125" customWidth="1"/>
    <col min="9462" max="9462" width="11.7109375" bestFit="1" customWidth="1"/>
    <col min="9709" max="9709" width="5" customWidth="1"/>
    <col min="9710" max="9710" width="29.85546875" customWidth="1"/>
    <col min="9711" max="9711" width="8.5703125" customWidth="1"/>
    <col min="9712" max="9712" width="11.85546875" customWidth="1"/>
    <col min="9713" max="9713" width="13" customWidth="1"/>
    <col min="9714" max="9714" width="11.7109375" customWidth="1"/>
    <col min="9715" max="9715" width="11.7109375" bestFit="1" customWidth="1"/>
    <col min="9716" max="9716" width="11.7109375" customWidth="1"/>
    <col min="9717" max="9717" width="12.5703125" customWidth="1"/>
    <col min="9718" max="9718" width="11.7109375" bestFit="1" customWidth="1"/>
    <col min="9965" max="9965" width="5" customWidth="1"/>
    <col min="9966" max="9966" width="29.85546875" customWidth="1"/>
    <col min="9967" max="9967" width="8.5703125" customWidth="1"/>
    <col min="9968" max="9968" width="11.85546875" customWidth="1"/>
    <col min="9969" max="9969" width="13" customWidth="1"/>
    <col min="9970" max="9970" width="11.7109375" customWidth="1"/>
    <col min="9971" max="9971" width="11.7109375" bestFit="1" customWidth="1"/>
    <col min="9972" max="9972" width="11.7109375" customWidth="1"/>
    <col min="9973" max="9973" width="12.5703125" customWidth="1"/>
    <col min="9974" max="9974" width="11.7109375" bestFit="1" customWidth="1"/>
    <col min="10221" max="10221" width="5" customWidth="1"/>
    <col min="10222" max="10222" width="29.85546875" customWidth="1"/>
    <col min="10223" max="10223" width="8.5703125" customWidth="1"/>
    <col min="10224" max="10224" width="11.85546875" customWidth="1"/>
    <col min="10225" max="10225" width="13" customWidth="1"/>
    <col min="10226" max="10226" width="11.7109375" customWidth="1"/>
    <col min="10227" max="10227" width="11.7109375" bestFit="1" customWidth="1"/>
    <col min="10228" max="10228" width="11.7109375" customWidth="1"/>
    <col min="10229" max="10229" width="12.5703125" customWidth="1"/>
    <col min="10230" max="10230" width="11.7109375" bestFit="1" customWidth="1"/>
    <col min="10477" max="10477" width="5" customWidth="1"/>
    <col min="10478" max="10478" width="29.85546875" customWidth="1"/>
    <col min="10479" max="10479" width="8.5703125" customWidth="1"/>
    <col min="10480" max="10480" width="11.85546875" customWidth="1"/>
    <col min="10481" max="10481" width="13" customWidth="1"/>
    <col min="10482" max="10482" width="11.7109375" customWidth="1"/>
    <col min="10483" max="10483" width="11.7109375" bestFit="1" customWidth="1"/>
    <col min="10484" max="10484" width="11.7109375" customWidth="1"/>
    <col min="10485" max="10485" width="12.5703125" customWidth="1"/>
    <col min="10486" max="10486" width="11.7109375" bestFit="1" customWidth="1"/>
    <col min="10733" max="10733" width="5" customWidth="1"/>
    <col min="10734" max="10734" width="29.85546875" customWidth="1"/>
    <col min="10735" max="10735" width="8.5703125" customWidth="1"/>
    <col min="10736" max="10736" width="11.85546875" customWidth="1"/>
    <col min="10737" max="10737" width="13" customWidth="1"/>
    <col min="10738" max="10738" width="11.7109375" customWidth="1"/>
    <col min="10739" max="10739" width="11.7109375" bestFit="1" customWidth="1"/>
    <col min="10740" max="10740" width="11.7109375" customWidth="1"/>
    <col min="10741" max="10741" width="12.5703125" customWidth="1"/>
    <col min="10742" max="10742" width="11.7109375" bestFit="1" customWidth="1"/>
    <col min="10989" max="10989" width="5" customWidth="1"/>
    <col min="10990" max="10990" width="29.85546875" customWidth="1"/>
    <col min="10991" max="10991" width="8.5703125" customWidth="1"/>
    <col min="10992" max="10992" width="11.85546875" customWidth="1"/>
    <col min="10993" max="10993" width="13" customWidth="1"/>
    <col min="10994" max="10994" width="11.7109375" customWidth="1"/>
    <col min="10995" max="10995" width="11.7109375" bestFit="1" customWidth="1"/>
    <col min="10996" max="10996" width="11.7109375" customWidth="1"/>
    <col min="10997" max="10997" width="12.5703125" customWidth="1"/>
    <col min="10998" max="10998" width="11.7109375" bestFit="1" customWidth="1"/>
    <col min="11245" max="11245" width="5" customWidth="1"/>
    <col min="11246" max="11246" width="29.85546875" customWidth="1"/>
    <col min="11247" max="11247" width="8.5703125" customWidth="1"/>
    <col min="11248" max="11248" width="11.85546875" customWidth="1"/>
    <col min="11249" max="11249" width="13" customWidth="1"/>
    <col min="11250" max="11250" width="11.7109375" customWidth="1"/>
    <col min="11251" max="11251" width="11.7109375" bestFit="1" customWidth="1"/>
    <col min="11252" max="11252" width="11.7109375" customWidth="1"/>
    <col min="11253" max="11253" width="12.5703125" customWidth="1"/>
    <col min="11254" max="11254" width="11.7109375" bestFit="1" customWidth="1"/>
    <col min="11501" max="11501" width="5" customWidth="1"/>
    <col min="11502" max="11502" width="29.85546875" customWidth="1"/>
    <col min="11503" max="11503" width="8.5703125" customWidth="1"/>
    <col min="11504" max="11504" width="11.85546875" customWidth="1"/>
    <col min="11505" max="11505" width="13" customWidth="1"/>
    <col min="11506" max="11506" width="11.7109375" customWidth="1"/>
    <col min="11507" max="11507" width="11.7109375" bestFit="1" customWidth="1"/>
    <col min="11508" max="11508" width="11.7109375" customWidth="1"/>
    <col min="11509" max="11509" width="12.5703125" customWidth="1"/>
    <col min="11510" max="11510" width="11.7109375" bestFit="1" customWidth="1"/>
    <col min="11757" max="11757" width="5" customWidth="1"/>
    <col min="11758" max="11758" width="29.85546875" customWidth="1"/>
    <col min="11759" max="11759" width="8.5703125" customWidth="1"/>
    <col min="11760" max="11760" width="11.85546875" customWidth="1"/>
    <col min="11761" max="11761" width="13" customWidth="1"/>
    <col min="11762" max="11762" width="11.7109375" customWidth="1"/>
    <col min="11763" max="11763" width="11.7109375" bestFit="1" customWidth="1"/>
    <col min="11764" max="11764" width="11.7109375" customWidth="1"/>
    <col min="11765" max="11765" width="12.5703125" customWidth="1"/>
    <col min="11766" max="11766" width="11.7109375" bestFit="1" customWidth="1"/>
    <col min="12013" max="12013" width="5" customWidth="1"/>
    <col min="12014" max="12014" width="29.85546875" customWidth="1"/>
    <col min="12015" max="12015" width="8.5703125" customWidth="1"/>
    <col min="12016" max="12016" width="11.85546875" customWidth="1"/>
    <col min="12017" max="12017" width="13" customWidth="1"/>
    <col min="12018" max="12018" width="11.7109375" customWidth="1"/>
    <col min="12019" max="12019" width="11.7109375" bestFit="1" customWidth="1"/>
    <col min="12020" max="12020" width="11.7109375" customWidth="1"/>
    <col min="12021" max="12021" width="12.5703125" customWidth="1"/>
    <col min="12022" max="12022" width="11.7109375" bestFit="1" customWidth="1"/>
    <col min="12269" max="12269" width="5" customWidth="1"/>
    <col min="12270" max="12270" width="29.85546875" customWidth="1"/>
    <col min="12271" max="12271" width="8.5703125" customWidth="1"/>
    <col min="12272" max="12272" width="11.85546875" customWidth="1"/>
    <col min="12273" max="12273" width="13" customWidth="1"/>
    <col min="12274" max="12274" width="11.7109375" customWidth="1"/>
    <col min="12275" max="12275" width="11.7109375" bestFit="1" customWidth="1"/>
    <col min="12276" max="12276" width="11.7109375" customWidth="1"/>
    <col min="12277" max="12277" width="12.5703125" customWidth="1"/>
    <col min="12278" max="12278" width="11.7109375" bestFit="1" customWidth="1"/>
    <col min="12525" max="12525" width="5" customWidth="1"/>
    <col min="12526" max="12526" width="29.85546875" customWidth="1"/>
    <col min="12527" max="12527" width="8.5703125" customWidth="1"/>
    <col min="12528" max="12528" width="11.85546875" customWidth="1"/>
    <col min="12529" max="12529" width="13" customWidth="1"/>
    <col min="12530" max="12530" width="11.7109375" customWidth="1"/>
    <col min="12531" max="12531" width="11.7109375" bestFit="1" customWidth="1"/>
    <col min="12532" max="12532" width="11.7109375" customWidth="1"/>
    <col min="12533" max="12533" width="12.5703125" customWidth="1"/>
    <col min="12534" max="12534" width="11.7109375" bestFit="1" customWidth="1"/>
    <col min="12781" max="12781" width="5" customWidth="1"/>
    <col min="12782" max="12782" width="29.85546875" customWidth="1"/>
    <col min="12783" max="12783" width="8.5703125" customWidth="1"/>
    <col min="12784" max="12784" width="11.85546875" customWidth="1"/>
    <col min="12785" max="12785" width="13" customWidth="1"/>
    <col min="12786" max="12786" width="11.7109375" customWidth="1"/>
    <col min="12787" max="12787" width="11.7109375" bestFit="1" customWidth="1"/>
    <col min="12788" max="12788" width="11.7109375" customWidth="1"/>
    <col min="12789" max="12789" width="12.5703125" customWidth="1"/>
    <col min="12790" max="12790" width="11.7109375" bestFit="1" customWidth="1"/>
    <col min="13037" max="13037" width="5" customWidth="1"/>
    <col min="13038" max="13038" width="29.85546875" customWidth="1"/>
    <col min="13039" max="13039" width="8.5703125" customWidth="1"/>
    <col min="13040" max="13040" width="11.85546875" customWidth="1"/>
    <col min="13041" max="13041" width="13" customWidth="1"/>
    <col min="13042" max="13042" width="11.7109375" customWidth="1"/>
    <col min="13043" max="13043" width="11.7109375" bestFit="1" customWidth="1"/>
    <col min="13044" max="13044" width="11.7109375" customWidth="1"/>
    <col min="13045" max="13045" width="12.5703125" customWidth="1"/>
    <col min="13046" max="13046" width="11.7109375" bestFit="1" customWidth="1"/>
    <col min="13293" max="13293" width="5" customWidth="1"/>
    <col min="13294" max="13294" width="29.85546875" customWidth="1"/>
    <col min="13295" max="13295" width="8.5703125" customWidth="1"/>
    <col min="13296" max="13296" width="11.85546875" customWidth="1"/>
    <col min="13297" max="13297" width="13" customWidth="1"/>
    <col min="13298" max="13298" width="11.7109375" customWidth="1"/>
    <col min="13299" max="13299" width="11.7109375" bestFit="1" customWidth="1"/>
    <col min="13300" max="13300" width="11.7109375" customWidth="1"/>
    <col min="13301" max="13301" width="12.5703125" customWidth="1"/>
    <col min="13302" max="13302" width="11.7109375" bestFit="1" customWidth="1"/>
    <col min="13549" max="13549" width="5" customWidth="1"/>
    <col min="13550" max="13550" width="29.85546875" customWidth="1"/>
    <col min="13551" max="13551" width="8.5703125" customWidth="1"/>
    <col min="13552" max="13552" width="11.85546875" customWidth="1"/>
    <col min="13553" max="13553" width="13" customWidth="1"/>
    <col min="13554" max="13554" width="11.7109375" customWidth="1"/>
    <col min="13555" max="13555" width="11.7109375" bestFit="1" customWidth="1"/>
    <col min="13556" max="13556" width="11.7109375" customWidth="1"/>
    <col min="13557" max="13557" width="12.5703125" customWidth="1"/>
    <col min="13558" max="13558" width="11.7109375" bestFit="1" customWidth="1"/>
    <col min="13805" max="13805" width="5" customWidth="1"/>
    <col min="13806" max="13806" width="29.85546875" customWidth="1"/>
    <col min="13807" max="13807" width="8.5703125" customWidth="1"/>
    <col min="13808" max="13808" width="11.85546875" customWidth="1"/>
    <col min="13809" max="13809" width="13" customWidth="1"/>
    <col min="13810" max="13810" width="11.7109375" customWidth="1"/>
    <col min="13811" max="13811" width="11.7109375" bestFit="1" customWidth="1"/>
    <col min="13812" max="13812" width="11.7109375" customWidth="1"/>
    <col min="13813" max="13813" width="12.5703125" customWidth="1"/>
    <col min="13814" max="13814" width="11.7109375" bestFit="1" customWidth="1"/>
    <col min="14061" max="14061" width="5" customWidth="1"/>
    <col min="14062" max="14062" width="29.85546875" customWidth="1"/>
    <col min="14063" max="14063" width="8.5703125" customWidth="1"/>
    <col min="14064" max="14064" width="11.85546875" customWidth="1"/>
    <col min="14065" max="14065" width="13" customWidth="1"/>
    <col min="14066" max="14066" width="11.7109375" customWidth="1"/>
    <col min="14067" max="14067" width="11.7109375" bestFit="1" customWidth="1"/>
    <col min="14068" max="14068" width="11.7109375" customWidth="1"/>
    <col min="14069" max="14069" width="12.5703125" customWidth="1"/>
    <col min="14070" max="14070" width="11.7109375" bestFit="1" customWidth="1"/>
    <col min="14317" max="14317" width="5" customWidth="1"/>
    <col min="14318" max="14318" width="29.85546875" customWidth="1"/>
    <col min="14319" max="14319" width="8.5703125" customWidth="1"/>
    <col min="14320" max="14320" width="11.85546875" customWidth="1"/>
    <col min="14321" max="14321" width="13" customWidth="1"/>
    <col min="14322" max="14322" width="11.7109375" customWidth="1"/>
    <col min="14323" max="14323" width="11.7109375" bestFit="1" customWidth="1"/>
    <col min="14324" max="14324" width="11.7109375" customWidth="1"/>
    <col min="14325" max="14325" width="12.5703125" customWidth="1"/>
    <col min="14326" max="14326" width="11.7109375" bestFit="1" customWidth="1"/>
    <col min="14573" max="14573" width="5" customWidth="1"/>
    <col min="14574" max="14574" width="29.85546875" customWidth="1"/>
    <col min="14575" max="14575" width="8.5703125" customWidth="1"/>
    <col min="14576" max="14576" width="11.85546875" customWidth="1"/>
    <col min="14577" max="14577" width="13" customWidth="1"/>
    <col min="14578" max="14578" width="11.7109375" customWidth="1"/>
    <col min="14579" max="14579" width="11.7109375" bestFit="1" customWidth="1"/>
    <col min="14580" max="14580" width="11.7109375" customWidth="1"/>
    <col min="14581" max="14581" width="12.5703125" customWidth="1"/>
    <col min="14582" max="14582" width="11.7109375" bestFit="1" customWidth="1"/>
    <col min="14829" max="14829" width="5" customWidth="1"/>
    <col min="14830" max="14830" width="29.85546875" customWidth="1"/>
    <col min="14831" max="14831" width="8.5703125" customWidth="1"/>
    <col min="14832" max="14832" width="11.85546875" customWidth="1"/>
    <col min="14833" max="14833" width="13" customWidth="1"/>
    <col min="14834" max="14834" width="11.7109375" customWidth="1"/>
    <col min="14835" max="14835" width="11.7109375" bestFit="1" customWidth="1"/>
    <col min="14836" max="14836" width="11.7109375" customWidth="1"/>
    <col min="14837" max="14837" width="12.5703125" customWidth="1"/>
    <col min="14838" max="14838" width="11.7109375" bestFit="1" customWidth="1"/>
    <col min="15085" max="15085" width="5" customWidth="1"/>
    <col min="15086" max="15086" width="29.85546875" customWidth="1"/>
    <col min="15087" max="15087" width="8.5703125" customWidth="1"/>
    <col min="15088" max="15088" width="11.85546875" customWidth="1"/>
    <col min="15089" max="15089" width="13" customWidth="1"/>
    <col min="15090" max="15090" width="11.7109375" customWidth="1"/>
    <col min="15091" max="15091" width="11.7109375" bestFit="1" customWidth="1"/>
    <col min="15092" max="15092" width="11.7109375" customWidth="1"/>
    <col min="15093" max="15093" width="12.5703125" customWidth="1"/>
    <col min="15094" max="15094" width="11.7109375" bestFit="1" customWidth="1"/>
    <col min="15341" max="15341" width="5" customWidth="1"/>
    <col min="15342" max="15342" width="29.85546875" customWidth="1"/>
    <col min="15343" max="15343" width="8.5703125" customWidth="1"/>
    <col min="15344" max="15344" width="11.85546875" customWidth="1"/>
    <col min="15345" max="15345" width="13" customWidth="1"/>
    <col min="15346" max="15346" width="11.7109375" customWidth="1"/>
    <col min="15347" max="15347" width="11.7109375" bestFit="1" customWidth="1"/>
    <col min="15348" max="15348" width="11.7109375" customWidth="1"/>
    <col min="15349" max="15349" width="12.5703125" customWidth="1"/>
    <col min="15350" max="15350" width="11.7109375" bestFit="1" customWidth="1"/>
    <col min="15597" max="15597" width="5" customWidth="1"/>
    <col min="15598" max="15598" width="29.85546875" customWidth="1"/>
    <col min="15599" max="15599" width="8.5703125" customWidth="1"/>
    <col min="15600" max="15600" width="11.85546875" customWidth="1"/>
    <col min="15601" max="15601" width="13" customWidth="1"/>
    <col min="15602" max="15602" width="11.7109375" customWidth="1"/>
    <col min="15603" max="15603" width="11.7109375" bestFit="1" customWidth="1"/>
    <col min="15604" max="15604" width="11.7109375" customWidth="1"/>
    <col min="15605" max="15605" width="12.5703125" customWidth="1"/>
    <col min="15606" max="15606" width="11.7109375" bestFit="1" customWidth="1"/>
    <col min="15853" max="15853" width="5" customWidth="1"/>
    <col min="15854" max="15854" width="29.85546875" customWidth="1"/>
    <col min="15855" max="15855" width="8.5703125" customWidth="1"/>
    <col min="15856" max="15856" width="11.85546875" customWidth="1"/>
    <col min="15857" max="15857" width="13" customWidth="1"/>
    <col min="15858" max="15858" width="11.7109375" customWidth="1"/>
    <col min="15859" max="15859" width="11.7109375" bestFit="1" customWidth="1"/>
    <col min="15860" max="15860" width="11.7109375" customWidth="1"/>
    <col min="15861" max="15861" width="12.5703125" customWidth="1"/>
    <col min="15862" max="15862" width="11.7109375" bestFit="1" customWidth="1"/>
    <col min="16109" max="16109" width="5" customWidth="1"/>
    <col min="16110" max="16110" width="29.85546875" customWidth="1"/>
    <col min="16111" max="16111" width="8.5703125" customWidth="1"/>
    <col min="16112" max="16112" width="11.85546875" customWidth="1"/>
    <col min="16113" max="16113" width="13" customWidth="1"/>
    <col min="16114" max="16114" width="11.7109375" customWidth="1"/>
    <col min="16115" max="16115" width="11.7109375" bestFit="1" customWidth="1"/>
    <col min="16116" max="16116" width="11.7109375" customWidth="1"/>
    <col min="16117" max="16117" width="12.5703125" customWidth="1"/>
    <col min="16118" max="16118" width="11.7109375" bestFit="1" customWidth="1"/>
  </cols>
  <sheetData>
    <row r="1" spans="1:13" x14ac:dyDescent="0.25">
      <c r="A1" s="58" t="s">
        <v>0</v>
      </c>
      <c r="C1" t="s">
        <v>69</v>
      </c>
      <c r="E1"/>
      <c r="F1" s="1"/>
      <c r="G1" s="1"/>
    </row>
    <row r="2" spans="1:13" ht="15.75" customHeight="1" x14ac:dyDescent="0.25">
      <c r="A2" t="s">
        <v>43</v>
      </c>
      <c r="C2" t="s">
        <v>70</v>
      </c>
      <c r="E2"/>
      <c r="J2" t="s">
        <v>78</v>
      </c>
    </row>
    <row r="3" spans="1:13" ht="16.5" customHeight="1" x14ac:dyDescent="0.25">
      <c r="A3" s="2" t="s">
        <v>44</v>
      </c>
      <c r="C3" t="s">
        <v>71</v>
      </c>
      <c r="E3"/>
    </row>
    <row r="4" spans="1:13" x14ac:dyDescent="0.25">
      <c r="B4" s="3"/>
      <c r="C4" s="3"/>
      <c r="D4" s="3"/>
    </row>
    <row r="6" spans="1:13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  <c r="K6" s="660"/>
      <c r="L6" s="660"/>
      <c r="M6" s="660"/>
    </row>
    <row r="7" spans="1:13" x14ac:dyDescent="0.25">
      <c r="C7" s="702" t="s">
        <v>116</v>
      </c>
      <c r="D7" s="702"/>
      <c r="E7" s="702"/>
      <c r="F7" s="702"/>
      <c r="G7" s="702"/>
      <c r="H7" s="702"/>
      <c r="I7" s="702"/>
      <c r="J7" s="702"/>
      <c r="K7" s="661"/>
      <c r="L7" s="661"/>
      <c r="M7" s="661"/>
    </row>
    <row r="8" spans="1:13" x14ac:dyDescent="0.25">
      <c r="B8" s="68"/>
      <c r="C8" s="703" t="s">
        <v>160</v>
      </c>
      <c r="D8" s="703"/>
      <c r="E8" s="703"/>
      <c r="F8" s="703"/>
      <c r="G8" s="703"/>
      <c r="H8" s="703"/>
      <c r="I8" s="703"/>
      <c r="J8" s="703"/>
      <c r="K8" s="662"/>
      <c r="L8" s="662"/>
      <c r="M8" s="662"/>
    </row>
    <row r="10" spans="1:13" ht="15.75" thickBot="1" x14ac:dyDescent="0.3">
      <c r="E10" s="4"/>
      <c r="F10" s="5"/>
    </row>
    <row r="11" spans="1:13" ht="30.75" thickBot="1" x14ac:dyDescent="0.3">
      <c r="E11" s="580" t="s">
        <v>2</v>
      </c>
      <c r="F11" s="581" t="s">
        <v>3</v>
      </c>
      <c r="G11" s="97" t="s">
        <v>75</v>
      </c>
      <c r="H11" s="582" t="s">
        <v>120</v>
      </c>
      <c r="I11" s="583" t="s">
        <v>76</v>
      </c>
      <c r="J11" s="584" t="s">
        <v>120</v>
      </c>
      <c r="K11" s="570"/>
      <c r="L11" s="570"/>
      <c r="M11" s="570"/>
    </row>
    <row r="12" spans="1:13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44">
        <v>3</v>
      </c>
      <c r="I12" s="586">
        <v>4</v>
      </c>
      <c r="J12" s="587" t="s">
        <v>152</v>
      </c>
      <c r="K12" s="604"/>
      <c r="L12" s="604"/>
      <c r="M12" s="604"/>
    </row>
    <row r="13" spans="1:13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573">
        <v>3322996.32</v>
      </c>
      <c r="I13" s="588">
        <f>360883+7.67</f>
        <v>360890.67</v>
      </c>
      <c r="J13" s="436">
        <f>H13+I13</f>
        <v>3683886.9899999998</v>
      </c>
      <c r="K13" s="571"/>
      <c r="L13" s="571"/>
      <c r="M13" s="571"/>
    </row>
    <row r="14" spans="1:13" s="262" customFormat="1" ht="15.75" thickBot="1" x14ac:dyDescent="0.3">
      <c r="B14" s="12"/>
      <c r="C14" s="12"/>
      <c r="D14" s="12"/>
      <c r="E14" s="445"/>
      <c r="F14" s="589" t="s">
        <v>66</v>
      </c>
      <c r="G14" s="325">
        <v>39</v>
      </c>
      <c r="H14" s="574">
        <v>3322996.32</v>
      </c>
      <c r="I14" s="590">
        <f>SUM(I13)</f>
        <v>360890.67</v>
      </c>
      <c r="J14" s="424">
        <f>SUM(J13)</f>
        <v>3683886.9899999998</v>
      </c>
      <c r="K14" s="572"/>
      <c r="L14" s="572"/>
      <c r="M14" s="572"/>
    </row>
    <row r="15" spans="1:13" x14ac:dyDescent="0.25">
      <c r="E15" s="321" t="s">
        <v>10</v>
      </c>
      <c r="F15" s="312" t="s">
        <v>11</v>
      </c>
      <c r="G15" s="322"/>
      <c r="H15" s="573">
        <v>7000766.6800000006</v>
      </c>
      <c r="I15" s="585">
        <v>631685.32999999996</v>
      </c>
      <c r="J15" s="438">
        <f>H15+I15</f>
        <v>7632452.0100000007</v>
      </c>
      <c r="K15" s="571"/>
      <c r="L15" s="571"/>
      <c r="M15" s="571"/>
    </row>
    <row r="16" spans="1:13" ht="15.75" thickBot="1" x14ac:dyDescent="0.3">
      <c r="E16" s="276"/>
      <c r="F16" s="277" t="s">
        <v>9</v>
      </c>
      <c r="G16" s="10">
        <v>82</v>
      </c>
      <c r="H16" s="575">
        <v>7000766.6800000006</v>
      </c>
      <c r="I16" s="591">
        <f>SUM(I15)</f>
        <v>631685.32999999996</v>
      </c>
      <c r="J16" s="426">
        <f>SUM(J15)</f>
        <v>7632452.0100000007</v>
      </c>
      <c r="K16" s="572"/>
      <c r="L16" s="572"/>
      <c r="M16" s="572"/>
    </row>
    <row r="17" spans="2:13" ht="15.75" thickBot="1" x14ac:dyDescent="0.3">
      <c r="E17" s="445">
        <v>3</v>
      </c>
      <c r="F17" s="328" t="s">
        <v>65</v>
      </c>
      <c r="G17" s="311"/>
      <c r="H17" s="576">
        <v>6037967</v>
      </c>
      <c r="I17" s="592">
        <v>576094</v>
      </c>
      <c r="J17" s="428">
        <f>H17+I17</f>
        <v>6614061</v>
      </c>
      <c r="K17" s="571"/>
      <c r="L17" s="571"/>
      <c r="M17" s="571"/>
    </row>
    <row r="18" spans="2:13" ht="15.75" thickBot="1" x14ac:dyDescent="0.3">
      <c r="E18" s="441"/>
      <c r="F18" s="326" t="s">
        <v>9</v>
      </c>
      <c r="G18" s="327">
        <v>78</v>
      </c>
      <c r="H18" s="595">
        <v>6037967</v>
      </c>
      <c r="I18" s="596">
        <f>SUM(I17)</f>
        <v>576094</v>
      </c>
      <c r="J18" s="603">
        <f>SUM(J17)</f>
        <v>6614061</v>
      </c>
      <c r="K18" s="572"/>
      <c r="L18" s="572"/>
      <c r="M18" s="572"/>
    </row>
    <row r="19" spans="2:13" s="280" customFormat="1" ht="15.75" x14ac:dyDescent="0.25">
      <c r="E19" s="593"/>
      <c r="F19" s="597" t="s">
        <v>67</v>
      </c>
      <c r="G19" s="285">
        <f>G16+G18</f>
        <v>160</v>
      </c>
      <c r="H19" s="598">
        <v>13038733.68</v>
      </c>
      <c r="I19" s="599">
        <f>I16+I18</f>
        <v>1207779.33</v>
      </c>
      <c r="J19" s="600">
        <f>J16+J18</f>
        <v>14246513.010000002</v>
      </c>
      <c r="K19" s="572"/>
      <c r="L19" s="572"/>
      <c r="M19" s="572"/>
    </row>
    <row r="20" spans="2:13" s="281" customFormat="1" ht="16.5" thickBot="1" x14ac:dyDescent="0.3">
      <c r="B20" s="282"/>
      <c r="C20" s="282"/>
      <c r="D20" s="282"/>
      <c r="E20" s="594"/>
      <c r="F20" s="601" t="s">
        <v>13</v>
      </c>
      <c r="G20" s="289">
        <f>G14+G19</f>
        <v>199</v>
      </c>
      <c r="H20" s="577">
        <v>16361730</v>
      </c>
      <c r="I20" s="602">
        <f>I14+I19</f>
        <v>1568670</v>
      </c>
      <c r="J20" s="434">
        <f>J14+J19</f>
        <v>17930400</v>
      </c>
      <c r="K20" s="572"/>
      <c r="L20" s="572"/>
      <c r="M20" s="572"/>
    </row>
    <row r="21" spans="2:13" x14ac:dyDescent="0.25">
      <c r="E21" s="419"/>
      <c r="F21" s="419"/>
      <c r="G21" s="419"/>
      <c r="H21" s="422"/>
      <c r="I21" s="422"/>
      <c r="J21" s="422"/>
      <c r="K21" s="422"/>
      <c r="L21" s="422"/>
      <c r="M21" s="422"/>
    </row>
    <row r="22" spans="2:13" x14ac:dyDescent="0.25">
      <c r="G22" s="119"/>
      <c r="H22" s="9"/>
      <c r="I22" s="9"/>
      <c r="J22" s="9"/>
      <c r="K22" s="9"/>
      <c r="L22" s="9"/>
      <c r="M22" s="9"/>
    </row>
    <row r="23" spans="2:13" x14ac:dyDescent="0.25">
      <c r="H23" s="9"/>
      <c r="J23" s="9"/>
      <c r="K23" s="9"/>
      <c r="L23" s="9"/>
      <c r="M23" s="9"/>
    </row>
    <row r="24" spans="2:13" x14ac:dyDescent="0.25">
      <c r="E24"/>
      <c r="F24" s="48" t="s">
        <v>45</v>
      </c>
    </row>
    <row r="25" spans="2:13" x14ac:dyDescent="0.25">
      <c r="E25"/>
      <c r="F25" s="661" t="s">
        <v>48</v>
      </c>
      <c r="H25" s="9"/>
      <c r="I25" s="9"/>
      <c r="J25" s="578" t="s">
        <v>73</v>
      </c>
      <c r="K25" s="9"/>
      <c r="L25" s="9"/>
      <c r="M25" s="9"/>
    </row>
    <row r="26" spans="2:13" x14ac:dyDescent="0.25">
      <c r="H26" s="9"/>
      <c r="J26" s="579" t="s">
        <v>74</v>
      </c>
      <c r="K26" s="578"/>
      <c r="L26" s="578"/>
      <c r="M26" s="578"/>
    </row>
    <row r="27" spans="2:13" x14ac:dyDescent="0.25">
      <c r="J27" s="579"/>
      <c r="K27" s="579"/>
      <c r="L27" s="579"/>
      <c r="M27" s="579"/>
    </row>
  </sheetData>
  <mergeCells count="3">
    <mergeCell ref="B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D27" sqref="D27"/>
    </sheetView>
  </sheetViews>
  <sheetFormatPr defaultRowHeight="15" x14ac:dyDescent="0.25"/>
  <cols>
    <col min="1" max="1" width="8" customWidth="1"/>
    <col min="2" max="2" width="5.5703125" customWidth="1"/>
    <col min="3" max="3" width="36.28515625" style="370" customWidth="1"/>
    <col min="4" max="4" width="13.5703125" style="370" customWidth="1"/>
    <col min="5" max="5" width="13.85546875" style="370" customWidth="1"/>
    <col min="6" max="6" width="15.42578125" style="371" customWidth="1"/>
    <col min="7" max="7" width="14.85546875" customWidth="1"/>
    <col min="8" max="8" width="16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90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93</v>
      </c>
      <c r="B8" s="703"/>
      <c r="C8" s="703"/>
      <c r="D8" s="703"/>
      <c r="E8" s="703"/>
      <c r="F8" s="703"/>
      <c r="G8" s="703"/>
      <c r="H8" s="703"/>
      <c r="I8" s="703"/>
      <c r="J8" s="296"/>
    </row>
    <row r="9" spans="1:10" ht="15.75" thickBot="1" x14ac:dyDescent="0.3">
      <c r="B9" s="4"/>
      <c r="C9" s="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87</v>
      </c>
      <c r="F10" s="292" t="s">
        <v>82</v>
      </c>
      <c r="G10" s="299" t="s">
        <v>63</v>
      </c>
      <c r="H10" s="292" t="s">
        <v>88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304">
        <v>4</v>
      </c>
      <c r="G11" s="305">
        <v>5</v>
      </c>
      <c r="H11" s="304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6"/>
      <c r="F12" s="18"/>
      <c r="G12" s="356"/>
      <c r="H12" s="18"/>
    </row>
    <row r="13" spans="1:10" x14ac:dyDescent="0.25">
      <c r="B13" s="102"/>
      <c r="C13" s="107" t="s">
        <v>6</v>
      </c>
      <c r="D13" s="8">
        <v>31</v>
      </c>
      <c r="E13" s="8">
        <f>403+403</f>
        <v>806</v>
      </c>
      <c r="F13" s="19">
        <v>226083</v>
      </c>
      <c r="G13" s="67">
        <v>226083</v>
      </c>
      <c r="H13" s="19">
        <f>F13+G13</f>
        <v>452166</v>
      </c>
    </row>
    <row r="14" spans="1:10" x14ac:dyDescent="0.25">
      <c r="B14" s="102"/>
      <c r="C14" s="107" t="s">
        <v>7</v>
      </c>
      <c r="D14" s="8">
        <v>3</v>
      </c>
      <c r="E14" s="8">
        <v>3</v>
      </c>
      <c r="F14" s="19">
        <v>15384</v>
      </c>
      <c r="G14" s="67">
        <v>15384</v>
      </c>
      <c r="H14" s="19">
        <f>F14+G14</f>
        <v>30768</v>
      </c>
    </row>
    <row r="15" spans="1:10" x14ac:dyDescent="0.25">
      <c r="B15" s="102"/>
      <c r="C15" s="107" t="s">
        <v>8</v>
      </c>
      <c r="D15" s="8">
        <v>0</v>
      </c>
      <c r="E15" s="8">
        <v>0</v>
      </c>
      <c r="F15" s="19">
        <v>0</v>
      </c>
      <c r="G15" s="67">
        <v>0</v>
      </c>
      <c r="H15" s="19">
        <f>F15+G15</f>
        <v>0</v>
      </c>
    </row>
    <row r="16" spans="1:10" s="12" customFormat="1" x14ac:dyDescent="0.25">
      <c r="B16" s="110"/>
      <c r="C16" s="111" t="s">
        <v>9</v>
      </c>
      <c r="D16" s="114">
        <v>34</v>
      </c>
      <c r="E16" s="10" t="s">
        <v>14</v>
      </c>
      <c r="F16" s="255">
        <v>241467</v>
      </c>
      <c r="G16" s="115">
        <f>SUM(G13:G15)</f>
        <v>241467</v>
      </c>
      <c r="H16" s="183">
        <f>SUM(H13:H15)</f>
        <v>482934</v>
      </c>
    </row>
    <row r="17" spans="2:9" x14ac:dyDescent="0.25">
      <c r="B17" s="7" t="s">
        <v>10</v>
      </c>
      <c r="C17" s="112" t="s">
        <v>11</v>
      </c>
      <c r="D17" s="8"/>
      <c r="E17" s="8"/>
      <c r="F17" s="253"/>
      <c r="G17" s="187"/>
      <c r="H17" s="182"/>
    </row>
    <row r="18" spans="2:9" x14ac:dyDescent="0.25">
      <c r="B18" s="7"/>
      <c r="C18" s="70" t="s">
        <v>6</v>
      </c>
      <c r="D18" s="13">
        <v>77</v>
      </c>
      <c r="E18" s="175">
        <f>1001+1001</f>
        <v>2002</v>
      </c>
      <c r="F18" s="256">
        <v>561561</v>
      </c>
      <c r="G18" s="67">
        <v>561561</v>
      </c>
      <c r="H18" s="19">
        <f>F18+G18</f>
        <v>1123122</v>
      </c>
    </row>
    <row r="19" spans="2:9" x14ac:dyDescent="0.25">
      <c r="B19" s="7"/>
      <c r="C19" s="70" t="s">
        <v>7</v>
      </c>
      <c r="D19" s="13">
        <v>3</v>
      </c>
      <c r="E19" s="175">
        <v>3</v>
      </c>
      <c r="F19" s="19">
        <v>14496</v>
      </c>
      <c r="G19" s="67">
        <v>14496</v>
      </c>
      <c r="H19" s="19">
        <f>F19+G19</f>
        <v>28992</v>
      </c>
    </row>
    <row r="20" spans="2:9" x14ac:dyDescent="0.25">
      <c r="B20" s="7"/>
      <c r="C20" s="70" t="s">
        <v>12</v>
      </c>
      <c r="D20" s="13">
        <v>12</v>
      </c>
      <c r="E20" s="175">
        <f>156+156</f>
        <v>312</v>
      </c>
      <c r="F20" s="19">
        <v>99216</v>
      </c>
      <c r="G20" s="67">
        <v>99216</v>
      </c>
      <c r="H20" s="19">
        <f>F20+G20</f>
        <v>198432</v>
      </c>
    </row>
    <row r="21" spans="2:9" s="12" customFormat="1" x14ac:dyDescent="0.25">
      <c r="B21" s="116"/>
      <c r="C21" s="113" t="s">
        <v>9</v>
      </c>
      <c r="D21" s="114">
        <v>92</v>
      </c>
      <c r="E21" s="114" t="s">
        <v>14</v>
      </c>
      <c r="F21" s="183">
        <v>675273</v>
      </c>
      <c r="G21" s="115">
        <f>SUM(G18:G20)</f>
        <v>675273</v>
      </c>
      <c r="H21" s="183">
        <f>SUM(H18:H20)</f>
        <v>1350546</v>
      </c>
    </row>
    <row r="22" spans="2:9" s="12" customFormat="1" x14ac:dyDescent="0.25">
      <c r="B22" s="116" t="s">
        <v>60</v>
      </c>
      <c r="C22" s="113" t="s">
        <v>59</v>
      </c>
      <c r="D22" s="114"/>
      <c r="E22" s="114"/>
      <c r="F22" s="254"/>
      <c r="G22" s="244"/>
      <c r="H22" s="183"/>
    </row>
    <row r="23" spans="2:9" s="12" customFormat="1" x14ac:dyDescent="0.25">
      <c r="B23" s="117"/>
      <c r="C23" s="70" t="s">
        <v>6</v>
      </c>
      <c r="D23" s="8">
        <v>60</v>
      </c>
      <c r="E23" s="8">
        <f>780+780</f>
        <v>1560</v>
      </c>
      <c r="F23" s="355">
        <v>437580</v>
      </c>
      <c r="G23" s="67">
        <v>437580</v>
      </c>
      <c r="H23" s="182">
        <f>F23+G23</f>
        <v>875160</v>
      </c>
    </row>
    <row r="24" spans="2:9" s="12" customFormat="1" ht="15.75" thickBot="1" x14ac:dyDescent="0.3">
      <c r="B24" s="118"/>
      <c r="C24" s="357" t="s">
        <v>12</v>
      </c>
      <c r="D24" s="257">
        <v>10</v>
      </c>
      <c r="E24" s="257">
        <f>130+130</f>
        <v>260</v>
      </c>
      <c r="F24" s="358">
        <v>82680</v>
      </c>
      <c r="G24" s="359">
        <v>82680</v>
      </c>
      <c r="H24" s="360">
        <f>F24+G24</f>
        <v>165360</v>
      </c>
    </row>
    <row r="25" spans="2:9" s="12" customFormat="1" ht="15.75" thickBot="1" x14ac:dyDescent="0.3">
      <c r="B25" s="351"/>
      <c r="C25" s="352" t="s">
        <v>9</v>
      </c>
      <c r="D25" s="258">
        <v>70</v>
      </c>
      <c r="E25" s="353"/>
      <c r="F25" s="260">
        <v>520260</v>
      </c>
      <c r="G25" s="354">
        <f>SUM(G23:G24)</f>
        <v>520260</v>
      </c>
      <c r="H25" s="260">
        <f>SUM(H23:H24)</f>
        <v>1040520</v>
      </c>
    </row>
    <row r="26" spans="2:9" s="15" customFormat="1" ht="15.75" thickBot="1" x14ac:dyDescent="0.3">
      <c r="B26" s="103"/>
      <c r="C26" s="108" t="s">
        <v>13</v>
      </c>
      <c r="D26" s="64">
        <f>D16+D21+D25</f>
        <v>196</v>
      </c>
      <c r="E26" s="258" t="s">
        <v>14</v>
      </c>
      <c r="F26" s="260">
        <f>F16+F21+F25</f>
        <v>1437000</v>
      </c>
      <c r="G26" s="309">
        <f>G16+G21+G25</f>
        <v>1437000</v>
      </c>
      <c r="H26" s="310">
        <f>H16+H21+H25</f>
        <v>2874000</v>
      </c>
    </row>
    <row r="27" spans="2:9" x14ac:dyDescent="0.25">
      <c r="B27" s="16"/>
      <c r="C27" s="17"/>
    </row>
    <row r="28" spans="2:9" x14ac:dyDescent="0.25">
      <c r="D28" s="119"/>
      <c r="F28" s="83"/>
    </row>
    <row r="29" spans="2:9" x14ac:dyDescent="0.25">
      <c r="C29" s="48" t="s">
        <v>45</v>
      </c>
      <c r="F29" s="370"/>
      <c r="G29" s="1" t="s">
        <v>44</v>
      </c>
      <c r="H29" s="1"/>
      <c r="I29" s="1"/>
    </row>
    <row r="30" spans="2:9" x14ac:dyDescent="0.25">
      <c r="C30" s="370" t="s">
        <v>48</v>
      </c>
      <c r="F30" s="370"/>
      <c r="G30" s="704" t="s">
        <v>46</v>
      </c>
      <c r="H30" s="704"/>
    </row>
    <row r="31" spans="2:9" x14ac:dyDescent="0.25">
      <c r="C31"/>
      <c r="F31" s="370"/>
      <c r="G31" s="371"/>
    </row>
    <row r="32" spans="2:9" x14ac:dyDescent="0.25">
      <c r="B32" s="370"/>
      <c r="F32" s="54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G4" workbookViewId="0">
      <selection activeCell="N4" sqref="N1:T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8.42578125" style="385" customWidth="1"/>
    <col min="6" max="6" width="30.85546875" style="385" customWidth="1"/>
    <col min="7" max="7" width="16.85546875" style="385" customWidth="1"/>
    <col min="8" max="8" width="18.5703125" customWidth="1"/>
    <col min="9" max="9" width="18.42578125" customWidth="1"/>
    <col min="10" max="10" width="20" customWidth="1"/>
    <col min="11" max="13" width="14.7109375" customWidth="1"/>
    <col min="235" max="235" width="5" customWidth="1"/>
    <col min="236" max="236" width="29.85546875" customWidth="1"/>
    <col min="237" max="237" width="8.5703125" customWidth="1"/>
    <col min="238" max="238" width="11.85546875" customWidth="1"/>
    <col min="239" max="239" width="13" customWidth="1"/>
    <col min="240" max="240" width="11.7109375" customWidth="1"/>
    <col min="241" max="241" width="11.7109375" bestFit="1" customWidth="1"/>
    <col min="242" max="242" width="11.7109375" customWidth="1"/>
    <col min="243" max="243" width="12.5703125" customWidth="1"/>
    <col min="244" max="244" width="11.7109375" bestFit="1" customWidth="1"/>
    <col min="491" max="491" width="5" customWidth="1"/>
    <col min="492" max="492" width="29.85546875" customWidth="1"/>
    <col min="493" max="493" width="8.5703125" customWidth="1"/>
    <col min="494" max="494" width="11.85546875" customWidth="1"/>
    <col min="495" max="495" width="13" customWidth="1"/>
    <col min="496" max="496" width="11.7109375" customWidth="1"/>
    <col min="497" max="497" width="11.7109375" bestFit="1" customWidth="1"/>
    <col min="498" max="498" width="11.7109375" customWidth="1"/>
    <col min="499" max="499" width="12.5703125" customWidth="1"/>
    <col min="500" max="500" width="11.7109375" bestFit="1" customWidth="1"/>
    <col min="747" max="747" width="5" customWidth="1"/>
    <col min="748" max="748" width="29.85546875" customWidth="1"/>
    <col min="749" max="749" width="8.5703125" customWidth="1"/>
    <col min="750" max="750" width="11.85546875" customWidth="1"/>
    <col min="751" max="751" width="13" customWidth="1"/>
    <col min="752" max="752" width="11.7109375" customWidth="1"/>
    <col min="753" max="753" width="11.7109375" bestFit="1" customWidth="1"/>
    <col min="754" max="754" width="11.7109375" customWidth="1"/>
    <col min="755" max="755" width="12.5703125" customWidth="1"/>
    <col min="756" max="756" width="11.7109375" bestFit="1" customWidth="1"/>
    <col min="1003" max="1003" width="5" customWidth="1"/>
    <col min="1004" max="1004" width="29.85546875" customWidth="1"/>
    <col min="1005" max="1005" width="8.5703125" customWidth="1"/>
    <col min="1006" max="1006" width="11.85546875" customWidth="1"/>
    <col min="1007" max="1007" width="13" customWidth="1"/>
    <col min="1008" max="1008" width="11.7109375" customWidth="1"/>
    <col min="1009" max="1009" width="11.7109375" bestFit="1" customWidth="1"/>
    <col min="1010" max="1010" width="11.7109375" customWidth="1"/>
    <col min="1011" max="1011" width="12.5703125" customWidth="1"/>
    <col min="1012" max="1012" width="11.7109375" bestFit="1" customWidth="1"/>
    <col min="1259" max="1259" width="5" customWidth="1"/>
    <col min="1260" max="1260" width="29.85546875" customWidth="1"/>
    <col min="1261" max="1261" width="8.5703125" customWidth="1"/>
    <col min="1262" max="1262" width="11.85546875" customWidth="1"/>
    <col min="1263" max="1263" width="13" customWidth="1"/>
    <col min="1264" max="1264" width="11.7109375" customWidth="1"/>
    <col min="1265" max="1265" width="11.7109375" bestFit="1" customWidth="1"/>
    <col min="1266" max="1266" width="11.7109375" customWidth="1"/>
    <col min="1267" max="1267" width="12.5703125" customWidth="1"/>
    <col min="1268" max="1268" width="11.7109375" bestFit="1" customWidth="1"/>
    <col min="1515" max="1515" width="5" customWidth="1"/>
    <col min="1516" max="1516" width="29.85546875" customWidth="1"/>
    <col min="1517" max="1517" width="8.5703125" customWidth="1"/>
    <col min="1518" max="1518" width="11.85546875" customWidth="1"/>
    <col min="1519" max="1519" width="13" customWidth="1"/>
    <col min="1520" max="1520" width="11.7109375" customWidth="1"/>
    <col min="1521" max="1521" width="11.7109375" bestFit="1" customWidth="1"/>
    <col min="1522" max="1522" width="11.7109375" customWidth="1"/>
    <col min="1523" max="1523" width="12.5703125" customWidth="1"/>
    <col min="1524" max="1524" width="11.7109375" bestFit="1" customWidth="1"/>
    <col min="1771" max="1771" width="5" customWidth="1"/>
    <col min="1772" max="1772" width="29.85546875" customWidth="1"/>
    <col min="1773" max="1773" width="8.5703125" customWidth="1"/>
    <col min="1774" max="1774" width="11.85546875" customWidth="1"/>
    <col min="1775" max="1775" width="13" customWidth="1"/>
    <col min="1776" max="1776" width="11.7109375" customWidth="1"/>
    <col min="1777" max="1777" width="11.7109375" bestFit="1" customWidth="1"/>
    <col min="1778" max="1778" width="11.7109375" customWidth="1"/>
    <col min="1779" max="1779" width="12.5703125" customWidth="1"/>
    <col min="1780" max="1780" width="11.7109375" bestFit="1" customWidth="1"/>
    <col min="2027" max="2027" width="5" customWidth="1"/>
    <col min="2028" max="2028" width="29.85546875" customWidth="1"/>
    <col min="2029" max="2029" width="8.5703125" customWidth="1"/>
    <col min="2030" max="2030" width="11.85546875" customWidth="1"/>
    <col min="2031" max="2031" width="13" customWidth="1"/>
    <col min="2032" max="2032" width="11.7109375" customWidth="1"/>
    <col min="2033" max="2033" width="11.7109375" bestFit="1" customWidth="1"/>
    <col min="2034" max="2034" width="11.7109375" customWidth="1"/>
    <col min="2035" max="2035" width="12.5703125" customWidth="1"/>
    <col min="2036" max="2036" width="11.7109375" bestFit="1" customWidth="1"/>
    <col min="2283" max="2283" width="5" customWidth="1"/>
    <col min="2284" max="2284" width="29.85546875" customWidth="1"/>
    <col min="2285" max="2285" width="8.5703125" customWidth="1"/>
    <col min="2286" max="2286" width="11.85546875" customWidth="1"/>
    <col min="2287" max="2287" width="13" customWidth="1"/>
    <col min="2288" max="2288" width="11.7109375" customWidth="1"/>
    <col min="2289" max="2289" width="11.7109375" bestFit="1" customWidth="1"/>
    <col min="2290" max="2290" width="11.7109375" customWidth="1"/>
    <col min="2291" max="2291" width="12.5703125" customWidth="1"/>
    <col min="2292" max="2292" width="11.7109375" bestFit="1" customWidth="1"/>
    <col min="2539" max="2539" width="5" customWidth="1"/>
    <col min="2540" max="2540" width="29.85546875" customWidth="1"/>
    <col min="2541" max="2541" width="8.5703125" customWidth="1"/>
    <col min="2542" max="2542" width="11.85546875" customWidth="1"/>
    <col min="2543" max="2543" width="13" customWidth="1"/>
    <col min="2544" max="2544" width="11.7109375" customWidth="1"/>
    <col min="2545" max="2545" width="11.7109375" bestFit="1" customWidth="1"/>
    <col min="2546" max="2546" width="11.7109375" customWidth="1"/>
    <col min="2547" max="2547" width="12.5703125" customWidth="1"/>
    <col min="2548" max="2548" width="11.7109375" bestFit="1" customWidth="1"/>
    <col min="2795" max="2795" width="5" customWidth="1"/>
    <col min="2796" max="2796" width="29.85546875" customWidth="1"/>
    <col min="2797" max="2797" width="8.5703125" customWidth="1"/>
    <col min="2798" max="2798" width="11.85546875" customWidth="1"/>
    <col min="2799" max="2799" width="13" customWidth="1"/>
    <col min="2800" max="2800" width="11.7109375" customWidth="1"/>
    <col min="2801" max="2801" width="11.7109375" bestFit="1" customWidth="1"/>
    <col min="2802" max="2802" width="11.7109375" customWidth="1"/>
    <col min="2803" max="2803" width="12.5703125" customWidth="1"/>
    <col min="2804" max="2804" width="11.7109375" bestFit="1" customWidth="1"/>
    <col min="3051" max="3051" width="5" customWidth="1"/>
    <col min="3052" max="3052" width="29.85546875" customWidth="1"/>
    <col min="3053" max="3053" width="8.5703125" customWidth="1"/>
    <col min="3054" max="3054" width="11.85546875" customWidth="1"/>
    <col min="3055" max="3055" width="13" customWidth="1"/>
    <col min="3056" max="3056" width="11.7109375" customWidth="1"/>
    <col min="3057" max="3057" width="11.7109375" bestFit="1" customWidth="1"/>
    <col min="3058" max="3058" width="11.7109375" customWidth="1"/>
    <col min="3059" max="3059" width="12.5703125" customWidth="1"/>
    <col min="3060" max="3060" width="11.7109375" bestFit="1" customWidth="1"/>
    <col min="3307" max="3307" width="5" customWidth="1"/>
    <col min="3308" max="3308" width="29.85546875" customWidth="1"/>
    <col min="3309" max="3309" width="8.5703125" customWidth="1"/>
    <col min="3310" max="3310" width="11.85546875" customWidth="1"/>
    <col min="3311" max="3311" width="13" customWidth="1"/>
    <col min="3312" max="3312" width="11.7109375" customWidth="1"/>
    <col min="3313" max="3313" width="11.7109375" bestFit="1" customWidth="1"/>
    <col min="3314" max="3314" width="11.7109375" customWidth="1"/>
    <col min="3315" max="3315" width="12.5703125" customWidth="1"/>
    <col min="3316" max="3316" width="11.7109375" bestFit="1" customWidth="1"/>
    <col min="3563" max="3563" width="5" customWidth="1"/>
    <col min="3564" max="3564" width="29.85546875" customWidth="1"/>
    <col min="3565" max="3565" width="8.5703125" customWidth="1"/>
    <col min="3566" max="3566" width="11.85546875" customWidth="1"/>
    <col min="3567" max="3567" width="13" customWidth="1"/>
    <col min="3568" max="3568" width="11.7109375" customWidth="1"/>
    <col min="3569" max="3569" width="11.7109375" bestFit="1" customWidth="1"/>
    <col min="3570" max="3570" width="11.7109375" customWidth="1"/>
    <col min="3571" max="3571" width="12.5703125" customWidth="1"/>
    <col min="3572" max="3572" width="11.7109375" bestFit="1" customWidth="1"/>
    <col min="3819" max="3819" width="5" customWidth="1"/>
    <col min="3820" max="3820" width="29.85546875" customWidth="1"/>
    <col min="3821" max="3821" width="8.5703125" customWidth="1"/>
    <col min="3822" max="3822" width="11.85546875" customWidth="1"/>
    <col min="3823" max="3823" width="13" customWidth="1"/>
    <col min="3824" max="3824" width="11.7109375" customWidth="1"/>
    <col min="3825" max="3825" width="11.7109375" bestFit="1" customWidth="1"/>
    <col min="3826" max="3826" width="11.7109375" customWidth="1"/>
    <col min="3827" max="3827" width="12.5703125" customWidth="1"/>
    <col min="3828" max="3828" width="11.7109375" bestFit="1" customWidth="1"/>
    <col min="4075" max="4075" width="5" customWidth="1"/>
    <col min="4076" max="4076" width="29.85546875" customWidth="1"/>
    <col min="4077" max="4077" width="8.5703125" customWidth="1"/>
    <col min="4078" max="4078" width="11.85546875" customWidth="1"/>
    <col min="4079" max="4079" width="13" customWidth="1"/>
    <col min="4080" max="4080" width="11.7109375" customWidth="1"/>
    <col min="4081" max="4081" width="11.7109375" bestFit="1" customWidth="1"/>
    <col min="4082" max="4082" width="11.7109375" customWidth="1"/>
    <col min="4083" max="4083" width="12.5703125" customWidth="1"/>
    <col min="4084" max="4084" width="11.7109375" bestFit="1" customWidth="1"/>
    <col min="4331" max="4331" width="5" customWidth="1"/>
    <col min="4332" max="4332" width="29.85546875" customWidth="1"/>
    <col min="4333" max="4333" width="8.5703125" customWidth="1"/>
    <col min="4334" max="4334" width="11.85546875" customWidth="1"/>
    <col min="4335" max="4335" width="13" customWidth="1"/>
    <col min="4336" max="4336" width="11.7109375" customWidth="1"/>
    <col min="4337" max="4337" width="11.7109375" bestFit="1" customWidth="1"/>
    <col min="4338" max="4338" width="11.7109375" customWidth="1"/>
    <col min="4339" max="4339" width="12.5703125" customWidth="1"/>
    <col min="4340" max="4340" width="11.7109375" bestFit="1" customWidth="1"/>
    <col min="4587" max="4587" width="5" customWidth="1"/>
    <col min="4588" max="4588" width="29.85546875" customWidth="1"/>
    <col min="4589" max="4589" width="8.5703125" customWidth="1"/>
    <col min="4590" max="4590" width="11.85546875" customWidth="1"/>
    <col min="4591" max="4591" width="13" customWidth="1"/>
    <col min="4592" max="4592" width="11.7109375" customWidth="1"/>
    <col min="4593" max="4593" width="11.7109375" bestFit="1" customWidth="1"/>
    <col min="4594" max="4594" width="11.7109375" customWidth="1"/>
    <col min="4595" max="4595" width="12.5703125" customWidth="1"/>
    <col min="4596" max="4596" width="11.7109375" bestFit="1" customWidth="1"/>
    <col min="4843" max="4843" width="5" customWidth="1"/>
    <col min="4844" max="4844" width="29.85546875" customWidth="1"/>
    <col min="4845" max="4845" width="8.5703125" customWidth="1"/>
    <col min="4846" max="4846" width="11.85546875" customWidth="1"/>
    <col min="4847" max="4847" width="13" customWidth="1"/>
    <col min="4848" max="4848" width="11.7109375" customWidth="1"/>
    <col min="4849" max="4849" width="11.7109375" bestFit="1" customWidth="1"/>
    <col min="4850" max="4850" width="11.7109375" customWidth="1"/>
    <col min="4851" max="4851" width="12.5703125" customWidth="1"/>
    <col min="4852" max="4852" width="11.7109375" bestFit="1" customWidth="1"/>
    <col min="5099" max="5099" width="5" customWidth="1"/>
    <col min="5100" max="5100" width="29.85546875" customWidth="1"/>
    <col min="5101" max="5101" width="8.5703125" customWidth="1"/>
    <col min="5102" max="5102" width="11.85546875" customWidth="1"/>
    <col min="5103" max="5103" width="13" customWidth="1"/>
    <col min="5104" max="5104" width="11.7109375" customWidth="1"/>
    <col min="5105" max="5105" width="11.7109375" bestFit="1" customWidth="1"/>
    <col min="5106" max="5106" width="11.7109375" customWidth="1"/>
    <col min="5107" max="5107" width="12.5703125" customWidth="1"/>
    <col min="5108" max="5108" width="11.7109375" bestFit="1" customWidth="1"/>
    <col min="5355" max="5355" width="5" customWidth="1"/>
    <col min="5356" max="5356" width="29.85546875" customWidth="1"/>
    <col min="5357" max="5357" width="8.5703125" customWidth="1"/>
    <col min="5358" max="5358" width="11.85546875" customWidth="1"/>
    <col min="5359" max="5359" width="13" customWidth="1"/>
    <col min="5360" max="5360" width="11.7109375" customWidth="1"/>
    <col min="5361" max="5361" width="11.7109375" bestFit="1" customWidth="1"/>
    <col min="5362" max="5362" width="11.7109375" customWidth="1"/>
    <col min="5363" max="5363" width="12.5703125" customWidth="1"/>
    <col min="5364" max="5364" width="11.7109375" bestFit="1" customWidth="1"/>
    <col min="5611" max="5611" width="5" customWidth="1"/>
    <col min="5612" max="5612" width="29.85546875" customWidth="1"/>
    <col min="5613" max="5613" width="8.5703125" customWidth="1"/>
    <col min="5614" max="5614" width="11.85546875" customWidth="1"/>
    <col min="5615" max="5615" width="13" customWidth="1"/>
    <col min="5616" max="5616" width="11.7109375" customWidth="1"/>
    <col min="5617" max="5617" width="11.7109375" bestFit="1" customWidth="1"/>
    <col min="5618" max="5618" width="11.7109375" customWidth="1"/>
    <col min="5619" max="5619" width="12.5703125" customWidth="1"/>
    <col min="5620" max="5620" width="11.7109375" bestFit="1" customWidth="1"/>
    <col min="5867" max="5867" width="5" customWidth="1"/>
    <col min="5868" max="5868" width="29.85546875" customWidth="1"/>
    <col min="5869" max="5869" width="8.5703125" customWidth="1"/>
    <col min="5870" max="5870" width="11.85546875" customWidth="1"/>
    <col min="5871" max="5871" width="13" customWidth="1"/>
    <col min="5872" max="5872" width="11.7109375" customWidth="1"/>
    <col min="5873" max="5873" width="11.7109375" bestFit="1" customWidth="1"/>
    <col min="5874" max="5874" width="11.7109375" customWidth="1"/>
    <col min="5875" max="5875" width="12.5703125" customWidth="1"/>
    <col min="5876" max="5876" width="11.7109375" bestFit="1" customWidth="1"/>
    <col min="6123" max="6123" width="5" customWidth="1"/>
    <col min="6124" max="6124" width="29.85546875" customWidth="1"/>
    <col min="6125" max="6125" width="8.5703125" customWidth="1"/>
    <col min="6126" max="6126" width="11.85546875" customWidth="1"/>
    <col min="6127" max="6127" width="13" customWidth="1"/>
    <col min="6128" max="6128" width="11.7109375" customWidth="1"/>
    <col min="6129" max="6129" width="11.7109375" bestFit="1" customWidth="1"/>
    <col min="6130" max="6130" width="11.7109375" customWidth="1"/>
    <col min="6131" max="6131" width="12.5703125" customWidth="1"/>
    <col min="6132" max="6132" width="11.7109375" bestFit="1" customWidth="1"/>
    <col min="6379" max="6379" width="5" customWidth="1"/>
    <col min="6380" max="6380" width="29.85546875" customWidth="1"/>
    <col min="6381" max="6381" width="8.5703125" customWidth="1"/>
    <col min="6382" max="6382" width="11.85546875" customWidth="1"/>
    <col min="6383" max="6383" width="13" customWidth="1"/>
    <col min="6384" max="6384" width="11.7109375" customWidth="1"/>
    <col min="6385" max="6385" width="11.7109375" bestFit="1" customWidth="1"/>
    <col min="6386" max="6386" width="11.7109375" customWidth="1"/>
    <col min="6387" max="6387" width="12.5703125" customWidth="1"/>
    <col min="6388" max="6388" width="11.7109375" bestFit="1" customWidth="1"/>
    <col min="6635" max="6635" width="5" customWidth="1"/>
    <col min="6636" max="6636" width="29.85546875" customWidth="1"/>
    <col min="6637" max="6637" width="8.5703125" customWidth="1"/>
    <col min="6638" max="6638" width="11.85546875" customWidth="1"/>
    <col min="6639" max="6639" width="13" customWidth="1"/>
    <col min="6640" max="6640" width="11.7109375" customWidth="1"/>
    <col min="6641" max="6641" width="11.7109375" bestFit="1" customWidth="1"/>
    <col min="6642" max="6642" width="11.7109375" customWidth="1"/>
    <col min="6643" max="6643" width="12.5703125" customWidth="1"/>
    <col min="6644" max="6644" width="11.7109375" bestFit="1" customWidth="1"/>
    <col min="6891" max="6891" width="5" customWidth="1"/>
    <col min="6892" max="6892" width="29.85546875" customWidth="1"/>
    <col min="6893" max="6893" width="8.5703125" customWidth="1"/>
    <col min="6894" max="6894" width="11.85546875" customWidth="1"/>
    <col min="6895" max="6895" width="13" customWidth="1"/>
    <col min="6896" max="6896" width="11.7109375" customWidth="1"/>
    <col min="6897" max="6897" width="11.7109375" bestFit="1" customWidth="1"/>
    <col min="6898" max="6898" width="11.7109375" customWidth="1"/>
    <col min="6899" max="6899" width="12.5703125" customWidth="1"/>
    <col min="6900" max="6900" width="11.7109375" bestFit="1" customWidth="1"/>
    <col min="7147" max="7147" width="5" customWidth="1"/>
    <col min="7148" max="7148" width="29.85546875" customWidth="1"/>
    <col min="7149" max="7149" width="8.5703125" customWidth="1"/>
    <col min="7150" max="7150" width="11.85546875" customWidth="1"/>
    <col min="7151" max="7151" width="13" customWidth="1"/>
    <col min="7152" max="7152" width="11.7109375" customWidth="1"/>
    <col min="7153" max="7153" width="11.7109375" bestFit="1" customWidth="1"/>
    <col min="7154" max="7154" width="11.7109375" customWidth="1"/>
    <col min="7155" max="7155" width="12.5703125" customWidth="1"/>
    <col min="7156" max="7156" width="11.7109375" bestFit="1" customWidth="1"/>
    <col min="7403" max="7403" width="5" customWidth="1"/>
    <col min="7404" max="7404" width="29.85546875" customWidth="1"/>
    <col min="7405" max="7405" width="8.5703125" customWidth="1"/>
    <col min="7406" max="7406" width="11.85546875" customWidth="1"/>
    <col min="7407" max="7407" width="13" customWidth="1"/>
    <col min="7408" max="7408" width="11.7109375" customWidth="1"/>
    <col min="7409" max="7409" width="11.7109375" bestFit="1" customWidth="1"/>
    <col min="7410" max="7410" width="11.7109375" customWidth="1"/>
    <col min="7411" max="7411" width="12.5703125" customWidth="1"/>
    <col min="7412" max="7412" width="11.7109375" bestFit="1" customWidth="1"/>
    <col min="7659" max="7659" width="5" customWidth="1"/>
    <col min="7660" max="7660" width="29.85546875" customWidth="1"/>
    <col min="7661" max="7661" width="8.5703125" customWidth="1"/>
    <col min="7662" max="7662" width="11.85546875" customWidth="1"/>
    <col min="7663" max="7663" width="13" customWidth="1"/>
    <col min="7664" max="7664" width="11.7109375" customWidth="1"/>
    <col min="7665" max="7665" width="11.7109375" bestFit="1" customWidth="1"/>
    <col min="7666" max="7666" width="11.7109375" customWidth="1"/>
    <col min="7667" max="7667" width="12.5703125" customWidth="1"/>
    <col min="7668" max="7668" width="11.7109375" bestFit="1" customWidth="1"/>
    <col min="7915" max="7915" width="5" customWidth="1"/>
    <col min="7916" max="7916" width="29.85546875" customWidth="1"/>
    <col min="7917" max="7917" width="8.5703125" customWidth="1"/>
    <col min="7918" max="7918" width="11.85546875" customWidth="1"/>
    <col min="7919" max="7919" width="13" customWidth="1"/>
    <col min="7920" max="7920" width="11.7109375" customWidth="1"/>
    <col min="7921" max="7921" width="11.7109375" bestFit="1" customWidth="1"/>
    <col min="7922" max="7922" width="11.7109375" customWidth="1"/>
    <col min="7923" max="7923" width="12.5703125" customWidth="1"/>
    <col min="7924" max="7924" width="11.7109375" bestFit="1" customWidth="1"/>
    <col min="8171" max="8171" width="5" customWidth="1"/>
    <col min="8172" max="8172" width="29.85546875" customWidth="1"/>
    <col min="8173" max="8173" width="8.5703125" customWidth="1"/>
    <col min="8174" max="8174" width="11.85546875" customWidth="1"/>
    <col min="8175" max="8175" width="13" customWidth="1"/>
    <col min="8176" max="8176" width="11.7109375" customWidth="1"/>
    <col min="8177" max="8177" width="11.7109375" bestFit="1" customWidth="1"/>
    <col min="8178" max="8178" width="11.7109375" customWidth="1"/>
    <col min="8179" max="8179" width="12.5703125" customWidth="1"/>
    <col min="8180" max="8180" width="11.7109375" bestFit="1" customWidth="1"/>
    <col min="8427" max="8427" width="5" customWidth="1"/>
    <col min="8428" max="8428" width="29.85546875" customWidth="1"/>
    <col min="8429" max="8429" width="8.5703125" customWidth="1"/>
    <col min="8430" max="8430" width="11.85546875" customWidth="1"/>
    <col min="8431" max="8431" width="13" customWidth="1"/>
    <col min="8432" max="8432" width="11.7109375" customWidth="1"/>
    <col min="8433" max="8433" width="11.7109375" bestFit="1" customWidth="1"/>
    <col min="8434" max="8434" width="11.7109375" customWidth="1"/>
    <col min="8435" max="8435" width="12.5703125" customWidth="1"/>
    <col min="8436" max="8436" width="11.7109375" bestFit="1" customWidth="1"/>
    <col min="8683" max="8683" width="5" customWidth="1"/>
    <col min="8684" max="8684" width="29.85546875" customWidth="1"/>
    <col min="8685" max="8685" width="8.5703125" customWidth="1"/>
    <col min="8686" max="8686" width="11.85546875" customWidth="1"/>
    <col min="8687" max="8687" width="13" customWidth="1"/>
    <col min="8688" max="8688" width="11.7109375" customWidth="1"/>
    <col min="8689" max="8689" width="11.7109375" bestFit="1" customWidth="1"/>
    <col min="8690" max="8690" width="11.7109375" customWidth="1"/>
    <col min="8691" max="8691" width="12.5703125" customWidth="1"/>
    <col min="8692" max="8692" width="11.7109375" bestFit="1" customWidth="1"/>
    <col min="8939" max="8939" width="5" customWidth="1"/>
    <col min="8940" max="8940" width="29.85546875" customWidth="1"/>
    <col min="8941" max="8941" width="8.5703125" customWidth="1"/>
    <col min="8942" max="8942" width="11.85546875" customWidth="1"/>
    <col min="8943" max="8943" width="13" customWidth="1"/>
    <col min="8944" max="8944" width="11.7109375" customWidth="1"/>
    <col min="8945" max="8945" width="11.7109375" bestFit="1" customWidth="1"/>
    <col min="8946" max="8946" width="11.7109375" customWidth="1"/>
    <col min="8947" max="8947" width="12.5703125" customWidth="1"/>
    <col min="8948" max="8948" width="11.7109375" bestFit="1" customWidth="1"/>
    <col min="9195" max="9195" width="5" customWidth="1"/>
    <col min="9196" max="9196" width="29.85546875" customWidth="1"/>
    <col min="9197" max="9197" width="8.5703125" customWidth="1"/>
    <col min="9198" max="9198" width="11.85546875" customWidth="1"/>
    <col min="9199" max="9199" width="13" customWidth="1"/>
    <col min="9200" max="9200" width="11.7109375" customWidth="1"/>
    <col min="9201" max="9201" width="11.7109375" bestFit="1" customWidth="1"/>
    <col min="9202" max="9202" width="11.7109375" customWidth="1"/>
    <col min="9203" max="9203" width="12.5703125" customWidth="1"/>
    <col min="9204" max="9204" width="11.7109375" bestFit="1" customWidth="1"/>
    <col min="9451" max="9451" width="5" customWidth="1"/>
    <col min="9452" max="9452" width="29.85546875" customWidth="1"/>
    <col min="9453" max="9453" width="8.5703125" customWidth="1"/>
    <col min="9454" max="9454" width="11.85546875" customWidth="1"/>
    <col min="9455" max="9455" width="13" customWidth="1"/>
    <col min="9456" max="9456" width="11.7109375" customWidth="1"/>
    <col min="9457" max="9457" width="11.7109375" bestFit="1" customWidth="1"/>
    <col min="9458" max="9458" width="11.7109375" customWidth="1"/>
    <col min="9459" max="9459" width="12.5703125" customWidth="1"/>
    <col min="9460" max="9460" width="11.7109375" bestFit="1" customWidth="1"/>
    <col min="9707" max="9707" width="5" customWidth="1"/>
    <col min="9708" max="9708" width="29.85546875" customWidth="1"/>
    <col min="9709" max="9709" width="8.5703125" customWidth="1"/>
    <col min="9710" max="9710" width="11.85546875" customWidth="1"/>
    <col min="9711" max="9711" width="13" customWidth="1"/>
    <col min="9712" max="9712" width="11.7109375" customWidth="1"/>
    <col min="9713" max="9713" width="11.7109375" bestFit="1" customWidth="1"/>
    <col min="9714" max="9714" width="11.7109375" customWidth="1"/>
    <col min="9715" max="9715" width="12.5703125" customWidth="1"/>
    <col min="9716" max="9716" width="11.7109375" bestFit="1" customWidth="1"/>
    <col min="9963" max="9963" width="5" customWidth="1"/>
    <col min="9964" max="9964" width="29.85546875" customWidth="1"/>
    <col min="9965" max="9965" width="8.5703125" customWidth="1"/>
    <col min="9966" max="9966" width="11.85546875" customWidth="1"/>
    <col min="9967" max="9967" width="13" customWidth="1"/>
    <col min="9968" max="9968" width="11.7109375" customWidth="1"/>
    <col min="9969" max="9969" width="11.7109375" bestFit="1" customWidth="1"/>
    <col min="9970" max="9970" width="11.7109375" customWidth="1"/>
    <col min="9971" max="9971" width="12.5703125" customWidth="1"/>
    <col min="9972" max="9972" width="11.7109375" bestFit="1" customWidth="1"/>
    <col min="10219" max="10219" width="5" customWidth="1"/>
    <col min="10220" max="10220" width="29.85546875" customWidth="1"/>
    <col min="10221" max="10221" width="8.5703125" customWidth="1"/>
    <col min="10222" max="10222" width="11.85546875" customWidth="1"/>
    <col min="10223" max="10223" width="13" customWidth="1"/>
    <col min="10224" max="10224" width="11.7109375" customWidth="1"/>
    <col min="10225" max="10225" width="11.7109375" bestFit="1" customWidth="1"/>
    <col min="10226" max="10226" width="11.7109375" customWidth="1"/>
    <col min="10227" max="10227" width="12.5703125" customWidth="1"/>
    <col min="10228" max="10228" width="11.7109375" bestFit="1" customWidth="1"/>
    <col min="10475" max="10475" width="5" customWidth="1"/>
    <col min="10476" max="10476" width="29.85546875" customWidth="1"/>
    <col min="10477" max="10477" width="8.5703125" customWidth="1"/>
    <col min="10478" max="10478" width="11.85546875" customWidth="1"/>
    <col min="10479" max="10479" width="13" customWidth="1"/>
    <col min="10480" max="10480" width="11.7109375" customWidth="1"/>
    <col min="10481" max="10481" width="11.7109375" bestFit="1" customWidth="1"/>
    <col min="10482" max="10482" width="11.7109375" customWidth="1"/>
    <col min="10483" max="10483" width="12.5703125" customWidth="1"/>
    <col min="10484" max="10484" width="11.7109375" bestFit="1" customWidth="1"/>
    <col min="10731" max="10731" width="5" customWidth="1"/>
    <col min="10732" max="10732" width="29.85546875" customWidth="1"/>
    <col min="10733" max="10733" width="8.5703125" customWidth="1"/>
    <col min="10734" max="10734" width="11.85546875" customWidth="1"/>
    <col min="10735" max="10735" width="13" customWidth="1"/>
    <col min="10736" max="10736" width="11.7109375" customWidth="1"/>
    <col min="10737" max="10737" width="11.7109375" bestFit="1" customWidth="1"/>
    <col min="10738" max="10738" width="11.7109375" customWidth="1"/>
    <col min="10739" max="10739" width="12.5703125" customWidth="1"/>
    <col min="10740" max="10740" width="11.7109375" bestFit="1" customWidth="1"/>
    <col min="10987" max="10987" width="5" customWidth="1"/>
    <col min="10988" max="10988" width="29.85546875" customWidth="1"/>
    <col min="10989" max="10989" width="8.5703125" customWidth="1"/>
    <col min="10990" max="10990" width="11.85546875" customWidth="1"/>
    <col min="10991" max="10991" width="13" customWidth="1"/>
    <col min="10992" max="10992" width="11.7109375" customWidth="1"/>
    <col min="10993" max="10993" width="11.7109375" bestFit="1" customWidth="1"/>
    <col min="10994" max="10994" width="11.7109375" customWidth="1"/>
    <col min="10995" max="10995" width="12.5703125" customWidth="1"/>
    <col min="10996" max="10996" width="11.7109375" bestFit="1" customWidth="1"/>
    <col min="11243" max="11243" width="5" customWidth="1"/>
    <col min="11244" max="11244" width="29.85546875" customWidth="1"/>
    <col min="11245" max="11245" width="8.5703125" customWidth="1"/>
    <col min="11246" max="11246" width="11.85546875" customWidth="1"/>
    <col min="11247" max="11247" width="13" customWidth="1"/>
    <col min="11248" max="11248" width="11.7109375" customWidth="1"/>
    <col min="11249" max="11249" width="11.7109375" bestFit="1" customWidth="1"/>
    <col min="11250" max="11250" width="11.7109375" customWidth="1"/>
    <col min="11251" max="11251" width="12.5703125" customWidth="1"/>
    <col min="11252" max="11252" width="11.7109375" bestFit="1" customWidth="1"/>
    <col min="11499" max="11499" width="5" customWidth="1"/>
    <col min="11500" max="11500" width="29.85546875" customWidth="1"/>
    <col min="11501" max="11501" width="8.5703125" customWidth="1"/>
    <col min="11502" max="11502" width="11.85546875" customWidth="1"/>
    <col min="11503" max="11503" width="13" customWidth="1"/>
    <col min="11504" max="11504" width="11.7109375" customWidth="1"/>
    <col min="11505" max="11505" width="11.7109375" bestFit="1" customWidth="1"/>
    <col min="11506" max="11506" width="11.7109375" customWidth="1"/>
    <col min="11507" max="11507" width="12.5703125" customWidth="1"/>
    <col min="11508" max="11508" width="11.7109375" bestFit="1" customWidth="1"/>
    <col min="11755" max="11755" width="5" customWidth="1"/>
    <col min="11756" max="11756" width="29.85546875" customWidth="1"/>
    <col min="11757" max="11757" width="8.5703125" customWidth="1"/>
    <col min="11758" max="11758" width="11.85546875" customWidth="1"/>
    <col min="11759" max="11759" width="13" customWidth="1"/>
    <col min="11760" max="11760" width="11.7109375" customWidth="1"/>
    <col min="11761" max="11761" width="11.7109375" bestFit="1" customWidth="1"/>
    <col min="11762" max="11762" width="11.7109375" customWidth="1"/>
    <col min="11763" max="11763" width="12.5703125" customWidth="1"/>
    <col min="11764" max="11764" width="11.7109375" bestFit="1" customWidth="1"/>
    <col min="12011" max="12011" width="5" customWidth="1"/>
    <col min="12012" max="12012" width="29.85546875" customWidth="1"/>
    <col min="12013" max="12013" width="8.5703125" customWidth="1"/>
    <col min="12014" max="12014" width="11.85546875" customWidth="1"/>
    <col min="12015" max="12015" width="13" customWidth="1"/>
    <col min="12016" max="12016" width="11.7109375" customWidth="1"/>
    <col min="12017" max="12017" width="11.7109375" bestFit="1" customWidth="1"/>
    <col min="12018" max="12018" width="11.7109375" customWidth="1"/>
    <col min="12019" max="12019" width="12.5703125" customWidth="1"/>
    <col min="12020" max="12020" width="11.7109375" bestFit="1" customWidth="1"/>
    <col min="12267" max="12267" width="5" customWidth="1"/>
    <col min="12268" max="12268" width="29.85546875" customWidth="1"/>
    <col min="12269" max="12269" width="8.5703125" customWidth="1"/>
    <col min="12270" max="12270" width="11.85546875" customWidth="1"/>
    <col min="12271" max="12271" width="13" customWidth="1"/>
    <col min="12272" max="12272" width="11.7109375" customWidth="1"/>
    <col min="12273" max="12273" width="11.7109375" bestFit="1" customWidth="1"/>
    <col min="12274" max="12274" width="11.7109375" customWidth="1"/>
    <col min="12275" max="12275" width="12.5703125" customWidth="1"/>
    <col min="12276" max="12276" width="11.7109375" bestFit="1" customWidth="1"/>
    <col min="12523" max="12523" width="5" customWidth="1"/>
    <col min="12524" max="12524" width="29.85546875" customWidth="1"/>
    <col min="12525" max="12525" width="8.5703125" customWidth="1"/>
    <col min="12526" max="12526" width="11.85546875" customWidth="1"/>
    <col min="12527" max="12527" width="13" customWidth="1"/>
    <col min="12528" max="12528" width="11.7109375" customWidth="1"/>
    <col min="12529" max="12529" width="11.7109375" bestFit="1" customWidth="1"/>
    <col min="12530" max="12530" width="11.7109375" customWidth="1"/>
    <col min="12531" max="12531" width="12.5703125" customWidth="1"/>
    <col min="12532" max="12532" width="11.7109375" bestFit="1" customWidth="1"/>
    <col min="12779" max="12779" width="5" customWidth="1"/>
    <col min="12780" max="12780" width="29.85546875" customWidth="1"/>
    <col min="12781" max="12781" width="8.5703125" customWidth="1"/>
    <col min="12782" max="12782" width="11.85546875" customWidth="1"/>
    <col min="12783" max="12783" width="13" customWidth="1"/>
    <col min="12784" max="12784" width="11.7109375" customWidth="1"/>
    <col min="12785" max="12785" width="11.7109375" bestFit="1" customWidth="1"/>
    <col min="12786" max="12786" width="11.7109375" customWidth="1"/>
    <col min="12787" max="12787" width="12.5703125" customWidth="1"/>
    <col min="12788" max="12788" width="11.7109375" bestFit="1" customWidth="1"/>
    <col min="13035" max="13035" width="5" customWidth="1"/>
    <col min="13036" max="13036" width="29.85546875" customWidth="1"/>
    <col min="13037" max="13037" width="8.5703125" customWidth="1"/>
    <col min="13038" max="13038" width="11.85546875" customWidth="1"/>
    <col min="13039" max="13039" width="13" customWidth="1"/>
    <col min="13040" max="13040" width="11.7109375" customWidth="1"/>
    <col min="13041" max="13041" width="11.7109375" bestFit="1" customWidth="1"/>
    <col min="13042" max="13042" width="11.7109375" customWidth="1"/>
    <col min="13043" max="13043" width="12.5703125" customWidth="1"/>
    <col min="13044" max="13044" width="11.7109375" bestFit="1" customWidth="1"/>
    <col min="13291" max="13291" width="5" customWidth="1"/>
    <col min="13292" max="13292" width="29.85546875" customWidth="1"/>
    <col min="13293" max="13293" width="8.5703125" customWidth="1"/>
    <col min="13294" max="13294" width="11.85546875" customWidth="1"/>
    <col min="13295" max="13295" width="13" customWidth="1"/>
    <col min="13296" max="13296" width="11.7109375" customWidth="1"/>
    <col min="13297" max="13297" width="11.7109375" bestFit="1" customWidth="1"/>
    <col min="13298" max="13298" width="11.7109375" customWidth="1"/>
    <col min="13299" max="13299" width="12.5703125" customWidth="1"/>
    <col min="13300" max="13300" width="11.7109375" bestFit="1" customWidth="1"/>
    <col min="13547" max="13547" width="5" customWidth="1"/>
    <col min="13548" max="13548" width="29.85546875" customWidth="1"/>
    <col min="13549" max="13549" width="8.5703125" customWidth="1"/>
    <col min="13550" max="13550" width="11.85546875" customWidth="1"/>
    <col min="13551" max="13551" width="13" customWidth="1"/>
    <col min="13552" max="13552" width="11.7109375" customWidth="1"/>
    <col min="13553" max="13553" width="11.7109375" bestFit="1" customWidth="1"/>
    <col min="13554" max="13554" width="11.7109375" customWidth="1"/>
    <col min="13555" max="13555" width="12.5703125" customWidth="1"/>
    <col min="13556" max="13556" width="11.7109375" bestFit="1" customWidth="1"/>
    <col min="13803" max="13803" width="5" customWidth="1"/>
    <col min="13804" max="13804" width="29.85546875" customWidth="1"/>
    <col min="13805" max="13805" width="8.5703125" customWidth="1"/>
    <col min="13806" max="13806" width="11.85546875" customWidth="1"/>
    <col min="13807" max="13807" width="13" customWidth="1"/>
    <col min="13808" max="13808" width="11.7109375" customWidth="1"/>
    <col min="13809" max="13809" width="11.7109375" bestFit="1" customWidth="1"/>
    <col min="13810" max="13810" width="11.7109375" customWidth="1"/>
    <col min="13811" max="13811" width="12.5703125" customWidth="1"/>
    <col min="13812" max="13812" width="11.7109375" bestFit="1" customWidth="1"/>
    <col min="14059" max="14059" width="5" customWidth="1"/>
    <col min="14060" max="14060" width="29.85546875" customWidth="1"/>
    <col min="14061" max="14061" width="8.5703125" customWidth="1"/>
    <col min="14062" max="14062" width="11.85546875" customWidth="1"/>
    <col min="14063" max="14063" width="13" customWidth="1"/>
    <col min="14064" max="14064" width="11.7109375" customWidth="1"/>
    <col min="14065" max="14065" width="11.7109375" bestFit="1" customWidth="1"/>
    <col min="14066" max="14066" width="11.7109375" customWidth="1"/>
    <col min="14067" max="14067" width="12.5703125" customWidth="1"/>
    <col min="14068" max="14068" width="11.7109375" bestFit="1" customWidth="1"/>
    <col min="14315" max="14315" width="5" customWidth="1"/>
    <col min="14316" max="14316" width="29.85546875" customWidth="1"/>
    <col min="14317" max="14317" width="8.5703125" customWidth="1"/>
    <col min="14318" max="14318" width="11.85546875" customWidth="1"/>
    <col min="14319" max="14319" width="13" customWidth="1"/>
    <col min="14320" max="14320" width="11.7109375" customWidth="1"/>
    <col min="14321" max="14321" width="11.7109375" bestFit="1" customWidth="1"/>
    <col min="14322" max="14322" width="11.7109375" customWidth="1"/>
    <col min="14323" max="14323" width="12.5703125" customWidth="1"/>
    <col min="14324" max="14324" width="11.7109375" bestFit="1" customWidth="1"/>
    <col min="14571" max="14571" width="5" customWidth="1"/>
    <col min="14572" max="14572" width="29.85546875" customWidth="1"/>
    <col min="14573" max="14573" width="8.5703125" customWidth="1"/>
    <col min="14574" max="14574" width="11.85546875" customWidth="1"/>
    <col min="14575" max="14575" width="13" customWidth="1"/>
    <col min="14576" max="14576" width="11.7109375" customWidth="1"/>
    <col min="14577" max="14577" width="11.7109375" bestFit="1" customWidth="1"/>
    <col min="14578" max="14578" width="11.7109375" customWidth="1"/>
    <col min="14579" max="14579" width="12.5703125" customWidth="1"/>
    <col min="14580" max="14580" width="11.7109375" bestFit="1" customWidth="1"/>
    <col min="14827" max="14827" width="5" customWidth="1"/>
    <col min="14828" max="14828" width="29.85546875" customWidth="1"/>
    <col min="14829" max="14829" width="8.5703125" customWidth="1"/>
    <col min="14830" max="14830" width="11.85546875" customWidth="1"/>
    <col min="14831" max="14831" width="13" customWidth="1"/>
    <col min="14832" max="14832" width="11.7109375" customWidth="1"/>
    <col min="14833" max="14833" width="11.7109375" bestFit="1" customWidth="1"/>
    <col min="14834" max="14834" width="11.7109375" customWidth="1"/>
    <col min="14835" max="14835" width="12.5703125" customWidth="1"/>
    <col min="14836" max="14836" width="11.7109375" bestFit="1" customWidth="1"/>
    <col min="15083" max="15083" width="5" customWidth="1"/>
    <col min="15084" max="15084" width="29.85546875" customWidth="1"/>
    <col min="15085" max="15085" width="8.5703125" customWidth="1"/>
    <col min="15086" max="15086" width="11.85546875" customWidth="1"/>
    <col min="15087" max="15087" width="13" customWidth="1"/>
    <col min="15088" max="15088" width="11.7109375" customWidth="1"/>
    <col min="15089" max="15089" width="11.7109375" bestFit="1" customWidth="1"/>
    <col min="15090" max="15090" width="11.7109375" customWidth="1"/>
    <col min="15091" max="15091" width="12.5703125" customWidth="1"/>
    <col min="15092" max="15092" width="11.7109375" bestFit="1" customWidth="1"/>
    <col min="15339" max="15339" width="5" customWidth="1"/>
    <col min="15340" max="15340" width="29.85546875" customWidth="1"/>
    <col min="15341" max="15341" width="8.5703125" customWidth="1"/>
    <col min="15342" max="15342" width="11.85546875" customWidth="1"/>
    <col min="15343" max="15343" width="13" customWidth="1"/>
    <col min="15344" max="15344" width="11.7109375" customWidth="1"/>
    <col min="15345" max="15345" width="11.7109375" bestFit="1" customWidth="1"/>
    <col min="15346" max="15346" width="11.7109375" customWidth="1"/>
    <col min="15347" max="15347" width="12.5703125" customWidth="1"/>
    <col min="15348" max="15348" width="11.7109375" bestFit="1" customWidth="1"/>
    <col min="15595" max="15595" width="5" customWidth="1"/>
    <col min="15596" max="15596" width="29.85546875" customWidth="1"/>
    <col min="15597" max="15597" width="8.5703125" customWidth="1"/>
    <col min="15598" max="15598" width="11.85546875" customWidth="1"/>
    <col min="15599" max="15599" width="13" customWidth="1"/>
    <col min="15600" max="15600" width="11.7109375" customWidth="1"/>
    <col min="15601" max="15601" width="11.7109375" bestFit="1" customWidth="1"/>
    <col min="15602" max="15602" width="11.7109375" customWidth="1"/>
    <col min="15603" max="15603" width="12.5703125" customWidth="1"/>
    <col min="15604" max="15604" width="11.7109375" bestFit="1" customWidth="1"/>
    <col min="15851" max="15851" width="5" customWidth="1"/>
    <col min="15852" max="15852" width="29.85546875" customWidth="1"/>
    <col min="15853" max="15853" width="8.5703125" customWidth="1"/>
    <col min="15854" max="15854" width="11.85546875" customWidth="1"/>
    <col min="15855" max="15855" width="13" customWidth="1"/>
    <col min="15856" max="15856" width="11.7109375" customWidth="1"/>
    <col min="15857" max="15857" width="11.7109375" bestFit="1" customWidth="1"/>
    <col min="15858" max="15858" width="11.7109375" customWidth="1"/>
    <col min="15859" max="15859" width="12.5703125" customWidth="1"/>
    <col min="15860" max="15860" width="11.7109375" bestFit="1" customWidth="1"/>
    <col min="16107" max="16107" width="5" customWidth="1"/>
    <col min="16108" max="16108" width="29.85546875" customWidth="1"/>
    <col min="16109" max="16109" width="8.5703125" customWidth="1"/>
    <col min="16110" max="16110" width="11.85546875" customWidth="1"/>
    <col min="16111" max="16111" width="13" customWidth="1"/>
    <col min="16112" max="16112" width="11.7109375" customWidth="1"/>
    <col min="16113" max="16113" width="11.7109375" bestFit="1" customWidth="1"/>
    <col min="16114" max="16114" width="11.7109375" customWidth="1"/>
    <col min="16115" max="16115" width="12.5703125" customWidth="1"/>
    <col min="16116" max="16116" width="11.7109375" bestFit="1" customWidth="1"/>
  </cols>
  <sheetData>
    <row r="1" spans="1:13" x14ac:dyDescent="0.25">
      <c r="A1" s="58" t="s">
        <v>0</v>
      </c>
      <c r="C1" t="s">
        <v>69</v>
      </c>
      <c r="E1"/>
      <c r="F1" s="1"/>
      <c r="G1" s="1"/>
    </row>
    <row r="2" spans="1:13" ht="15.75" customHeight="1" x14ac:dyDescent="0.25">
      <c r="A2" t="s">
        <v>43</v>
      </c>
      <c r="C2" t="s">
        <v>70</v>
      </c>
      <c r="E2"/>
      <c r="J2" t="s">
        <v>78</v>
      </c>
    </row>
    <row r="3" spans="1:13" ht="16.5" customHeight="1" x14ac:dyDescent="0.25">
      <c r="A3" s="2" t="s">
        <v>44</v>
      </c>
      <c r="C3" t="s">
        <v>71</v>
      </c>
      <c r="E3"/>
    </row>
    <row r="4" spans="1:13" x14ac:dyDescent="0.25">
      <c r="B4" s="3"/>
      <c r="C4" s="3"/>
      <c r="D4" s="3"/>
    </row>
    <row r="6" spans="1:13" x14ac:dyDescent="0.25">
      <c r="B6" s="701" t="s">
        <v>77</v>
      </c>
      <c r="C6" s="701"/>
      <c r="D6" s="701"/>
      <c r="E6" s="701"/>
      <c r="F6" s="701"/>
      <c r="G6" s="701"/>
      <c r="H6" s="701"/>
      <c r="I6" s="701"/>
      <c r="J6" s="701"/>
      <c r="K6" s="565"/>
      <c r="L6" s="565"/>
      <c r="M6" s="565"/>
    </row>
    <row r="7" spans="1:13" x14ac:dyDescent="0.25">
      <c r="C7" s="702" t="s">
        <v>116</v>
      </c>
      <c r="D7" s="702"/>
      <c r="E7" s="702"/>
      <c r="F7" s="702"/>
      <c r="G7" s="702"/>
      <c r="H7" s="702"/>
      <c r="I7" s="702"/>
      <c r="J7" s="702"/>
      <c r="K7" s="566"/>
      <c r="L7" s="566"/>
      <c r="M7" s="566"/>
    </row>
    <row r="8" spans="1:13" x14ac:dyDescent="0.25">
      <c r="B8" s="68"/>
      <c r="C8" s="703" t="s">
        <v>161</v>
      </c>
      <c r="D8" s="703"/>
      <c r="E8" s="703"/>
      <c r="F8" s="703"/>
      <c r="G8" s="703"/>
      <c r="H8" s="703"/>
      <c r="I8" s="703"/>
      <c r="J8" s="703"/>
      <c r="K8" s="567"/>
      <c r="L8" s="567"/>
      <c r="M8" s="567"/>
    </row>
    <row r="10" spans="1:13" ht="15.75" thickBot="1" x14ac:dyDescent="0.3">
      <c r="E10" s="4"/>
      <c r="F10" s="5"/>
    </row>
    <row r="11" spans="1:13" ht="30.75" thickBot="1" x14ac:dyDescent="0.3">
      <c r="E11" s="580" t="s">
        <v>2</v>
      </c>
      <c r="F11" s="581" t="s">
        <v>3</v>
      </c>
      <c r="G11" s="97" t="s">
        <v>75</v>
      </c>
      <c r="H11" s="582" t="s">
        <v>120</v>
      </c>
      <c r="I11" s="583" t="s">
        <v>76</v>
      </c>
      <c r="J11" s="584" t="s">
        <v>120</v>
      </c>
      <c r="K11" s="570"/>
      <c r="L11" s="570"/>
      <c r="M11" s="570"/>
    </row>
    <row r="12" spans="1:13" ht="15.75" thickBot="1" x14ac:dyDescent="0.3">
      <c r="B12" s="3"/>
      <c r="C12" s="3"/>
      <c r="D12" s="3"/>
      <c r="E12" s="313">
        <v>0</v>
      </c>
      <c r="F12" s="314">
        <v>1</v>
      </c>
      <c r="G12" s="302">
        <v>2</v>
      </c>
      <c r="H12" s="344">
        <v>3</v>
      </c>
      <c r="I12" s="586">
        <v>4</v>
      </c>
      <c r="J12" s="587" t="s">
        <v>152</v>
      </c>
      <c r="K12" s="604"/>
      <c r="L12" s="604"/>
      <c r="M12" s="604"/>
    </row>
    <row r="13" spans="1:13" ht="15.75" thickBot="1" x14ac:dyDescent="0.3">
      <c r="B13" s="3"/>
      <c r="C13" s="3"/>
      <c r="D13" s="3"/>
      <c r="E13" s="317" t="s">
        <v>4</v>
      </c>
      <c r="F13" s="318" t="s">
        <v>5</v>
      </c>
      <c r="G13" s="319"/>
      <c r="H13" s="573">
        <v>3683886.9899999998</v>
      </c>
      <c r="I13" s="588">
        <v>0</v>
      </c>
      <c r="J13" s="436">
        <f>H13+I13</f>
        <v>3683886.9899999998</v>
      </c>
      <c r="K13" s="571"/>
      <c r="L13" s="571"/>
      <c r="M13" s="571"/>
    </row>
    <row r="14" spans="1:13" s="262" customFormat="1" ht="15.75" thickBot="1" x14ac:dyDescent="0.3">
      <c r="B14" s="12"/>
      <c r="C14" s="12"/>
      <c r="D14" s="12"/>
      <c r="E14" s="445"/>
      <c r="F14" s="589" t="s">
        <v>66</v>
      </c>
      <c r="G14" s="325">
        <v>39</v>
      </c>
      <c r="H14" s="574">
        <v>3683886.9899999998</v>
      </c>
      <c r="I14" s="590">
        <f>SUM(I13)</f>
        <v>0</v>
      </c>
      <c r="J14" s="424">
        <f>SUM(J13)</f>
        <v>3683886.9899999998</v>
      </c>
      <c r="K14" s="572"/>
      <c r="L14" s="572"/>
      <c r="M14" s="572"/>
    </row>
    <row r="15" spans="1:13" x14ac:dyDescent="0.25">
      <c r="E15" s="321" t="s">
        <v>10</v>
      </c>
      <c r="F15" s="312" t="s">
        <v>11</v>
      </c>
      <c r="G15" s="322"/>
      <c r="H15" s="573">
        <v>7632452.0100000007</v>
      </c>
      <c r="I15" s="585">
        <v>-650</v>
      </c>
      <c r="J15" s="438">
        <f>H15+I15</f>
        <v>7631802.0100000007</v>
      </c>
      <c r="K15" s="571"/>
      <c r="L15" s="571"/>
      <c r="M15" s="571"/>
    </row>
    <row r="16" spans="1:13" ht="15.75" thickBot="1" x14ac:dyDescent="0.3">
      <c r="E16" s="276"/>
      <c r="F16" s="277" t="s">
        <v>9</v>
      </c>
      <c r="G16" s="10">
        <v>82</v>
      </c>
      <c r="H16" s="575">
        <v>7632452.0100000007</v>
      </c>
      <c r="I16" s="591">
        <f>SUM(I15)</f>
        <v>-650</v>
      </c>
      <c r="J16" s="426">
        <f>SUM(J15)</f>
        <v>7631802.0100000007</v>
      </c>
      <c r="K16" s="572"/>
      <c r="L16" s="572"/>
      <c r="M16" s="572"/>
    </row>
    <row r="17" spans="2:13" ht="15.75" thickBot="1" x14ac:dyDescent="0.3">
      <c r="E17" s="445">
        <v>3</v>
      </c>
      <c r="F17" s="328" t="s">
        <v>65</v>
      </c>
      <c r="G17" s="311"/>
      <c r="H17" s="576">
        <v>6614061</v>
      </c>
      <c r="I17" s="592">
        <v>0</v>
      </c>
      <c r="J17" s="428">
        <f>H17+I17</f>
        <v>6614061</v>
      </c>
      <c r="K17" s="571"/>
      <c r="L17" s="571"/>
      <c r="M17" s="571"/>
    </row>
    <row r="18" spans="2:13" ht="15.75" thickBot="1" x14ac:dyDescent="0.3">
      <c r="E18" s="441"/>
      <c r="F18" s="326" t="s">
        <v>9</v>
      </c>
      <c r="G18" s="327">
        <v>78</v>
      </c>
      <c r="H18" s="595">
        <v>6614061</v>
      </c>
      <c r="I18" s="596">
        <f>SUM(I17)</f>
        <v>0</v>
      </c>
      <c r="J18" s="603">
        <f>SUM(J17)</f>
        <v>6614061</v>
      </c>
      <c r="K18" s="572"/>
      <c r="L18" s="572"/>
      <c r="M18" s="572"/>
    </row>
    <row r="19" spans="2:13" s="280" customFormat="1" ht="15.75" x14ac:dyDescent="0.25">
      <c r="E19" s="593"/>
      <c r="F19" s="597" t="s">
        <v>67</v>
      </c>
      <c r="G19" s="285">
        <f>G16+G18</f>
        <v>160</v>
      </c>
      <c r="H19" s="598">
        <v>14246513.010000002</v>
      </c>
      <c r="I19" s="599">
        <f>I16+I18</f>
        <v>-650</v>
      </c>
      <c r="J19" s="600">
        <f>J16+J18</f>
        <v>14245863.010000002</v>
      </c>
      <c r="K19" s="572"/>
      <c r="L19" s="572"/>
      <c r="M19" s="572"/>
    </row>
    <row r="20" spans="2:13" s="281" customFormat="1" ht="16.5" thickBot="1" x14ac:dyDescent="0.3">
      <c r="B20" s="282"/>
      <c r="C20" s="282"/>
      <c r="D20" s="282"/>
      <c r="E20" s="594"/>
      <c r="F20" s="601" t="s">
        <v>13</v>
      </c>
      <c r="G20" s="289">
        <f>G14+G19</f>
        <v>199</v>
      </c>
      <c r="H20" s="577">
        <v>17930400</v>
      </c>
      <c r="I20" s="602">
        <f>I14+I19</f>
        <v>-650</v>
      </c>
      <c r="J20" s="434">
        <f>J14+J19</f>
        <v>17929750</v>
      </c>
      <c r="K20" s="572"/>
      <c r="L20" s="572"/>
      <c r="M20" s="572"/>
    </row>
    <row r="21" spans="2:13" x14ac:dyDescent="0.25">
      <c r="E21" s="419"/>
      <c r="F21" s="419"/>
      <c r="G21" s="419"/>
      <c r="H21" s="422"/>
      <c r="I21" s="422"/>
      <c r="J21" s="422"/>
      <c r="K21" s="422"/>
      <c r="L21" s="422"/>
      <c r="M21" s="422"/>
    </row>
    <row r="22" spans="2:13" x14ac:dyDescent="0.25">
      <c r="G22" s="119"/>
      <c r="H22" s="9"/>
      <c r="I22" s="9"/>
      <c r="J22" s="9"/>
      <c r="K22" s="9"/>
      <c r="L22" s="9"/>
      <c r="M22" s="9"/>
    </row>
    <row r="23" spans="2:13" x14ac:dyDescent="0.25">
      <c r="H23" s="9"/>
      <c r="J23" s="9"/>
      <c r="K23" s="9"/>
      <c r="L23" s="9"/>
      <c r="M23" s="9"/>
    </row>
    <row r="24" spans="2:13" x14ac:dyDescent="0.25">
      <c r="E24"/>
      <c r="F24" s="48" t="s">
        <v>45</v>
      </c>
    </row>
    <row r="25" spans="2:13" x14ac:dyDescent="0.25">
      <c r="E25"/>
      <c r="F25" s="385" t="s">
        <v>48</v>
      </c>
      <c r="H25" s="9"/>
      <c r="I25" s="9"/>
      <c r="J25" s="578" t="s">
        <v>73</v>
      </c>
      <c r="K25" s="9"/>
      <c r="L25" s="9"/>
      <c r="M25" s="9"/>
    </row>
    <row r="26" spans="2:13" x14ac:dyDescent="0.25">
      <c r="H26" s="9"/>
      <c r="J26" s="579" t="s">
        <v>74</v>
      </c>
      <c r="K26" s="578"/>
      <c r="L26" s="578"/>
      <c r="M26" s="578"/>
    </row>
    <row r="27" spans="2:13" x14ac:dyDescent="0.25">
      <c r="J27" s="579"/>
      <c r="K27" s="579"/>
      <c r="L27" s="579"/>
      <c r="M27" s="579"/>
    </row>
  </sheetData>
  <mergeCells count="3">
    <mergeCell ref="B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5"/>
  <sheetViews>
    <sheetView topLeftCell="A34" workbookViewId="0">
      <selection activeCell="L49" sqref="L49"/>
    </sheetView>
  </sheetViews>
  <sheetFormatPr defaultRowHeight="15" x14ac:dyDescent="0.25"/>
  <cols>
    <col min="1" max="1" width="22.140625" customWidth="1"/>
    <col min="2" max="2" width="12" style="188" customWidth="1"/>
    <col min="3" max="3" width="14" style="1" customWidth="1"/>
    <col min="4" max="4" width="14.5703125" style="1" customWidth="1"/>
    <col min="5" max="5" width="12.7109375" style="1" customWidth="1"/>
    <col min="6" max="6" width="14.7109375" style="1" customWidth="1"/>
    <col min="7" max="7" width="13" style="130" customWidth="1"/>
    <col min="8" max="8" width="11.5703125" style="130" customWidth="1"/>
    <col min="9" max="9" width="13.140625" style="1" customWidth="1"/>
    <col min="10" max="10" width="14" style="188" customWidth="1"/>
    <col min="11" max="11" width="11.7109375" bestFit="1" customWidth="1"/>
    <col min="240" max="240" width="21.7109375" customWidth="1"/>
    <col min="241" max="241" width="16.85546875" customWidth="1"/>
    <col min="242" max="242" width="12" customWidth="1"/>
    <col min="243" max="243" width="11.5703125" customWidth="1"/>
    <col min="244" max="244" width="12.140625" customWidth="1"/>
    <col min="245" max="246" width="13" customWidth="1"/>
    <col min="247" max="247" width="11.85546875" customWidth="1"/>
    <col min="248" max="248" width="14.5703125" customWidth="1"/>
    <col min="249" max="249" width="13.7109375" customWidth="1"/>
    <col min="250" max="251" width="11.7109375" bestFit="1" customWidth="1"/>
    <col min="252" max="252" width="9.7109375" bestFit="1" customWidth="1"/>
    <col min="253" max="253" width="11.7109375" bestFit="1" customWidth="1"/>
    <col min="496" max="496" width="21.7109375" customWidth="1"/>
    <col min="497" max="497" width="16.85546875" customWidth="1"/>
    <col min="498" max="498" width="12" customWidth="1"/>
    <col min="499" max="499" width="11.5703125" customWidth="1"/>
    <col min="500" max="500" width="12.140625" customWidth="1"/>
    <col min="501" max="502" width="13" customWidth="1"/>
    <col min="503" max="503" width="11.85546875" customWidth="1"/>
    <col min="504" max="504" width="14.5703125" customWidth="1"/>
    <col min="505" max="505" width="13.7109375" customWidth="1"/>
    <col min="506" max="507" width="11.7109375" bestFit="1" customWidth="1"/>
    <col min="508" max="508" width="9.7109375" bestFit="1" customWidth="1"/>
    <col min="509" max="509" width="11.7109375" bestFit="1" customWidth="1"/>
    <col min="752" max="752" width="21.7109375" customWidth="1"/>
    <col min="753" max="753" width="16.85546875" customWidth="1"/>
    <col min="754" max="754" width="12" customWidth="1"/>
    <col min="755" max="755" width="11.5703125" customWidth="1"/>
    <col min="756" max="756" width="12.140625" customWidth="1"/>
    <col min="757" max="758" width="13" customWidth="1"/>
    <col min="759" max="759" width="11.85546875" customWidth="1"/>
    <col min="760" max="760" width="14.5703125" customWidth="1"/>
    <col min="761" max="761" width="13.7109375" customWidth="1"/>
    <col min="762" max="763" width="11.7109375" bestFit="1" customWidth="1"/>
    <col min="764" max="764" width="9.7109375" bestFit="1" customWidth="1"/>
    <col min="765" max="765" width="11.7109375" bestFit="1" customWidth="1"/>
    <col min="1008" max="1008" width="21.7109375" customWidth="1"/>
    <col min="1009" max="1009" width="16.85546875" customWidth="1"/>
    <col min="1010" max="1010" width="12" customWidth="1"/>
    <col min="1011" max="1011" width="11.5703125" customWidth="1"/>
    <col min="1012" max="1012" width="12.140625" customWidth="1"/>
    <col min="1013" max="1014" width="13" customWidth="1"/>
    <col min="1015" max="1015" width="11.85546875" customWidth="1"/>
    <col min="1016" max="1016" width="14.5703125" customWidth="1"/>
    <col min="1017" max="1017" width="13.7109375" customWidth="1"/>
    <col min="1018" max="1019" width="11.7109375" bestFit="1" customWidth="1"/>
    <col min="1020" max="1020" width="9.7109375" bestFit="1" customWidth="1"/>
    <col min="1021" max="1021" width="11.7109375" bestFit="1" customWidth="1"/>
    <col min="1264" max="1264" width="21.7109375" customWidth="1"/>
    <col min="1265" max="1265" width="16.85546875" customWidth="1"/>
    <col min="1266" max="1266" width="12" customWidth="1"/>
    <col min="1267" max="1267" width="11.5703125" customWidth="1"/>
    <col min="1268" max="1268" width="12.140625" customWidth="1"/>
    <col min="1269" max="1270" width="13" customWidth="1"/>
    <col min="1271" max="1271" width="11.85546875" customWidth="1"/>
    <col min="1272" max="1272" width="14.5703125" customWidth="1"/>
    <col min="1273" max="1273" width="13.7109375" customWidth="1"/>
    <col min="1274" max="1275" width="11.7109375" bestFit="1" customWidth="1"/>
    <col min="1276" max="1276" width="9.7109375" bestFit="1" customWidth="1"/>
    <col min="1277" max="1277" width="11.7109375" bestFit="1" customWidth="1"/>
    <col min="1520" max="1520" width="21.7109375" customWidth="1"/>
    <col min="1521" max="1521" width="16.85546875" customWidth="1"/>
    <col min="1522" max="1522" width="12" customWidth="1"/>
    <col min="1523" max="1523" width="11.5703125" customWidth="1"/>
    <col min="1524" max="1524" width="12.140625" customWidth="1"/>
    <col min="1525" max="1526" width="13" customWidth="1"/>
    <col min="1527" max="1527" width="11.85546875" customWidth="1"/>
    <col min="1528" max="1528" width="14.5703125" customWidth="1"/>
    <col min="1529" max="1529" width="13.7109375" customWidth="1"/>
    <col min="1530" max="1531" width="11.7109375" bestFit="1" customWidth="1"/>
    <col min="1532" max="1532" width="9.7109375" bestFit="1" customWidth="1"/>
    <col min="1533" max="1533" width="11.7109375" bestFit="1" customWidth="1"/>
    <col min="1776" max="1776" width="21.7109375" customWidth="1"/>
    <col min="1777" max="1777" width="16.85546875" customWidth="1"/>
    <col min="1778" max="1778" width="12" customWidth="1"/>
    <col min="1779" max="1779" width="11.5703125" customWidth="1"/>
    <col min="1780" max="1780" width="12.140625" customWidth="1"/>
    <col min="1781" max="1782" width="13" customWidth="1"/>
    <col min="1783" max="1783" width="11.85546875" customWidth="1"/>
    <col min="1784" max="1784" width="14.5703125" customWidth="1"/>
    <col min="1785" max="1785" width="13.7109375" customWidth="1"/>
    <col min="1786" max="1787" width="11.7109375" bestFit="1" customWidth="1"/>
    <col min="1788" max="1788" width="9.7109375" bestFit="1" customWidth="1"/>
    <col min="1789" max="1789" width="11.7109375" bestFit="1" customWidth="1"/>
    <col min="2032" max="2032" width="21.7109375" customWidth="1"/>
    <col min="2033" max="2033" width="16.85546875" customWidth="1"/>
    <col min="2034" max="2034" width="12" customWidth="1"/>
    <col min="2035" max="2035" width="11.5703125" customWidth="1"/>
    <col min="2036" max="2036" width="12.140625" customWidth="1"/>
    <col min="2037" max="2038" width="13" customWidth="1"/>
    <col min="2039" max="2039" width="11.85546875" customWidth="1"/>
    <col min="2040" max="2040" width="14.5703125" customWidth="1"/>
    <col min="2041" max="2041" width="13.7109375" customWidth="1"/>
    <col min="2042" max="2043" width="11.7109375" bestFit="1" customWidth="1"/>
    <col min="2044" max="2044" width="9.7109375" bestFit="1" customWidth="1"/>
    <col min="2045" max="2045" width="11.7109375" bestFit="1" customWidth="1"/>
    <col min="2288" max="2288" width="21.7109375" customWidth="1"/>
    <col min="2289" max="2289" width="16.85546875" customWidth="1"/>
    <col min="2290" max="2290" width="12" customWidth="1"/>
    <col min="2291" max="2291" width="11.5703125" customWidth="1"/>
    <col min="2292" max="2292" width="12.140625" customWidth="1"/>
    <col min="2293" max="2294" width="13" customWidth="1"/>
    <col min="2295" max="2295" width="11.85546875" customWidth="1"/>
    <col min="2296" max="2296" width="14.5703125" customWidth="1"/>
    <col min="2297" max="2297" width="13.7109375" customWidth="1"/>
    <col min="2298" max="2299" width="11.7109375" bestFit="1" customWidth="1"/>
    <col min="2300" max="2300" width="9.7109375" bestFit="1" customWidth="1"/>
    <col min="2301" max="2301" width="11.7109375" bestFit="1" customWidth="1"/>
    <col min="2544" max="2544" width="21.7109375" customWidth="1"/>
    <col min="2545" max="2545" width="16.85546875" customWidth="1"/>
    <col min="2546" max="2546" width="12" customWidth="1"/>
    <col min="2547" max="2547" width="11.5703125" customWidth="1"/>
    <col min="2548" max="2548" width="12.140625" customWidth="1"/>
    <col min="2549" max="2550" width="13" customWidth="1"/>
    <col min="2551" max="2551" width="11.85546875" customWidth="1"/>
    <col min="2552" max="2552" width="14.5703125" customWidth="1"/>
    <col min="2553" max="2553" width="13.7109375" customWidth="1"/>
    <col min="2554" max="2555" width="11.7109375" bestFit="1" customWidth="1"/>
    <col min="2556" max="2556" width="9.7109375" bestFit="1" customWidth="1"/>
    <col min="2557" max="2557" width="11.7109375" bestFit="1" customWidth="1"/>
    <col min="2800" max="2800" width="21.7109375" customWidth="1"/>
    <col min="2801" max="2801" width="16.85546875" customWidth="1"/>
    <col min="2802" max="2802" width="12" customWidth="1"/>
    <col min="2803" max="2803" width="11.5703125" customWidth="1"/>
    <col min="2804" max="2804" width="12.140625" customWidth="1"/>
    <col min="2805" max="2806" width="13" customWidth="1"/>
    <col min="2807" max="2807" width="11.85546875" customWidth="1"/>
    <col min="2808" max="2808" width="14.5703125" customWidth="1"/>
    <col min="2809" max="2809" width="13.7109375" customWidth="1"/>
    <col min="2810" max="2811" width="11.7109375" bestFit="1" customWidth="1"/>
    <col min="2812" max="2812" width="9.7109375" bestFit="1" customWidth="1"/>
    <col min="2813" max="2813" width="11.7109375" bestFit="1" customWidth="1"/>
    <col min="3056" max="3056" width="21.7109375" customWidth="1"/>
    <col min="3057" max="3057" width="16.85546875" customWidth="1"/>
    <col min="3058" max="3058" width="12" customWidth="1"/>
    <col min="3059" max="3059" width="11.5703125" customWidth="1"/>
    <col min="3060" max="3060" width="12.140625" customWidth="1"/>
    <col min="3061" max="3062" width="13" customWidth="1"/>
    <col min="3063" max="3063" width="11.85546875" customWidth="1"/>
    <col min="3064" max="3064" width="14.5703125" customWidth="1"/>
    <col min="3065" max="3065" width="13.7109375" customWidth="1"/>
    <col min="3066" max="3067" width="11.7109375" bestFit="1" customWidth="1"/>
    <col min="3068" max="3068" width="9.7109375" bestFit="1" customWidth="1"/>
    <col min="3069" max="3069" width="11.7109375" bestFit="1" customWidth="1"/>
    <col min="3312" max="3312" width="21.7109375" customWidth="1"/>
    <col min="3313" max="3313" width="16.85546875" customWidth="1"/>
    <col min="3314" max="3314" width="12" customWidth="1"/>
    <col min="3315" max="3315" width="11.5703125" customWidth="1"/>
    <col min="3316" max="3316" width="12.140625" customWidth="1"/>
    <col min="3317" max="3318" width="13" customWidth="1"/>
    <col min="3319" max="3319" width="11.85546875" customWidth="1"/>
    <col min="3320" max="3320" width="14.5703125" customWidth="1"/>
    <col min="3321" max="3321" width="13.7109375" customWidth="1"/>
    <col min="3322" max="3323" width="11.7109375" bestFit="1" customWidth="1"/>
    <col min="3324" max="3324" width="9.7109375" bestFit="1" customWidth="1"/>
    <col min="3325" max="3325" width="11.7109375" bestFit="1" customWidth="1"/>
    <col min="3568" max="3568" width="21.7109375" customWidth="1"/>
    <col min="3569" max="3569" width="16.85546875" customWidth="1"/>
    <col min="3570" max="3570" width="12" customWidth="1"/>
    <col min="3571" max="3571" width="11.5703125" customWidth="1"/>
    <col min="3572" max="3572" width="12.140625" customWidth="1"/>
    <col min="3573" max="3574" width="13" customWidth="1"/>
    <col min="3575" max="3575" width="11.85546875" customWidth="1"/>
    <col min="3576" max="3576" width="14.5703125" customWidth="1"/>
    <col min="3577" max="3577" width="13.7109375" customWidth="1"/>
    <col min="3578" max="3579" width="11.7109375" bestFit="1" customWidth="1"/>
    <col min="3580" max="3580" width="9.7109375" bestFit="1" customWidth="1"/>
    <col min="3581" max="3581" width="11.7109375" bestFit="1" customWidth="1"/>
    <col min="3824" max="3824" width="21.7109375" customWidth="1"/>
    <col min="3825" max="3825" width="16.85546875" customWidth="1"/>
    <col min="3826" max="3826" width="12" customWidth="1"/>
    <col min="3827" max="3827" width="11.5703125" customWidth="1"/>
    <col min="3828" max="3828" width="12.140625" customWidth="1"/>
    <col min="3829" max="3830" width="13" customWidth="1"/>
    <col min="3831" max="3831" width="11.85546875" customWidth="1"/>
    <col min="3832" max="3832" width="14.5703125" customWidth="1"/>
    <col min="3833" max="3833" width="13.7109375" customWidth="1"/>
    <col min="3834" max="3835" width="11.7109375" bestFit="1" customWidth="1"/>
    <col min="3836" max="3836" width="9.7109375" bestFit="1" customWidth="1"/>
    <col min="3837" max="3837" width="11.7109375" bestFit="1" customWidth="1"/>
    <col min="4080" max="4080" width="21.7109375" customWidth="1"/>
    <col min="4081" max="4081" width="16.85546875" customWidth="1"/>
    <col min="4082" max="4082" width="12" customWidth="1"/>
    <col min="4083" max="4083" width="11.5703125" customWidth="1"/>
    <col min="4084" max="4084" width="12.140625" customWidth="1"/>
    <col min="4085" max="4086" width="13" customWidth="1"/>
    <col min="4087" max="4087" width="11.85546875" customWidth="1"/>
    <col min="4088" max="4088" width="14.5703125" customWidth="1"/>
    <col min="4089" max="4089" width="13.7109375" customWidth="1"/>
    <col min="4090" max="4091" width="11.7109375" bestFit="1" customWidth="1"/>
    <col min="4092" max="4092" width="9.7109375" bestFit="1" customWidth="1"/>
    <col min="4093" max="4093" width="11.7109375" bestFit="1" customWidth="1"/>
    <col min="4336" max="4336" width="21.7109375" customWidth="1"/>
    <col min="4337" max="4337" width="16.85546875" customWidth="1"/>
    <col min="4338" max="4338" width="12" customWidth="1"/>
    <col min="4339" max="4339" width="11.5703125" customWidth="1"/>
    <col min="4340" max="4340" width="12.140625" customWidth="1"/>
    <col min="4341" max="4342" width="13" customWidth="1"/>
    <col min="4343" max="4343" width="11.85546875" customWidth="1"/>
    <col min="4344" max="4344" width="14.5703125" customWidth="1"/>
    <col min="4345" max="4345" width="13.7109375" customWidth="1"/>
    <col min="4346" max="4347" width="11.7109375" bestFit="1" customWidth="1"/>
    <col min="4348" max="4348" width="9.7109375" bestFit="1" customWidth="1"/>
    <col min="4349" max="4349" width="11.7109375" bestFit="1" customWidth="1"/>
    <col min="4592" max="4592" width="21.7109375" customWidth="1"/>
    <col min="4593" max="4593" width="16.85546875" customWidth="1"/>
    <col min="4594" max="4594" width="12" customWidth="1"/>
    <col min="4595" max="4595" width="11.5703125" customWidth="1"/>
    <col min="4596" max="4596" width="12.140625" customWidth="1"/>
    <col min="4597" max="4598" width="13" customWidth="1"/>
    <col min="4599" max="4599" width="11.85546875" customWidth="1"/>
    <col min="4600" max="4600" width="14.5703125" customWidth="1"/>
    <col min="4601" max="4601" width="13.7109375" customWidth="1"/>
    <col min="4602" max="4603" width="11.7109375" bestFit="1" customWidth="1"/>
    <col min="4604" max="4604" width="9.7109375" bestFit="1" customWidth="1"/>
    <col min="4605" max="4605" width="11.7109375" bestFit="1" customWidth="1"/>
    <col min="4848" max="4848" width="21.7109375" customWidth="1"/>
    <col min="4849" max="4849" width="16.85546875" customWidth="1"/>
    <col min="4850" max="4850" width="12" customWidth="1"/>
    <col min="4851" max="4851" width="11.5703125" customWidth="1"/>
    <col min="4852" max="4852" width="12.140625" customWidth="1"/>
    <col min="4853" max="4854" width="13" customWidth="1"/>
    <col min="4855" max="4855" width="11.85546875" customWidth="1"/>
    <col min="4856" max="4856" width="14.5703125" customWidth="1"/>
    <col min="4857" max="4857" width="13.7109375" customWidth="1"/>
    <col min="4858" max="4859" width="11.7109375" bestFit="1" customWidth="1"/>
    <col min="4860" max="4860" width="9.7109375" bestFit="1" customWidth="1"/>
    <col min="4861" max="4861" width="11.7109375" bestFit="1" customWidth="1"/>
    <col min="5104" max="5104" width="21.7109375" customWidth="1"/>
    <col min="5105" max="5105" width="16.85546875" customWidth="1"/>
    <col min="5106" max="5106" width="12" customWidth="1"/>
    <col min="5107" max="5107" width="11.5703125" customWidth="1"/>
    <col min="5108" max="5108" width="12.140625" customWidth="1"/>
    <col min="5109" max="5110" width="13" customWidth="1"/>
    <col min="5111" max="5111" width="11.85546875" customWidth="1"/>
    <col min="5112" max="5112" width="14.5703125" customWidth="1"/>
    <col min="5113" max="5113" width="13.7109375" customWidth="1"/>
    <col min="5114" max="5115" width="11.7109375" bestFit="1" customWidth="1"/>
    <col min="5116" max="5116" width="9.7109375" bestFit="1" customWidth="1"/>
    <col min="5117" max="5117" width="11.7109375" bestFit="1" customWidth="1"/>
    <col min="5360" max="5360" width="21.7109375" customWidth="1"/>
    <col min="5361" max="5361" width="16.85546875" customWidth="1"/>
    <col min="5362" max="5362" width="12" customWidth="1"/>
    <col min="5363" max="5363" width="11.5703125" customWidth="1"/>
    <col min="5364" max="5364" width="12.140625" customWidth="1"/>
    <col min="5365" max="5366" width="13" customWidth="1"/>
    <col min="5367" max="5367" width="11.85546875" customWidth="1"/>
    <col min="5368" max="5368" width="14.5703125" customWidth="1"/>
    <col min="5369" max="5369" width="13.7109375" customWidth="1"/>
    <col min="5370" max="5371" width="11.7109375" bestFit="1" customWidth="1"/>
    <col min="5372" max="5372" width="9.7109375" bestFit="1" customWidth="1"/>
    <col min="5373" max="5373" width="11.7109375" bestFit="1" customWidth="1"/>
    <col min="5616" max="5616" width="21.7109375" customWidth="1"/>
    <col min="5617" max="5617" width="16.85546875" customWidth="1"/>
    <col min="5618" max="5618" width="12" customWidth="1"/>
    <col min="5619" max="5619" width="11.5703125" customWidth="1"/>
    <col min="5620" max="5620" width="12.140625" customWidth="1"/>
    <col min="5621" max="5622" width="13" customWidth="1"/>
    <col min="5623" max="5623" width="11.85546875" customWidth="1"/>
    <col min="5624" max="5624" width="14.5703125" customWidth="1"/>
    <col min="5625" max="5625" width="13.7109375" customWidth="1"/>
    <col min="5626" max="5627" width="11.7109375" bestFit="1" customWidth="1"/>
    <col min="5628" max="5628" width="9.7109375" bestFit="1" customWidth="1"/>
    <col min="5629" max="5629" width="11.7109375" bestFit="1" customWidth="1"/>
    <col min="5872" max="5872" width="21.7109375" customWidth="1"/>
    <col min="5873" max="5873" width="16.85546875" customWidth="1"/>
    <col min="5874" max="5874" width="12" customWidth="1"/>
    <col min="5875" max="5875" width="11.5703125" customWidth="1"/>
    <col min="5876" max="5876" width="12.140625" customWidth="1"/>
    <col min="5877" max="5878" width="13" customWidth="1"/>
    <col min="5879" max="5879" width="11.85546875" customWidth="1"/>
    <col min="5880" max="5880" width="14.5703125" customWidth="1"/>
    <col min="5881" max="5881" width="13.7109375" customWidth="1"/>
    <col min="5882" max="5883" width="11.7109375" bestFit="1" customWidth="1"/>
    <col min="5884" max="5884" width="9.7109375" bestFit="1" customWidth="1"/>
    <col min="5885" max="5885" width="11.7109375" bestFit="1" customWidth="1"/>
    <col min="6128" max="6128" width="21.7109375" customWidth="1"/>
    <col min="6129" max="6129" width="16.85546875" customWidth="1"/>
    <col min="6130" max="6130" width="12" customWidth="1"/>
    <col min="6131" max="6131" width="11.5703125" customWidth="1"/>
    <col min="6132" max="6132" width="12.140625" customWidth="1"/>
    <col min="6133" max="6134" width="13" customWidth="1"/>
    <col min="6135" max="6135" width="11.85546875" customWidth="1"/>
    <col min="6136" max="6136" width="14.5703125" customWidth="1"/>
    <col min="6137" max="6137" width="13.7109375" customWidth="1"/>
    <col min="6138" max="6139" width="11.7109375" bestFit="1" customWidth="1"/>
    <col min="6140" max="6140" width="9.7109375" bestFit="1" customWidth="1"/>
    <col min="6141" max="6141" width="11.7109375" bestFit="1" customWidth="1"/>
    <col min="6384" max="6384" width="21.7109375" customWidth="1"/>
    <col min="6385" max="6385" width="16.85546875" customWidth="1"/>
    <col min="6386" max="6386" width="12" customWidth="1"/>
    <col min="6387" max="6387" width="11.5703125" customWidth="1"/>
    <col min="6388" max="6388" width="12.140625" customWidth="1"/>
    <col min="6389" max="6390" width="13" customWidth="1"/>
    <col min="6391" max="6391" width="11.85546875" customWidth="1"/>
    <col min="6392" max="6392" width="14.5703125" customWidth="1"/>
    <col min="6393" max="6393" width="13.7109375" customWidth="1"/>
    <col min="6394" max="6395" width="11.7109375" bestFit="1" customWidth="1"/>
    <col min="6396" max="6396" width="9.7109375" bestFit="1" customWidth="1"/>
    <col min="6397" max="6397" width="11.7109375" bestFit="1" customWidth="1"/>
    <col min="6640" max="6640" width="21.7109375" customWidth="1"/>
    <col min="6641" max="6641" width="16.85546875" customWidth="1"/>
    <col min="6642" max="6642" width="12" customWidth="1"/>
    <col min="6643" max="6643" width="11.5703125" customWidth="1"/>
    <col min="6644" max="6644" width="12.140625" customWidth="1"/>
    <col min="6645" max="6646" width="13" customWidth="1"/>
    <col min="6647" max="6647" width="11.85546875" customWidth="1"/>
    <col min="6648" max="6648" width="14.5703125" customWidth="1"/>
    <col min="6649" max="6649" width="13.7109375" customWidth="1"/>
    <col min="6650" max="6651" width="11.7109375" bestFit="1" customWidth="1"/>
    <col min="6652" max="6652" width="9.7109375" bestFit="1" customWidth="1"/>
    <col min="6653" max="6653" width="11.7109375" bestFit="1" customWidth="1"/>
    <col min="6896" max="6896" width="21.7109375" customWidth="1"/>
    <col min="6897" max="6897" width="16.85546875" customWidth="1"/>
    <col min="6898" max="6898" width="12" customWidth="1"/>
    <col min="6899" max="6899" width="11.5703125" customWidth="1"/>
    <col min="6900" max="6900" width="12.140625" customWidth="1"/>
    <col min="6901" max="6902" width="13" customWidth="1"/>
    <col min="6903" max="6903" width="11.85546875" customWidth="1"/>
    <col min="6904" max="6904" width="14.5703125" customWidth="1"/>
    <col min="6905" max="6905" width="13.7109375" customWidth="1"/>
    <col min="6906" max="6907" width="11.7109375" bestFit="1" customWidth="1"/>
    <col min="6908" max="6908" width="9.7109375" bestFit="1" customWidth="1"/>
    <col min="6909" max="6909" width="11.7109375" bestFit="1" customWidth="1"/>
    <col min="7152" max="7152" width="21.7109375" customWidth="1"/>
    <col min="7153" max="7153" width="16.85546875" customWidth="1"/>
    <col min="7154" max="7154" width="12" customWidth="1"/>
    <col min="7155" max="7155" width="11.5703125" customWidth="1"/>
    <col min="7156" max="7156" width="12.140625" customWidth="1"/>
    <col min="7157" max="7158" width="13" customWidth="1"/>
    <col min="7159" max="7159" width="11.85546875" customWidth="1"/>
    <col min="7160" max="7160" width="14.5703125" customWidth="1"/>
    <col min="7161" max="7161" width="13.7109375" customWidth="1"/>
    <col min="7162" max="7163" width="11.7109375" bestFit="1" customWidth="1"/>
    <col min="7164" max="7164" width="9.7109375" bestFit="1" customWidth="1"/>
    <col min="7165" max="7165" width="11.7109375" bestFit="1" customWidth="1"/>
    <col min="7408" max="7408" width="21.7109375" customWidth="1"/>
    <col min="7409" max="7409" width="16.85546875" customWidth="1"/>
    <col min="7410" max="7410" width="12" customWidth="1"/>
    <col min="7411" max="7411" width="11.5703125" customWidth="1"/>
    <col min="7412" max="7412" width="12.140625" customWidth="1"/>
    <col min="7413" max="7414" width="13" customWidth="1"/>
    <col min="7415" max="7415" width="11.85546875" customWidth="1"/>
    <col min="7416" max="7416" width="14.5703125" customWidth="1"/>
    <col min="7417" max="7417" width="13.7109375" customWidth="1"/>
    <col min="7418" max="7419" width="11.7109375" bestFit="1" customWidth="1"/>
    <col min="7420" max="7420" width="9.7109375" bestFit="1" customWidth="1"/>
    <col min="7421" max="7421" width="11.7109375" bestFit="1" customWidth="1"/>
    <col min="7664" max="7664" width="21.7109375" customWidth="1"/>
    <col min="7665" max="7665" width="16.85546875" customWidth="1"/>
    <col min="7666" max="7666" width="12" customWidth="1"/>
    <col min="7667" max="7667" width="11.5703125" customWidth="1"/>
    <col min="7668" max="7668" width="12.140625" customWidth="1"/>
    <col min="7669" max="7670" width="13" customWidth="1"/>
    <col min="7671" max="7671" width="11.85546875" customWidth="1"/>
    <col min="7672" max="7672" width="14.5703125" customWidth="1"/>
    <col min="7673" max="7673" width="13.7109375" customWidth="1"/>
    <col min="7674" max="7675" width="11.7109375" bestFit="1" customWidth="1"/>
    <col min="7676" max="7676" width="9.7109375" bestFit="1" customWidth="1"/>
    <col min="7677" max="7677" width="11.7109375" bestFit="1" customWidth="1"/>
    <col min="7920" max="7920" width="21.7109375" customWidth="1"/>
    <col min="7921" max="7921" width="16.85546875" customWidth="1"/>
    <col min="7922" max="7922" width="12" customWidth="1"/>
    <col min="7923" max="7923" width="11.5703125" customWidth="1"/>
    <col min="7924" max="7924" width="12.140625" customWidth="1"/>
    <col min="7925" max="7926" width="13" customWidth="1"/>
    <col min="7927" max="7927" width="11.85546875" customWidth="1"/>
    <col min="7928" max="7928" width="14.5703125" customWidth="1"/>
    <col min="7929" max="7929" width="13.7109375" customWidth="1"/>
    <col min="7930" max="7931" width="11.7109375" bestFit="1" customWidth="1"/>
    <col min="7932" max="7932" width="9.7109375" bestFit="1" customWidth="1"/>
    <col min="7933" max="7933" width="11.7109375" bestFit="1" customWidth="1"/>
    <col min="8176" max="8176" width="21.7109375" customWidth="1"/>
    <col min="8177" max="8177" width="16.85546875" customWidth="1"/>
    <col min="8178" max="8178" width="12" customWidth="1"/>
    <col min="8179" max="8179" width="11.5703125" customWidth="1"/>
    <col min="8180" max="8180" width="12.140625" customWidth="1"/>
    <col min="8181" max="8182" width="13" customWidth="1"/>
    <col min="8183" max="8183" width="11.85546875" customWidth="1"/>
    <col min="8184" max="8184" width="14.5703125" customWidth="1"/>
    <col min="8185" max="8185" width="13.7109375" customWidth="1"/>
    <col min="8186" max="8187" width="11.7109375" bestFit="1" customWidth="1"/>
    <col min="8188" max="8188" width="9.7109375" bestFit="1" customWidth="1"/>
    <col min="8189" max="8189" width="11.7109375" bestFit="1" customWidth="1"/>
    <col min="8432" max="8432" width="21.7109375" customWidth="1"/>
    <col min="8433" max="8433" width="16.85546875" customWidth="1"/>
    <col min="8434" max="8434" width="12" customWidth="1"/>
    <col min="8435" max="8435" width="11.5703125" customWidth="1"/>
    <col min="8436" max="8436" width="12.140625" customWidth="1"/>
    <col min="8437" max="8438" width="13" customWidth="1"/>
    <col min="8439" max="8439" width="11.85546875" customWidth="1"/>
    <col min="8440" max="8440" width="14.5703125" customWidth="1"/>
    <col min="8441" max="8441" width="13.7109375" customWidth="1"/>
    <col min="8442" max="8443" width="11.7109375" bestFit="1" customWidth="1"/>
    <col min="8444" max="8444" width="9.7109375" bestFit="1" customWidth="1"/>
    <col min="8445" max="8445" width="11.7109375" bestFit="1" customWidth="1"/>
    <col min="8688" max="8688" width="21.7109375" customWidth="1"/>
    <col min="8689" max="8689" width="16.85546875" customWidth="1"/>
    <col min="8690" max="8690" width="12" customWidth="1"/>
    <col min="8691" max="8691" width="11.5703125" customWidth="1"/>
    <col min="8692" max="8692" width="12.140625" customWidth="1"/>
    <col min="8693" max="8694" width="13" customWidth="1"/>
    <col min="8695" max="8695" width="11.85546875" customWidth="1"/>
    <col min="8696" max="8696" width="14.5703125" customWidth="1"/>
    <col min="8697" max="8697" width="13.7109375" customWidth="1"/>
    <col min="8698" max="8699" width="11.7109375" bestFit="1" customWidth="1"/>
    <col min="8700" max="8700" width="9.7109375" bestFit="1" customWidth="1"/>
    <col min="8701" max="8701" width="11.7109375" bestFit="1" customWidth="1"/>
    <col min="8944" max="8944" width="21.7109375" customWidth="1"/>
    <col min="8945" max="8945" width="16.85546875" customWidth="1"/>
    <col min="8946" max="8946" width="12" customWidth="1"/>
    <col min="8947" max="8947" width="11.5703125" customWidth="1"/>
    <col min="8948" max="8948" width="12.140625" customWidth="1"/>
    <col min="8949" max="8950" width="13" customWidth="1"/>
    <col min="8951" max="8951" width="11.85546875" customWidth="1"/>
    <col min="8952" max="8952" width="14.5703125" customWidth="1"/>
    <col min="8953" max="8953" width="13.7109375" customWidth="1"/>
    <col min="8954" max="8955" width="11.7109375" bestFit="1" customWidth="1"/>
    <col min="8956" max="8956" width="9.7109375" bestFit="1" customWidth="1"/>
    <col min="8957" max="8957" width="11.7109375" bestFit="1" customWidth="1"/>
    <col min="9200" max="9200" width="21.7109375" customWidth="1"/>
    <col min="9201" max="9201" width="16.85546875" customWidth="1"/>
    <col min="9202" max="9202" width="12" customWidth="1"/>
    <col min="9203" max="9203" width="11.5703125" customWidth="1"/>
    <col min="9204" max="9204" width="12.140625" customWidth="1"/>
    <col min="9205" max="9206" width="13" customWidth="1"/>
    <col min="9207" max="9207" width="11.85546875" customWidth="1"/>
    <col min="9208" max="9208" width="14.5703125" customWidth="1"/>
    <col min="9209" max="9209" width="13.7109375" customWidth="1"/>
    <col min="9210" max="9211" width="11.7109375" bestFit="1" customWidth="1"/>
    <col min="9212" max="9212" width="9.7109375" bestFit="1" customWidth="1"/>
    <col min="9213" max="9213" width="11.7109375" bestFit="1" customWidth="1"/>
    <col min="9456" max="9456" width="21.7109375" customWidth="1"/>
    <col min="9457" max="9457" width="16.85546875" customWidth="1"/>
    <col min="9458" max="9458" width="12" customWidth="1"/>
    <col min="9459" max="9459" width="11.5703125" customWidth="1"/>
    <col min="9460" max="9460" width="12.140625" customWidth="1"/>
    <col min="9461" max="9462" width="13" customWidth="1"/>
    <col min="9463" max="9463" width="11.85546875" customWidth="1"/>
    <col min="9464" max="9464" width="14.5703125" customWidth="1"/>
    <col min="9465" max="9465" width="13.7109375" customWidth="1"/>
    <col min="9466" max="9467" width="11.7109375" bestFit="1" customWidth="1"/>
    <col min="9468" max="9468" width="9.7109375" bestFit="1" customWidth="1"/>
    <col min="9469" max="9469" width="11.7109375" bestFit="1" customWidth="1"/>
    <col min="9712" max="9712" width="21.7109375" customWidth="1"/>
    <col min="9713" max="9713" width="16.85546875" customWidth="1"/>
    <col min="9714" max="9714" width="12" customWidth="1"/>
    <col min="9715" max="9715" width="11.5703125" customWidth="1"/>
    <col min="9716" max="9716" width="12.140625" customWidth="1"/>
    <col min="9717" max="9718" width="13" customWidth="1"/>
    <col min="9719" max="9719" width="11.85546875" customWidth="1"/>
    <col min="9720" max="9720" width="14.5703125" customWidth="1"/>
    <col min="9721" max="9721" width="13.7109375" customWidth="1"/>
    <col min="9722" max="9723" width="11.7109375" bestFit="1" customWidth="1"/>
    <col min="9724" max="9724" width="9.7109375" bestFit="1" customWidth="1"/>
    <col min="9725" max="9725" width="11.7109375" bestFit="1" customWidth="1"/>
    <col min="9968" max="9968" width="21.7109375" customWidth="1"/>
    <col min="9969" max="9969" width="16.85546875" customWidth="1"/>
    <col min="9970" max="9970" width="12" customWidth="1"/>
    <col min="9971" max="9971" width="11.5703125" customWidth="1"/>
    <col min="9972" max="9972" width="12.140625" customWidth="1"/>
    <col min="9973" max="9974" width="13" customWidth="1"/>
    <col min="9975" max="9975" width="11.85546875" customWidth="1"/>
    <col min="9976" max="9976" width="14.5703125" customWidth="1"/>
    <col min="9977" max="9977" width="13.7109375" customWidth="1"/>
    <col min="9978" max="9979" width="11.7109375" bestFit="1" customWidth="1"/>
    <col min="9980" max="9980" width="9.7109375" bestFit="1" customWidth="1"/>
    <col min="9981" max="9981" width="11.7109375" bestFit="1" customWidth="1"/>
    <col min="10224" max="10224" width="21.7109375" customWidth="1"/>
    <col min="10225" max="10225" width="16.85546875" customWidth="1"/>
    <col min="10226" max="10226" width="12" customWidth="1"/>
    <col min="10227" max="10227" width="11.5703125" customWidth="1"/>
    <col min="10228" max="10228" width="12.140625" customWidth="1"/>
    <col min="10229" max="10230" width="13" customWidth="1"/>
    <col min="10231" max="10231" width="11.85546875" customWidth="1"/>
    <col min="10232" max="10232" width="14.5703125" customWidth="1"/>
    <col min="10233" max="10233" width="13.7109375" customWidth="1"/>
    <col min="10234" max="10235" width="11.7109375" bestFit="1" customWidth="1"/>
    <col min="10236" max="10236" width="9.7109375" bestFit="1" customWidth="1"/>
    <col min="10237" max="10237" width="11.7109375" bestFit="1" customWidth="1"/>
    <col min="10480" max="10480" width="21.7109375" customWidth="1"/>
    <col min="10481" max="10481" width="16.85546875" customWidth="1"/>
    <col min="10482" max="10482" width="12" customWidth="1"/>
    <col min="10483" max="10483" width="11.5703125" customWidth="1"/>
    <col min="10484" max="10484" width="12.140625" customWidth="1"/>
    <col min="10485" max="10486" width="13" customWidth="1"/>
    <col min="10487" max="10487" width="11.85546875" customWidth="1"/>
    <col min="10488" max="10488" width="14.5703125" customWidth="1"/>
    <col min="10489" max="10489" width="13.7109375" customWidth="1"/>
    <col min="10490" max="10491" width="11.7109375" bestFit="1" customWidth="1"/>
    <col min="10492" max="10492" width="9.7109375" bestFit="1" customWidth="1"/>
    <col min="10493" max="10493" width="11.7109375" bestFit="1" customWidth="1"/>
    <col min="10736" max="10736" width="21.7109375" customWidth="1"/>
    <col min="10737" max="10737" width="16.85546875" customWidth="1"/>
    <col min="10738" max="10738" width="12" customWidth="1"/>
    <col min="10739" max="10739" width="11.5703125" customWidth="1"/>
    <col min="10740" max="10740" width="12.140625" customWidth="1"/>
    <col min="10741" max="10742" width="13" customWidth="1"/>
    <col min="10743" max="10743" width="11.85546875" customWidth="1"/>
    <col min="10744" max="10744" width="14.5703125" customWidth="1"/>
    <col min="10745" max="10745" width="13.7109375" customWidth="1"/>
    <col min="10746" max="10747" width="11.7109375" bestFit="1" customWidth="1"/>
    <col min="10748" max="10748" width="9.7109375" bestFit="1" customWidth="1"/>
    <col min="10749" max="10749" width="11.7109375" bestFit="1" customWidth="1"/>
    <col min="10992" max="10992" width="21.7109375" customWidth="1"/>
    <col min="10993" max="10993" width="16.85546875" customWidth="1"/>
    <col min="10994" max="10994" width="12" customWidth="1"/>
    <col min="10995" max="10995" width="11.5703125" customWidth="1"/>
    <col min="10996" max="10996" width="12.140625" customWidth="1"/>
    <col min="10997" max="10998" width="13" customWidth="1"/>
    <col min="10999" max="10999" width="11.85546875" customWidth="1"/>
    <col min="11000" max="11000" width="14.5703125" customWidth="1"/>
    <col min="11001" max="11001" width="13.7109375" customWidth="1"/>
    <col min="11002" max="11003" width="11.7109375" bestFit="1" customWidth="1"/>
    <col min="11004" max="11004" width="9.7109375" bestFit="1" customWidth="1"/>
    <col min="11005" max="11005" width="11.7109375" bestFit="1" customWidth="1"/>
    <col min="11248" max="11248" width="21.7109375" customWidth="1"/>
    <col min="11249" max="11249" width="16.85546875" customWidth="1"/>
    <col min="11250" max="11250" width="12" customWidth="1"/>
    <col min="11251" max="11251" width="11.5703125" customWidth="1"/>
    <col min="11252" max="11252" width="12.140625" customWidth="1"/>
    <col min="11253" max="11254" width="13" customWidth="1"/>
    <col min="11255" max="11255" width="11.85546875" customWidth="1"/>
    <col min="11256" max="11256" width="14.5703125" customWidth="1"/>
    <col min="11257" max="11257" width="13.7109375" customWidth="1"/>
    <col min="11258" max="11259" width="11.7109375" bestFit="1" customWidth="1"/>
    <col min="11260" max="11260" width="9.7109375" bestFit="1" customWidth="1"/>
    <col min="11261" max="11261" width="11.7109375" bestFit="1" customWidth="1"/>
    <col min="11504" max="11504" width="21.7109375" customWidth="1"/>
    <col min="11505" max="11505" width="16.85546875" customWidth="1"/>
    <col min="11506" max="11506" width="12" customWidth="1"/>
    <col min="11507" max="11507" width="11.5703125" customWidth="1"/>
    <col min="11508" max="11508" width="12.140625" customWidth="1"/>
    <col min="11509" max="11510" width="13" customWidth="1"/>
    <col min="11511" max="11511" width="11.85546875" customWidth="1"/>
    <col min="11512" max="11512" width="14.5703125" customWidth="1"/>
    <col min="11513" max="11513" width="13.7109375" customWidth="1"/>
    <col min="11514" max="11515" width="11.7109375" bestFit="1" customWidth="1"/>
    <col min="11516" max="11516" width="9.7109375" bestFit="1" customWidth="1"/>
    <col min="11517" max="11517" width="11.7109375" bestFit="1" customWidth="1"/>
    <col min="11760" max="11760" width="21.7109375" customWidth="1"/>
    <col min="11761" max="11761" width="16.85546875" customWidth="1"/>
    <col min="11762" max="11762" width="12" customWidth="1"/>
    <col min="11763" max="11763" width="11.5703125" customWidth="1"/>
    <col min="11764" max="11764" width="12.140625" customWidth="1"/>
    <col min="11765" max="11766" width="13" customWidth="1"/>
    <col min="11767" max="11767" width="11.85546875" customWidth="1"/>
    <col min="11768" max="11768" width="14.5703125" customWidth="1"/>
    <col min="11769" max="11769" width="13.7109375" customWidth="1"/>
    <col min="11770" max="11771" width="11.7109375" bestFit="1" customWidth="1"/>
    <col min="11772" max="11772" width="9.7109375" bestFit="1" customWidth="1"/>
    <col min="11773" max="11773" width="11.7109375" bestFit="1" customWidth="1"/>
    <col min="12016" max="12016" width="21.7109375" customWidth="1"/>
    <col min="12017" max="12017" width="16.85546875" customWidth="1"/>
    <col min="12018" max="12018" width="12" customWidth="1"/>
    <col min="12019" max="12019" width="11.5703125" customWidth="1"/>
    <col min="12020" max="12020" width="12.140625" customWidth="1"/>
    <col min="12021" max="12022" width="13" customWidth="1"/>
    <col min="12023" max="12023" width="11.85546875" customWidth="1"/>
    <col min="12024" max="12024" width="14.5703125" customWidth="1"/>
    <col min="12025" max="12025" width="13.7109375" customWidth="1"/>
    <col min="12026" max="12027" width="11.7109375" bestFit="1" customWidth="1"/>
    <col min="12028" max="12028" width="9.7109375" bestFit="1" customWidth="1"/>
    <col min="12029" max="12029" width="11.7109375" bestFit="1" customWidth="1"/>
    <col min="12272" max="12272" width="21.7109375" customWidth="1"/>
    <col min="12273" max="12273" width="16.85546875" customWidth="1"/>
    <col min="12274" max="12274" width="12" customWidth="1"/>
    <col min="12275" max="12275" width="11.5703125" customWidth="1"/>
    <col min="12276" max="12276" width="12.140625" customWidth="1"/>
    <col min="12277" max="12278" width="13" customWidth="1"/>
    <col min="12279" max="12279" width="11.85546875" customWidth="1"/>
    <col min="12280" max="12280" width="14.5703125" customWidth="1"/>
    <col min="12281" max="12281" width="13.7109375" customWidth="1"/>
    <col min="12282" max="12283" width="11.7109375" bestFit="1" customWidth="1"/>
    <col min="12284" max="12284" width="9.7109375" bestFit="1" customWidth="1"/>
    <col min="12285" max="12285" width="11.7109375" bestFit="1" customWidth="1"/>
    <col min="12528" max="12528" width="21.7109375" customWidth="1"/>
    <col min="12529" max="12529" width="16.85546875" customWidth="1"/>
    <col min="12530" max="12530" width="12" customWidth="1"/>
    <col min="12531" max="12531" width="11.5703125" customWidth="1"/>
    <col min="12532" max="12532" width="12.140625" customWidth="1"/>
    <col min="12533" max="12534" width="13" customWidth="1"/>
    <col min="12535" max="12535" width="11.85546875" customWidth="1"/>
    <col min="12536" max="12536" width="14.5703125" customWidth="1"/>
    <col min="12537" max="12537" width="13.7109375" customWidth="1"/>
    <col min="12538" max="12539" width="11.7109375" bestFit="1" customWidth="1"/>
    <col min="12540" max="12540" width="9.7109375" bestFit="1" customWidth="1"/>
    <col min="12541" max="12541" width="11.7109375" bestFit="1" customWidth="1"/>
    <col min="12784" max="12784" width="21.7109375" customWidth="1"/>
    <col min="12785" max="12785" width="16.85546875" customWidth="1"/>
    <col min="12786" max="12786" width="12" customWidth="1"/>
    <col min="12787" max="12787" width="11.5703125" customWidth="1"/>
    <col min="12788" max="12788" width="12.140625" customWidth="1"/>
    <col min="12789" max="12790" width="13" customWidth="1"/>
    <col min="12791" max="12791" width="11.85546875" customWidth="1"/>
    <col min="12792" max="12792" width="14.5703125" customWidth="1"/>
    <col min="12793" max="12793" width="13.7109375" customWidth="1"/>
    <col min="12794" max="12795" width="11.7109375" bestFit="1" customWidth="1"/>
    <col min="12796" max="12796" width="9.7109375" bestFit="1" customWidth="1"/>
    <col min="12797" max="12797" width="11.7109375" bestFit="1" customWidth="1"/>
    <col min="13040" max="13040" width="21.7109375" customWidth="1"/>
    <col min="13041" max="13041" width="16.85546875" customWidth="1"/>
    <col min="13042" max="13042" width="12" customWidth="1"/>
    <col min="13043" max="13043" width="11.5703125" customWidth="1"/>
    <col min="13044" max="13044" width="12.140625" customWidth="1"/>
    <col min="13045" max="13046" width="13" customWidth="1"/>
    <col min="13047" max="13047" width="11.85546875" customWidth="1"/>
    <col min="13048" max="13048" width="14.5703125" customWidth="1"/>
    <col min="13049" max="13049" width="13.7109375" customWidth="1"/>
    <col min="13050" max="13051" width="11.7109375" bestFit="1" customWidth="1"/>
    <col min="13052" max="13052" width="9.7109375" bestFit="1" customWidth="1"/>
    <col min="13053" max="13053" width="11.7109375" bestFit="1" customWidth="1"/>
    <col min="13296" max="13296" width="21.7109375" customWidth="1"/>
    <col min="13297" max="13297" width="16.85546875" customWidth="1"/>
    <col min="13298" max="13298" width="12" customWidth="1"/>
    <col min="13299" max="13299" width="11.5703125" customWidth="1"/>
    <col min="13300" max="13300" width="12.140625" customWidth="1"/>
    <col min="13301" max="13302" width="13" customWidth="1"/>
    <col min="13303" max="13303" width="11.85546875" customWidth="1"/>
    <col min="13304" max="13304" width="14.5703125" customWidth="1"/>
    <col min="13305" max="13305" width="13.7109375" customWidth="1"/>
    <col min="13306" max="13307" width="11.7109375" bestFit="1" customWidth="1"/>
    <col min="13308" max="13308" width="9.7109375" bestFit="1" customWidth="1"/>
    <col min="13309" max="13309" width="11.7109375" bestFit="1" customWidth="1"/>
    <col min="13552" max="13552" width="21.7109375" customWidth="1"/>
    <col min="13553" max="13553" width="16.85546875" customWidth="1"/>
    <col min="13554" max="13554" width="12" customWidth="1"/>
    <col min="13555" max="13555" width="11.5703125" customWidth="1"/>
    <col min="13556" max="13556" width="12.140625" customWidth="1"/>
    <col min="13557" max="13558" width="13" customWidth="1"/>
    <col min="13559" max="13559" width="11.85546875" customWidth="1"/>
    <col min="13560" max="13560" width="14.5703125" customWidth="1"/>
    <col min="13561" max="13561" width="13.7109375" customWidth="1"/>
    <col min="13562" max="13563" width="11.7109375" bestFit="1" customWidth="1"/>
    <col min="13564" max="13564" width="9.7109375" bestFit="1" customWidth="1"/>
    <col min="13565" max="13565" width="11.7109375" bestFit="1" customWidth="1"/>
    <col min="13808" max="13808" width="21.7109375" customWidth="1"/>
    <col min="13809" max="13809" width="16.85546875" customWidth="1"/>
    <col min="13810" max="13810" width="12" customWidth="1"/>
    <col min="13811" max="13811" width="11.5703125" customWidth="1"/>
    <col min="13812" max="13812" width="12.140625" customWidth="1"/>
    <col min="13813" max="13814" width="13" customWidth="1"/>
    <col min="13815" max="13815" width="11.85546875" customWidth="1"/>
    <col min="13816" max="13816" width="14.5703125" customWidth="1"/>
    <col min="13817" max="13817" width="13.7109375" customWidth="1"/>
    <col min="13818" max="13819" width="11.7109375" bestFit="1" customWidth="1"/>
    <col min="13820" max="13820" width="9.7109375" bestFit="1" customWidth="1"/>
    <col min="13821" max="13821" width="11.7109375" bestFit="1" customWidth="1"/>
    <col min="14064" max="14064" width="21.7109375" customWidth="1"/>
    <col min="14065" max="14065" width="16.85546875" customWidth="1"/>
    <col min="14066" max="14066" width="12" customWidth="1"/>
    <col min="14067" max="14067" width="11.5703125" customWidth="1"/>
    <col min="14068" max="14068" width="12.140625" customWidth="1"/>
    <col min="14069" max="14070" width="13" customWidth="1"/>
    <col min="14071" max="14071" width="11.85546875" customWidth="1"/>
    <col min="14072" max="14072" width="14.5703125" customWidth="1"/>
    <col min="14073" max="14073" width="13.7109375" customWidth="1"/>
    <col min="14074" max="14075" width="11.7109375" bestFit="1" customWidth="1"/>
    <col min="14076" max="14076" width="9.7109375" bestFit="1" customWidth="1"/>
    <col min="14077" max="14077" width="11.7109375" bestFit="1" customWidth="1"/>
    <col min="14320" max="14320" width="21.7109375" customWidth="1"/>
    <col min="14321" max="14321" width="16.85546875" customWidth="1"/>
    <col min="14322" max="14322" width="12" customWidth="1"/>
    <col min="14323" max="14323" width="11.5703125" customWidth="1"/>
    <col min="14324" max="14324" width="12.140625" customWidth="1"/>
    <col min="14325" max="14326" width="13" customWidth="1"/>
    <col min="14327" max="14327" width="11.85546875" customWidth="1"/>
    <col min="14328" max="14328" width="14.5703125" customWidth="1"/>
    <col min="14329" max="14329" width="13.7109375" customWidth="1"/>
    <col min="14330" max="14331" width="11.7109375" bestFit="1" customWidth="1"/>
    <col min="14332" max="14332" width="9.7109375" bestFit="1" customWidth="1"/>
    <col min="14333" max="14333" width="11.7109375" bestFit="1" customWidth="1"/>
    <col min="14576" max="14576" width="21.7109375" customWidth="1"/>
    <col min="14577" max="14577" width="16.85546875" customWidth="1"/>
    <col min="14578" max="14578" width="12" customWidth="1"/>
    <col min="14579" max="14579" width="11.5703125" customWidth="1"/>
    <col min="14580" max="14580" width="12.140625" customWidth="1"/>
    <col min="14581" max="14582" width="13" customWidth="1"/>
    <col min="14583" max="14583" width="11.85546875" customWidth="1"/>
    <col min="14584" max="14584" width="14.5703125" customWidth="1"/>
    <col min="14585" max="14585" width="13.7109375" customWidth="1"/>
    <col min="14586" max="14587" width="11.7109375" bestFit="1" customWidth="1"/>
    <col min="14588" max="14588" width="9.7109375" bestFit="1" customWidth="1"/>
    <col min="14589" max="14589" width="11.7109375" bestFit="1" customWidth="1"/>
    <col min="14832" max="14832" width="21.7109375" customWidth="1"/>
    <col min="14833" max="14833" width="16.85546875" customWidth="1"/>
    <col min="14834" max="14834" width="12" customWidth="1"/>
    <col min="14835" max="14835" width="11.5703125" customWidth="1"/>
    <col min="14836" max="14836" width="12.140625" customWidth="1"/>
    <col min="14837" max="14838" width="13" customWidth="1"/>
    <col min="14839" max="14839" width="11.85546875" customWidth="1"/>
    <col min="14840" max="14840" width="14.5703125" customWidth="1"/>
    <col min="14841" max="14841" width="13.7109375" customWidth="1"/>
    <col min="14842" max="14843" width="11.7109375" bestFit="1" customWidth="1"/>
    <col min="14844" max="14844" width="9.7109375" bestFit="1" customWidth="1"/>
    <col min="14845" max="14845" width="11.7109375" bestFit="1" customWidth="1"/>
    <col min="15088" max="15088" width="21.7109375" customWidth="1"/>
    <col min="15089" max="15089" width="16.85546875" customWidth="1"/>
    <col min="15090" max="15090" width="12" customWidth="1"/>
    <col min="15091" max="15091" width="11.5703125" customWidth="1"/>
    <col min="15092" max="15092" width="12.140625" customWidth="1"/>
    <col min="15093" max="15094" width="13" customWidth="1"/>
    <col min="15095" max="15095" width="11.85546875" customWidth="1"/>
    <col min="15096" max="15096" width="14.5703125" customWidth="1"/>
    <col min="15097" max="15097" width="13.7109375" customWidth="1"/>
    <col min="15098" max="15099" width="11.7109375" bestFit="1" customWidth="1"/>
    <col min="15100" max="15100" width="9.7109375" bestFit="1" customWidth="1"/>
    <col min="15101" max="15101" width="11.7109375" bestFit="1" customWidth="1"/>
    <col min="15344" max="15344" width="21.7109375" customWidth="1"/>
    <col min="15345" max="15345" width="16.85546875" customWidth="1"/>
    <col min="15346" max="15346" width="12" customWidth="1"/>
    <col min="15347" max="15347" width="11.5703125" customWidth="1"/>
    <col min="15348" max="15348" width="12.140625" customWidth="1"/>
    <col min="15349" max="15350" width="13" customWidth="1"/>
    <col min="15351" max="15351" width="11.85546875" customWidth="1"/>
    <col min="15352" max="15352" width="14.5703125" customWidth="1"/>
    <col min="15353" max="15353" width="13.7109375" customWidth="1"/>
    <col min="15354" max="15355" width="11.7109375" bestFit="1" customWidth="1"/>
    <col min="15356" max="15356" width="9.7109375" bestFit="1" customWidth="1"/>
    <col min="15357" max="15357" width="11.7109375" bestFit="1" customWidth="1"/>
    <col min="15600" max="15600" width="21.7109375" customWidth="1"/>
    <col min="15601" max="15601" width="16.85546875" customWidth="1"/>
    <col min="15602" max="15602" width="12" customWidth="1"/>
    <col min="15603" max="15603" width="11.5703125" customWidth="1"/>
    <col min="15604" max="15604" width="12.140625" customWidth="1"/>
    <col min="15605" max="15606" width="13" customWidth="1"/>
    <col min="15607" max="15607" width="11.85546875" customWidth="1"/>
    <col min="15608" max="15608" width="14.5703125" customWidth="1"/>
    <col min="15609" max="15609" width="13.7109375" customWidth="1"/>
    <col min="15610" max="15611" width="11.7109375" bestFit="1" customWidth="1"/>
    <col min="15612" max="15612" width="9.7109375" bestFit="1" customWidth="1"/>
    <col min="15613" max="15613" width="11.7109375" bestFit="1" customWidth="1"/>
    <col min="15856" max="15856" width="21.7109375" customWidth="1"/>
    <col min="15857" max="15857" width="16.85546875" customWidth="1"/>
    <col min="15858" max="15858" width="12" customWidth="1"/>
    <col min="15859" max="15859" width="11.5703125" customWidth="1"/>
    <col min="15860" max="15860" width="12.140625" customWidth="1"/>
    <col min="15861" max="15862" width="13" customWidth="1"/>
    <col min="15863" max="15863" width="11.85546875" customWidth="1"/>
    <col min="15864" max="15864" width="14.5703125" customWidth="1"/>
    <col min="15865" max="15865" width="13.7109375" customWidth="1"/>
    <col min="15866" max="15867" width="11.7109375" bestFit="1" customWidth="1"/>
    <col min="15868" max="15868" width="9.7109375" bestFit="1" customWidth="1"/>
    <col min="15869" max="15869" width="11.7109375" bestFit="1" customWidth="1"/>
    <col min="16112" max="16112" width="21.7109375" customWidth="1"/>
    <col min="16113" max="16113" width="16.85546875" customWidth="1"/>
    <col min="16114" max="16114" width="12" customWidth="1"/>
    <col min="16115" max="16115" width="11.5703125" customWidth="1"/>
    <col min="16116" max="16116" width="12.140625" customWidth="1"/>
    <col min="16117" max="16118" width="13" customWidth="1"/>
    <col min="16119" max="16119" width="11.85546875" customWidth="1"/>
    <col min="16120" max="16120" width="14.5703125" customWidth="1"/>
    <col min="16121" max="16121" width="13.7109375" customWidth="1"/>
    <col min="16122" max="16123" width="11.7109375" bestFit="1" customWidth="1"/>
    <col min="16124" max="16124" width="9.7109375" bestFit="1" customWidth="1"/>
    <col min="16125" max="16125" width="11.7109375" bestFit="1" customWidth="1"/>
  </cols>
  <sheetData>
    <row r="1" spans="1:10" ht="15.75" x14ac:dyDescent="0.25">
      <c r="A1" s="76" t="s">
        <v>18</v>
      </c>
      <c r="D1" s="128"/>
      <c r="E1" s="128"/>
      <c r="F1" s="128"/>
      <c r="G1" s="121"/>
      <c r="H1" s="121"/>
    </row>
    <row r="2" spans="1:10" ht="15.75" x14ac:dyDescent="0.25">
      <c r="D2" s="166" t="s">
        <v>61</v>
      </c>
      <c r="E2" s="166"/>
      <c r="F2" s="131"/>
      <c r="G2" s="1"/>
      <c r="H2" s="131"/>
    </row>
    <row r="3" spans="1:10" x14ac:dyDescent="0.25">
      <c r="D3" s="56"/>
      <c r="E3" s="56"/>
      <c r="F3" s="56"/>
      <c r="G3" s="120"/>
      <c r="H3" s="120"/>
      <c r="I3" s="56"/>
      <c r="J3" s="189"/>
    </row>
    <row r="4" spans="1:10" x14ac:dyDescent="0.25">
      <c r="B4" s="705"/>
      <c r="C4" s="705"/>
      <c r="D4" s="705"/>
      <c r="E4" s="705"/>
      <c r="F4" s="705"/>
      <c r="G4" s="705"/>
      <c r="H4" s="705"/>
      <c r="I4" s="128"/>
      <c r="J4" s="20"/>
    </row>
    <row r="5" spans="1:10" ht="30" x14ac:dyDescent="0.25">
      <c r="A5" s="474" t="s">
        <v>135</v>
      </c>
      <c r="B5" s="32"/>
      <c r="C5" s="32" t="s">
        <v>17</v>
      </c>
      <c r="D5" s="462"/>
      <c r="E5" s="32" t="s">
        <v>19</v>
      </c>
      <c r="F5" s="462"/>
      <c r="G5" s="32" t="s">
        <v>41</v>
      </c>
      <c r="H5" s="462"/>
      <c r="I5" s="453" t="s">
        <v>20</v>
      </c>
      <c r="J5" s="63"/>
    </row>
    <row r="6" spans="1:10" s="12" customFormat="1" x14ac:dyDescent="0.25">
      <c r="A6" s="463">
        <v>44562</v>
      </c>
      <c r="B6" s="32"/>
      <c r="C6" s="464">
        <v>561561</v>
      </c>
      <c r="D6" s="465"/>
      <c r="E6" s="465">
        <v>14496</v>
      </c>
      <c r="F6" s="465"/>
      <c r="G6" s="465">
        <v>99216</v>
      </c>
      <c r="H6" s="466"/>
      <c r="I6" s="467">
        <f>C6+E6+G6</f>
        <v>675273</v>
      </c>
      <c r="J6" s="62"/>
    </row>
    <row r="7" spans="1:10" s="12" customFormat="1" x14ac:dyDescent="0.25">
      <c r="A7" s="463">
        <v>44593</v>
      </c>
      <c r="B7" s="32"/>
      <c r="C7" s="464">
        <v>561561</v>
      </c>
      <c r="D7" s="465"/>
      <c r="E7" s="465">
        <v>14496</v>
      </c>
      <c r="F7" s="465"/>
      <c r="G7" s="465">
        <v>99216</v>
      </c>
      <c r="H7" s="466"/>
      <c r="I7" s="467">
        <f>C7+E7+G7</f>
        <v>675273</v>
      </c>
      <c r="J7" s="62"/>
    </row>
    <row r="8" spans="1:10" x14ac:dyDescent="0.25">
      <c r="A8" s="463">
        <v>44621</v>
      </c>
      <c r="B8" s="32"/>
      <c r="C8" s="464">
        <v>532389</v>
      </c>
      <c r="D8" s="464"/>
      <c r="E8" s="464">
        <v>4832</v>
      </c>
      <c r="F8" s="464"/>
      <c r="G8" s="464">
        <v>99216</v>
      </c>
      <c r="H8" s="464"/>
      <c r="I8" s="467">
        <f>C8+E8+G8</f>
        <v>636437</v>
      </c>
      <c r="J8" s="62"/>
    </row>
    <row r="9" spans="1:10" s="12" customFormat="1" x14ac:dyDescent="0.25">
      <c r="A9" s="463" t="s">
        <v>97</v>
      </c>
      <c r="B9" s="32"/>
      <c r="C9" s="468">
        <f>SUM(C6:C8)</f>
        <v>1655511</v>
      </c>
      <c r="D9" s="468"/>
      <c r="E9" s="468">
        <f>SUM(E6:E8)</f>
        <v>33824</v>
      </c>
      <c r="F9" s="468"/>
      <c r="G9" s="468">
        <f>SUM(G6:G8)</f>
        <v>297648</v>
      </c>
      <c r="H9" s="468"/>
      <c r="I9" s="467">
        <f>C9+E9+G9</f>
        <v>1986983</v>
      </c>
      <c r="J9" s="62"/>
    </row>
    <row r="10" spans="1:10" x14ac:dyDescent="0.25">
      <c r="A10" s="463" t="s">
        <v>129</v>
      </c>
      <c r="B10" s="32"/>
      <c r="C10" s="469">
        <v>583310</v>
      </c>
      <c r="D10" s="469"/>
      <c r="E10" s="469">
        <v>5344</v>
      </c>
      <c r="F10" s="469"/>
      <c r="G10" s="469">
        <v>111696</v>
      </c>
      <c r="H10" s="468"/>
      <c r="I10" s="467">
        <f>C10+E10+G10</f>
        <v>700350</v>
      </c>
      <c r="J10" s="62"/>
    </row>
    <row r="11" spans="1:10" x14ac:dyDescent="0.25">
      <c r="A11" s="470" t="s">
        <v>20</v>
      </c>
      <c r="B11" s="32"/>
      <c r="C11" s="468">
        <f>C9+C10</f>
        <v>2238821</v>
      </c>
      <c r="D11" s="468"/>
      <c r="E11" s="468">
        <f>E9+E10</f>
        <v>39168</v>
      </c>
      <c r="F11" s="468"/>
      <c r="G11" s="468">
        <f>G9+G10</f>
        <v>409344</v>
      </c>
      <c r="H11" s="468"/>
      <c r="I11" s="467">
        <f>I9+I10</f>
        <v>2687333</v>
      </c>
      <c r="J11" s="62"/>
    </row>
    <row r="12" spans="1:10" x14ac:dyDescent="0.25">
      <c r="A12" s="463" t="s">
        <v>130</v>
      </c>
      <c r="B12" s="32"/>
      <c r="C12" s="469">
        <v>4083170</v>
      </c>
      <c r="D12" s="469"/>
      <c r="E12" s="469">
        <v>42730.67</v>
      </c>
      <c r="F12" s="469"/>
      <c r="G12" s="469">
        <v>781872</v>
      </c>
      <c r="H12" s="469"/>
      <c r="I12" s="471">
        <f>C12+E12+G12</f>
        <v>4907772.67</v>
      </c>
      <c r="J12" s="62"/>
    </row>
    <row r="13" spans="1:10" ht="15.75" x14ac:dyDescent="0.25">
      <c r="A13" s="472" t="s">
        <v>131</v>
      </c>
      <c r="B13" s="32"/>
      <c r="C13" s="468">
        <f>C11+C12</f>
        <v>6321991</v>
      </c>
      <c r="D13" s="468"/>
      <c r="E13" s="468">
        <f>E11+E12</f>
        <v>81898.67</v>
      </c>
      <c r="F13" s="468"/>
      <c r="G13" s="468">
        <f>G11+G12</f>
        <v>1191216</v>
      </c>
      <c r="H13" s="468"/>
      <c r="I13" s="467">
        <f>I11+I12</f>
        <v>7595105.6699999999</v>
      </c>
      <c r="J13" s="62"/>
    </row>
    <row r="14" spans="1:10" ht="16.5" thickBot="1" x14ac:dyDescent="0.3">
      <c r="A14" s="532" t="s">
        <v>149</v>
      </c>
      <c r="B14" s="240"/>
      <c r="C14" s="533">
        <v>-25245</v>
      </c>
      <c r="D14" s="533"/>
      <c r="E14" s="533">
        <v>0</v>
      </c>
      <c r="F14" s="533"/>
      <c r="G14" s="533">
        <v>0</v>
      </c>
      <c r="H14" s="533"/>
      <c r="I14" s="534">
        <f>C14+E14+G14</f>
        <v>-25245</v>
      </c>
      <c r="J14" s="62"/>
    </row>
    <row r="15" spans="1:10" ht="16.5" thickBot="1" x14ac:dyDescent="0.3">
      <c r="A15" s="535" t="s">
        <v>140</v>
      </c>
      <c r="B15" s="671"/>
      <c r="C15" s="682">
        <f>C13+C14</f>
        <v>6296746</v>
      </c>
      <c r="D15" s="672"/>
      <c r="E15" s="682">
        <f>E13+E14</f>
        <v>81898.67</v>
      </c>
      <c r="F15" s="672"/>
      <c r="G15" s="682">
        <f>G13+G14</f>
        <v>1191216</v>
      </c>
      <c r="H15" s="672"/>
      <c r="I15" s="684">
        <f>C15+E15+G15</f>
        <v>7569860.6699999999</v>
      </c>
      <c r="J15" s="62"/>
    </row>
    <row r="16" spans="1:10" ht="16.5" thickBot="1" x14ac:dyDescent="0.3">
      <c r="A16" s="680" t="s">
        <v>155</v>
      </c>
      <c r="B16" s="548"/>
      <c r="C16" s="682">
        <v>97432</v>
      </c>
      <c r="D16" s="672"/>
      <c r="E16" s="682"/>
      <c r="F16" s="672"/>
      <c r="G16" s="682">
        <v>25776</v>
      </c>
      <c r="H16" s="672"/>
      <c r="I16" s="684">
        <f>C16+E16+G16</f>
        <v>123208</v>
      </c>
      <c r="J16" s="62"/>
    </row>
    <row r="17" spans="1:13" ht="16.5" thickBot="1" x14ac:dyDescent="0.3">
      <c r="A17" s="681" t="s">
        <v>140</v>
      </c>
      <c r="B17" s="625"/>
      <c r="C17" s="683">
        <f>C15+C16</f>
        <v>6394178</v>
      </c>
      <c r="D17" s="626"/>
      <c r="E17" s="683">
        <f>E15+E16</f>
        <v>81898.67</v>
      </c>
      <c r="F17" s="626"/>
      <c r="G17" s="683">
        <f>G15+G16</f>
        <v>1216992</v>
      </c>
      <c r="H17" s="626"/>
      <c r="I17" s="685">
        <f>I15+I16</f>
        <v>7693068.6699999999</v>
      </c>
      <c r="J17" s="62"/>
    </row>
    <row r="18" spans="1:13" ht="16.5" thickBot="1" x14ac:dyDescent="0.3">
      <c r="A18" s="681" t="s">
        <v>158</v>
      </c>
      <c r="B18" s="625"/>
      <c r="C18" s="683">
        <v>269220</v>
      </c>
      <c r="D18" s="626"/>
      <c r="E18" s="683">
        <v>0</v>
      </c>
      <c r="F18" s="626"/>
      <c r="G18" s="683">
        <v>51552</v>
      </c>
      <c r="H18" s="626"/>
      <c r="I18" s="685">
        <f>C18+E18+G18</f>
        <v>320772</v>
      </c>
      <c r="J18" s="62"/>
    </row>
    <row r="19" spans="1:13" ht="16.5" thickBot="1" x14ac:dyDescent="0.3">
      <c r="A19" s="681" t="s">
        <v>140</v>
      </c>
      <c r="B19" s="625"/>
      <c r="C19" s="683">
        <f>C17+C18</f>
        <v>6663398</v>
      </c>
      <c r="D19" s="626"/>
      <c r="E19" s="683">
        <f>E17+E18</f>
        <v>81898.67</v>
      </c>
      <c r="F19" s="626"/>
      <c r="G19" s="683">
        <f>G17+G18</f>
        <v>1268544</v>
      </c>
      <c r="H19" s="626"/>
      <c r="I19" s="685">
        <f>C19+E19+G19</f>
        <v>8013840.6699999999</v>
      </c>
      <c r="J19" s="62"/>
    </row>
    <row r="20" spans="1:13" ht="16.5" thickBot="1" x14ac:dyDescent="0.3">
      <c r="A20" s="681" t="s">
        <v>164</v>
      </c>
      <c r="B20" s="625"/>
      <c r="C20" s="683">
        <v>-357037</v>
      </c>
      <c r="D20" s="626"/>
      <c r="E20" s="683">
        <v>-19321.7</v>
      </c>
      <c r="F20" s="626"/>
      <c r="G20" s="683">
        <v>35084</v>
      </c>
      <c r="H20" s="626"/>
      <c r="I20" s="685">
        <f>C20+E20+G20</f>
        <v>-341274.7</v>
      </c>
      <c r="J20" s="62"/>
    </row>
    <row r="21" spans="1:13" ht="16.5" thickBot="1" x14ac:dyDescent="0.3">
      <c r="A21" s="681" t="s">
        <v>150</v>
      </c>
      <c r="B21" s="625"/>
      <c r="C21" s="683">
        <f>C19+C20</f>
        <v>6306361</v>
      </c>
      <c r="D21" s="626"/>
      <c r="E21" s="683">
        <f>E19+E20</f>
        <v>62576.97</v>
      </c>
      <c r="F21" s="626"/>
      <c r="G21" s="683">
        <f>G19+G20</f>
        <v>1303628</v>
      </c>
      <c r="H21" s="626"/>
      <c r="I21" s="685">
        <f>C21+E21+G21</f>
        <v>7672565.9699999997</v>
      </c>
      <c r="J21" s="62"/>
    </row>
    <row r="22" spans="1:13" ht="15.75" thickBot="1" x14ac:dyDescent="0.3">
      <c r="A22" s="452"/>
      <c r="B22" s="706"/>
      <c r="C22" s="707"/>
      <c r="D22" s="706" t="s">
        <v>15</v>
      </c>
      <c r="E22" s="707"/>
      <c r="F22" s="706" t="s">
        <v>42</v>
      </c>
      <c r="G22" s="707"/>
      <c r="H22" s="706" t="s">
        <v>20</v>
      </c>
      <c r="I22" s="708"/>
      <c r="J22" s="709" t="s">
        <v>94</v>
      </c>
    </row>
    <row r="23" spans="1:13" ht="39" x14ac:dyDescent="0.25">
      <c r="A23" s="473" t="s">
        <v>136</v>
      </c>
      <c r="B23" s="27" t="s">
        <v>21</v>
      </c>
      <c r="C23" s="122" t="s">
        <v>22</v>
      </c>
      <c r="D23" s="122" t="s">
        <v>21</v>
      </c>
      <c r="E23" s="122" t="s">
        <v>22</v>
      </c>
      <c r="F23" s="122" t="s">
        <v>21</v>
      </c>
      <c r="G23" s="122" t="s">
        <v>22</v>
      </c>
      <c r="H23" s="122" t="s">
        <v>21</v>
      </c>
      <c r="I23" s="149" t="s">
        <v>22</v>
      </c>
      <c r="J23" s="710"/>
    </row>
    <row r="24" spans="1:13" s="55" customFormat="1" x14ac:dyDescent="0.25">
      <c r="A24" s="190" t="s">
        <v>23</v>
      </c>
      <c r="B24" s="47"/>
      <c r="C24" s="191">
        <v>525096</v>
      </c>
      <c r="D24" s="191"/>
      <c r="E24" s="191">
        <v>4832</v>
      </c>
      <c r="F24" s="191"/>
      <c r="G24" s="191">
        <v>95400</v>
      </c>
      <c r="H24" s="136"/>
      <c r="I24" s="133">
        <f>C24+E24+G24</f>
        <v>625328</v>
      </c>
      <c r="J24" s="192">
        <v>642011</v>
      </c>
    </row>
    <row r="25" spans="1:13" s="55" customFormat="1" x14ac:dyDescent="0.25">
      <c r="A25" s="190" t="s">
        <v>24</v>
      </c>
      <c r="B25" s="193"/>
      <c r="C25" s="191">
        <v>454410</v>
      </c>
      <c r="D25" s="191"/>
      <c r="E25" s="191">
        <v>4832</v>
      </c>
      <c r="F25" s="191"/>
      <c r="G25" s="191">
        <v>85224</v>
      </c>
      <c r="H25" s="136"/>
      <c r="I25" s="133">
        <f>C25+E25+G25</f>
        <v>544466</v>
      </c>
      <c r="J25" s="192">
        <v>625328</v>
      </c>
    </row>
    <row r="26" spans="1:13" s="55" customFormat="1" x14ac:dyDescent="0.25">
      <c r="A26" s="190" t="s">
        <v>25</v>
      </c>
      <c r="B26" s="47"/>
      <c r="C26" s="191">
        <v>494241</v>
      </c>
      <c r="D26" s="191"/>
      <c r="E26" s="191">
        <v>4832</v>
      </c>
      <c r="F26" s="191"/>
      <c r="G26" s="191">
        <v>95400</v>
      </c>
      <c r="H26" s="136"/>
      <c r="I26" s="133">
        <f>C26+E26+G26</f>
        <v>594473</v>
      </c>
      <c r="J26" s="192">
        <v>544466</v>
      </c>
    </row>
    <row r="27" spans="1:13" s="35" customFormat="1" x14ac:dyDescent="0.25">
      <c r="A27" s="72" t="s">
        <v>27</v>
      </c>
      <c r="B27" s="241"/>
      <c r="C27" s="242">
        <f>SUM(C24:C26)</f>
        <v>1473747</v>
      </c>
      <c r="D27" s="242"/>
      <c r="E27" s="242">
        <f>SUM(E24:E26)</f>
        <v>14496</v>
      </c>
      <c r="F27" s="242"/>
      <c r="G27" s="242">
        <f>SUM(G24:G26)</f>
        <v>276024</v>
      </c>
      <c r="H27" s="242"/>
      <c r="I27" s="135">
        <f>I24+I25+I26</f>
        <v>1764267</v>
      </c>
      <c r="J27" s="195">
        <f>SUM(J24:J26)</f>
        <v>1811805</v>
      </c>
    </row>
    <row r="28" spans="1:13" s="35" customFormat="1" x14ac:dyDescent="0.25">
      <c r="A28" s="50" t="s">
        <v>47</v>
      </c>
      <c r="B28" s="49"/>
      <c r="C28" s="125"/>
      <c r="D28" s="125"/>
      <c r="E28" s="125"/>
      <c r="F28" s="125"/>
      <c r="G28" s="125"/>
      <c r="H28" s="134"/>
      <c r="I28" s="135">
        <f>C28+E28+G28</f>
        <v>0</v>
      </c>
      <c r="J28" s="449"/>
    </row>
    <row r="29" spans="1:13" s="52" customFormat="1" x14ac:dyDescent="0.25">
      <c r="A29" s="50" t="s">
        <v>20</v>
      </c>
      <c r="B29" s="167"/>
      <c r="C29" s="125">
        <f t="shared" ref="C29:I29" si="0">C27+C28</f>
        <v>1473747</v>
      </c>
      <c r="D29" s="125"/>
      <c r="E29" s="125">
        <f t="shared" si="0"/>
        <v>14496</v>
      </c>
      <c r="F29" s="125"/>
      <c r="G29" s="125">
        <f t="shared" si="0"/>
        <v>276024</v>
      </c>
      <c r="H29" s="125"/>
      <c r="I29" s="135">
        <f t="shared" si="0"/>
        <v>1764267</v>
      </c>
      <c r="J29" s="195"/>
    </row>
    <row r="30" spans="1:13" x14ac:dyDescent="0.25">
      <c r="A30" s="28" t="s">
        <v>28</v>
      </c>
      <c r="B30" s="168"/>
      <c r="C30" s="123">
        <v>545491</v>
      </c>
      <c r="D30" s="123"/>
      <c r="E30" s="123">
        <v>5341.33</v>
      </c>
      <c r="F30" s="123"/>
      <c r="G30" s="123">
        <v>111696</v>
      </c>
      <c r="H30" s="136"/>
      <c r="I30" s="133">
        <f>C30+E30+G30</f>
        <v>662528.32999999996</v>
      </c>
      <c r="J30" s="263">
        <v>594473</v>
      </c>
    </row>
    <row r="31" spans="1:13" x14ac:dyDescent="0.25">
      <c r="A31" s="28" t="s">
        <v>29</v>
      </c>
      <c r="B31" s="47"/>
      <c r="C31" s="123">
        <v>560234</v>
      </c>
      <c r="D31" s="123"/>
      <c r="E31" s="123">
        <v>5341.33</v>
      </c>
      <c r="F31" s="123"/>
      <c r="G31" s="123">
        <v>111696</v>
      </c>
      <c r="H31" s="136"/>
      <c r="I31" s="133">
        <f>C31+E31+G31</f>
        <v>677271.33</v>
      </c>
      <c r="J31" s="263">
        <v>662528.32999999996</v>
      </c>
      <c r="K31" s="35"/>
      <c r="L31" s="35"/>
      <c r="M31" s="35"/>
    </row>
    <row r="32" spans="1:13" x14ac:dyDescent="0.25">
      <c r="A32" s="28" t="s">
        <v>30</v>
      </c>
      <c r="B32" s="61"/>
      <c r="C32" s="123">
        <v>550619</v>
      </c>
      <c r="D32" s="123"/>
      <c r="E32" s="123">
        <v>5341.33</v>
      </c>
      <c r="F32" s="123"/>
      <c r="G32" s="123">
        <v>110980</v>
      </c>
      <c r="H32" s="136"/>
      <c r="I32" s="133">
        <f>C32+E32+G32</f>
        <v>666940.32999999996</v>
      </c>
      <c r="J32" s="192">
        <v>677271.33</v>
      </c>
    </row>
    <row r="33" spans="1:12" s="35" customFormat="1" x14ac:dyDescent="0.25">
      <c r="A33" s="86" t="s">
        <v>31</v>
      </c>
      <c r="B33" s="87"/>
      <c r="C33" s="154">
        <f>SUM(C30:C32)</f>
        <v>1656344</v>
      </c>
      <c r="D33" s="154"/>
      <c r="E33" s="154">
        <f>E30+E31+E32</f>
        <v>16023.99</v>
      </c>
      <c r="F33" s="154"/>
      <c r="G33" s="154">
        <f>G30+G31+G32+G28</f>
        <v>334372</v>
      </c>
      <c r="H33" s="154"/>
      <c r="I33" s="155">
        <f>SUM(I30:I32)</f>
        <v>2006739.9899999998</v>
      </c>
      <c r="J33" s="194">
        <f>SUM(J30:J32)</f>
        <v>1934272.6600000001</v>
      </c>
    </row>
    <row r="34" spans="1:12" s="35" customFormat="1" x14ac:dyDescent="0.25">
      <c r="A34" s="86" t="s">
        <v>132</v>
      </c>
      <c r="B34" s="87"/>
      <c r="C34" s="154">
        <f>C29+C33</f>
        <v>3130091</v>
      </c>
      <c r="D34" s="154"/>
      <c r="E34" s="154">
        <f>E29+E33</f>
        <v>30519.989999999998</v>
      </c>
      <c r="F34" s="154"/>
      <c r="G34" s="154">
        <f>G29+G33</f>
        <v>610396</v>
      </c>
      <c r="H34" s="154"/>
      <c r="I34" s="155">
        <f>I29+I33</f>
        <v>3771006.9899999998</v>
      </c>
      <c r="J34" s="194"/>
    </row>
    <row r="35" spans="1:12" x14ac:dyDescent="0.25">
      <c r="A35" s="28" t="s">
        <v>32</v>
      </c>
      <c r="B35" s="21"/>
      <c r="C35" s="137">
        <f>830*641</f>
        <v>532030</v>
      </c>
      <c r="D35" s="123"/>
      <c r="E35" s="137">
        <v>5341.33</v>
      </c>
      <c r="F35" s="123"/>
      <c r="G35" s="123">
        <f>164*716</f>
        <v>117424</v>
      </c>
      <c r="H35" s="136"/>
      <c r="I35" s="133">
        <f>C35+E35+G35</f>
        <v>654795.32999999996</v>
      </c>
      <c r="J35" s="192">
        <v>666940.32999999996</v>
      </c>
    </row>
    <row r="36" spans="1:12" x14ac:dyDescent="0.25">
      <c r="A36" s="28" t="s">
        <v>33</v>
      </c>
      <c r="B36" s="173"/>
      <c r="C36" s="123">
        <v>549978</v>
      </c>
      <c r="D36" s="123"/>
      <c r="E36" s="123">
        <v>5341.33</v>
      </c>
      <c r="F36" s="123"/>
      <c r="G36" s="123">
        <v>125300</v>
      </c>
      <c r="H36" s="136"/>
      <c r="I36" s="133">
        <f>C36+E36+G36</f>
        <v>680619.33</v>
      </c>
      <c r="J36" s="192">
        <v>654795.32999999996</v>
      </c>
      <c r="K36" s="9"/>
    </row>
    <row r="37" spans="1:12" x14ac:dyDescent="0.25">
      <c r="A37" s="28" t="s">
        <v>34</v>
      </c>
      <c r="B37" s="21"/>
      <c r="C37" s="123">
        <v>508954</v>
      </c>
      <c r="D37" s="123"/>
      <c r="E37" s="123">
        <v>5341.33</v>
      </c>
      <c r="F37" s="123"/>
      <c r="G37" s="123">
        <v>110264</v>
      </c>
      <c r="H37" s="136"/>
      <c r="I37" s="133">
        <f>C37+E37+G37</f>
        <v>624559.33000000007</v>
      </c>
      <c r="J37" s="192">
        <v>680619.33</v>
      </c>
    </row>
    <row r="38" spans="1:12" s="35" customFormat="1" x14ac:dyDescent="0.25">
      <c r="A38" s="59" t="s">
        <v>49</v>
      </c>
      <c r="B38" s="60"/>
      <c r="C38" s="126"/>
      <c r="D38" s="126"/>
      <c r="E38" s="126"/>
      <c r="F38" s="126"/>
      <c r="G38" s="126"/>
      <c r="H38" s="139"/>
      <c r="I38" s="135">
        <f>C38+E38+G38</f>
        <v>0</v>
      </c>
      <c r="J38" s="196"/>
    </row>
    <row r="39" spans="1:12" x14ac:dyDescent="0.25">
      <c r="A39" s="84" t="s">
        <v>35</v>
      </c>
      <c r="B39" s="85"/>
      <c r="C39" s="141">
        <f>SUM(C35:C38)</f>
        <v>1590962</v>
      </c>
      <c r="D39" s="141"/>
      <c r="E39" s="141">
        <f>SUM(E35:E38)</f>
        <v>16023.99</v>
      </c>
      <c r="F39" s="141"/>
      <c r="G39" s="141">
        <f>SUM(G35:G38)</f>
        <v>352988</v>
      </c>
      <c r="H39" s="141"/>
      <c r="I39" s="142">
        <f>SUM(I35:I38)</f>
        <v>1959973.99</v>
      </c>
      <c r="J39" s="197">
        <f>SUM(J35:J38)</f>
        <v>2002354.9899999998</v>
      </c>
    </row>
    <row r="40" spans="1:12" s="186" customFormat="1" x14ac:dyDescent="0.25">
      <c r="A40" s="86" t="s">
        <v>55</v>
      </c>
      <c r="B40" s="87"/>
      <c r="C40" s="87">
        <f>C34+C39</f>
        <v>4721053</v>
      </c>
      <c r="D40" s="87"/>
      <c r="E40" s="87">
        <f>E34+E39</f>
        <v>46543.979999999996</v>
      </c>
      <c r="F40" s="87"/>
      <c r="G40" s="87">
        <f>G34+G39</f>
        <v>963384</v>
      </c>
      <c r="H40" s="87"/>
      <c r="I40" s="87">
        <f>I34+I39</f>
        <v>5730980.9799999995</v>
      </c>
      <c r="J40" s="198">
        <f>J27+J33+J39</f>
        <v>5748432.6500000004</v>
      </c>
    </row>
    <row r="41" spans="1:12" x14ac:dyDescent="0.25">
      <c r="A41" s="28" t="s">
        <v>36</v>
      </c>
      <c r="B41" s="173"/>
      <c r="C41" s="123">
        <v>511518</v>
      </c>
      <c r="D41" s="123"/>
      <c r="E41" s="123">
        <v>5341.33</v>
      </c>
      <c r="F41" s="123"/>
      <c r="G41" s="123">
        <v>110264</v>
      </c>
      <c r="H41" s="132"/>
      <c r="I41" s="133">
        <f>C41+E41+G41</f>
        <v>627123.33000000007</v>
      </c>
      <c r="J41" s="192">
        <v>624559.32999999996</v>
      </c>
      <c r="K41" s="9"/>
    </row>
    <row r="42" spans="1:12" x14ac:dyDescent="0.25">
      <c r="A42" s="28" t="s">
        <v>37</v>
      </c>
      <c r="B42" s="21"/>
      <c r="C42" s="123">
        <v>515364</v>
      </c>
      <c r="D42" s="123"/>
      <c r="E42" s="123">
        <v>5341.33</v>
      </c>
      <c r="F42" s="123"/>
      <c r="G42" s="123">
        <v>110980</v>
      </c>
      <c r="H42" s="136"/>
      <c r="I42" s="138">
        <f>C42+E42+G42</f>
        <v>631685.33000000007</v>
      </c>
      <c r="J42" s="192">
        <v>627123.32999999996</v>
      </c>
    </row>
    <row r="43" spans="1:12" x14ac:dyDescent="0.25">
      <c r="A43" s="28" t="s">
        <v>38</v>
      </c>
      <c r="B43" s="21"/>
      <c r="C43" s="123">
        <v>532030</v>
      </c>
      <c r="D43" s="123"/>
      <c r="E43" s="126">
        <v>0</v>
      </c>
      <c r="F43" s="123"/>
      <c r="G43" s="123">
        <v>115276</v>
      </c>
      <c r="H43" s="132"/>
      <c r="I43" s="138">
        <f>C43+E43+G43</f>
        <v>647306</v>
      </c>
      <c r="J43" s="192">
        <v>631685.32999999996</v>
      </c>
    </row>
    <row r="44" spans="1:12" x14ac:dyDescent="0.25">
      <c r="A44" s="28" t="s">
        <v>57</v>
      </c>
      <c r="B44" s="21"/>
      <c r="C44" s="123"/>
      <c r="D44" s="123"/>
      <c r="E44" s="123"/>
      <c r="F44" s="123"/>
      <c r="G44" s="123"/>
      <c r="H44" s="132"/>
      <c r="I44" s="138">
        <f>C44+E44+G44</f>
        <v>0</v>
      </c>
      <c r="J44" s="199"/>
      <c r="K44" s="9"/>
    </row>
    <row r="45" spans="1:12" x14ac:dyDescent="0.25">
      <c r="A45" s="30" t="s">
        <v>40</v>
      </c>
      <c r="B45" s="31"/>
      <c r="C45" s="124">
        <f t="shared" ref="C45:I45" si="1">SUM(C41:C44)</f>
        <v>1558912</v>
      </c>
      <c r="D45" s="124"/>
      <c r="E45" s="124">
        <f t="shared" si="1"/>
        <v>10682.66</v>
      </c>
      <c r="F45" s="124"/>
      <c r="G45" s="124">
        <f t="shared" si="1"/>
        <v>336520</v>
      </c>
      <c r="H45" s="124"/>
      <c r="I45" s="140">
        <f t="shared" si="1"/>
        <v>1906114.6600000001</v>
      </c>
      <c r="J45" s="200">
        <f>SUM(J41:J43)</f>
        <v>1883367.9899999998</v>
      </c>
    </row>
    <row r="46" spans="1:12" x14ac:dyDescent="0.25">
      <c r="A46" s="74" t="s">
        <v>95</v>
      </c>
      <c r="B46" s="75"/>
      <c r="C46" s="127">
        <f>C40+C45</f>
        <v>6279965</v>
      </c>
      <c r="D46" s="127"/>
      <c r="E46" s="127">
        <f>E40+E45</f>
        <v>57226.64</v>
      </c>
      <c r="F46" s="127"/>
      <c r="G46" s="127">
        <f>G40+G45</f>
        <v>1299904</v>
      </c>
      <c r="H46" s="127"/>
      <c r="I46" s="143">
        <f>C46+E46+G46</f>
        <v>7637095.6399999997</v>
      </c>
      <c r="J46" s="509">
        <f>J40+J45</f>
        <v>7631800.6400000006</v>
      </c>
    </row>
    <row r="47" spans="1:12" x14ac:dyDescent="0.25">
      <c r="A47" s="150" t="s">
        <v>96</v>
      </c>
      <c r="B47" s="151"/>
      <c r="C47" s="152">
        <v>6306361</v>
      </c>
      <c r="D47" s="152"/>
      <c r="E47" s="152">
        <v>62576.97</v>
      </c>
      <c r="F47" s="152"/>
      <c r="G47" s="152">
        <v>1303628</v>
      </c>
      <c r="H47" s="152"/>
      <c r="I47" s="153">
        <f>C47+E47+G47</f>
        <v>7672565.9699999997</v>
      </c>
      <c r="J47" s="205">
        <f>7000766.68+631685.33</f>
        <v>7632452.0099999998</v>
      </c>
      <c r="K47" s="12"/>
      <c r="L47" s="12"/>
    </row>
    <row r="48" spans="1:12" s="35" customFormat="1" ht="15.75" thickBot="1" x14ac:dyDescent="0.3">
      <c r="A48" s="90" t="s">
        <v>138</v>
      </c>
      <c r="B48" s="91"/>
      <c r="C48" s="144">
        <f>C47-C46</f>
        <v>26396</v>
      </c>
      <c r="D48" s="144"/>
      <c r="E48" s="144">
        <f>E47-E46</f>
        <v>5350.3300000000017</v>
      </c>
      <c r="F48" s="144"/>
      <c r="G48" s="144">
        <f>G47-G46</f>
        <v>3724</v>
      </c>
      <c r="H48" s="144"/>
      <c r="I48" s="145">
        <f>C48+E48+G48</f>
        <v>35470.33</v>
      </c>
      <c r="J48" s="201">
        <f>J47-J46</f>
        <v>651.36999999918044</v>
      </c>
    </row>
    <row r="49" spans="2:11" x14ac:dyDescent="0.25">
      <c r="C49" s="128"/>
      <c r="D49" s="128"/>
      <c r="E49" s="128"/>
      <c r="F49" s="128"/>
      <c r="G49" s="128"/>
      <c r="H49" s="128"/>
      <c r="I49" s="146"/>
      <c r="J49" s="38"/>
      <c r="K49" s="9"/>
    </row>
    <row r="50" spans="2:11" x14ac:dyDescent="0.25">
      <c r="B50" s="20"/>
      <c r="C50" s="128"/>
      <c r="D50" s="128"/>
      <c r="E50" s="128"/>
      <c r="F50" s="128"/>
      <c r="G50" s="128"/>
      <c r="H50" s="128"/>
      <c r="I50" s="128"/>
      <c r="J50" s="20"/>
    </row>
    <row r="51" spans="2:11" s="39" customFormat="1" ht="12.75" x14ac:dyDescent="0.2">
      <c r="B51" s="41"/>
      <c r="C51" s="129"/>
      <c r="D51" s="129"/>
      <c r="E51" s="129"/>
      <c r="F51" s="129"/>
      <c r="G51" s="129"/>
      <c r="H51" s="129"/>
      <c r="I51" s="147"/>
      <c r="J51" s="42"/>
    </row>
    <row r="52" spans="2:11" x14ac:dyDescent="0.25">
      <c r="B52" s="20"/>
      <c r="C52" s="128"/>
      <c r="D52" s="128"/>
      <c r="E52" s="128"/>
      <c r="F52" s="128"/>
      <c r="H52" s="121"/>
      <c r="I52" s="128"/>
      <c r="J52" s="20"/>
    </row>
    <row r="53" spans="2:11" x14ac:dyDescent="0.25">
      <c r="B53" s="20"/>
      <c r="C53" s="56"/>
      <c r="D53" s="56"/>
      <c r="E53" s="128"/>
      <c r="F53" s="56"/>
      <c r="G53" s="121"/>
      <c r="H53" s="121"/>
      <c r="I53" s="128"/>
      <c r="J53" s="20"/>
    </row>
    <row r="54" spans="2:11" x14ac:dyDescent="0.25">
      <c r="B54" s="20"/>
      <c r="C54" s="128"/>
      <c r="D54" s="128"/>
      <c r="E54" s="128"/>
      <c r="F54" s="128"/>
      <c r="H54" s="121"/>
      <c r="I54" s="128"/>
      <c r="J54" s="20"/>
    </row>
    <row r="55" spans="2:11" ht="11.25" customHeight="1" x14ac:dyDescent="0.25">
      <c r="E55" s="128"/>
      <c r="F55" s="128"/>
    </row>
    <row r="56" spans="2:11" x14ac:dyDescent="0.25">
      <c r="C56" s="128"/>
      <c r="D56" s="148"/>
      <c r="E56" s="128"/>
      <c r="F56" s="128"/>
      <c r="G56" s="121"/>
      <c r="H56" s="121"/>
      <c r="I56" s="128"/>
      <c r="J56" s="20"/>
    </row>
    <row r="57" spans="2:11" x14ac:dyDescent="0.25">
      <c r="C57" s="128"/>
      <c r="F57" s="128"/>
      <c r="H57" s="121"/>
      <c r="I57" s="128"/>
      <c r="J57" s="20"/>
    </row>
    <row r="58" spans="2:11" x14ac:dyDescent="0.25">
      <c r="C58" s="128"/>
      <c r="D58" s="180"/>
      <c r="F58" s="128"/>
      <c r="G58" s="128"/>
      <c r="H58" s="128"/>
    </row>
    <row r="59" spans="2:11" x14ac:dyDescent="0.25">
      <c r="B59"/>
      <c r="C59" s="128"/>
      <c r="D59" s="56"/>
    </row>
    <row r="60" spans="2:11" x14ac:dyDescent="0.25">
      <c r="B60"/>
      <c r="C60" s="128"/>
      <c r="D60" s="128"/>
      <c r="E60" s="128"/>
      <c r="F60" s="128"/>
      <c r="H60" s="121"/>
      <c r="J60"/>
    </row>
    <row r="63" spans="2:11" x14ac:dyDescent="0.25">
      <c r="B63"/>
      <c r="D63" s="128"/>
      <c r="E63" s="128"/>
      <c r="F63" s="128"/>
      <c r="J63"/>
    </row>
    <row r="65" spans="2:10" x14ac:dyDescent="0.25">
      <c r="B65"/>
      <c r="H65" s="121"/>
      <c r="J65"/>
    </row>
  </sheetData>
  <mergeCells count="6">
    <mergeCell ref="J22:J23"/>
    <mergeCell ref="B4:H4"/>
    <mergeCell ref="B22:C22"/>
    <mergeCell ref="D22:E22"/>
    <mergeCell ref="F22:G22"/>
    <mergeCell ref="H22:I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66"/>
  <sheetViews>
    <sheetView topLeftCell="A28" workbookViewId="0">
      <selection activeCell="K32" sqref="K1:N1048576"/>
    </sheetView>
  </sheetViews>
  <sheetFormatPr defaultRowHeight="15" x14ac:dyDescent="0.25"/>
  <cols>
    <col min="1" max="1" width="25.5703125" customWidth="1"/>
    <col min="2" max="2" width="14" customWidth="1"/>
    <col min="3" max="3" width="14.7109375" style="188" customWidth="1"/>
    <col min="4" max="4" width="15" style="188" customWidth="1"/>
    <col min="5" max="5" width="13.7109375" style="188" customWidth="1"/>
    <col min="6" max="6" width="14" style="188" customWidth="1"/>
    <col min="7" max="7" width="12.85546875" style="37" customWidth="1"/>
    <col min="8" max="8" width="11.5703125" style="37" customWidth="1"/>
    <col min="9" max="9" width="15.5703125" style="188" customWidth="1"/>
    <col min="10" max="10" width="16.85546875" style="188" customWidth="1"/>
    <col min="231" max="231" width="21.7109375" customWidth="1"/>
    <col min="232" max="232" width="16.85546875" customWidth="1"/>
    <col min="233" max="233" width="12" customWidth="1"/>
    <col min="234" max="234" width="11.5703125" customWidth="1"/>
    <col min="235" max="235" width="12.140625" customWidth="1"/>
    <col min="236" max="237" width="13" customWidth="1"/>
    <col min="238" max="238" width="11.85546875" customWidth="1"/>
    <col min="239" max="239" width="14.5703125" customWidth="1"/>
    <col min="240" max="240" width="13.7109375" customWidth="1"/>
    <col min="241" max="242" width="11.7109375" bestFit="1" customWidth="1"/>
    <col min="243" max="243" width="9.7109375" bestFit="1" customWidth="1"/>
    <col min="244" max="244" width="11.7109375" bestFit="1" customWidth="1"/>
    <col min="487" max="487" width="21.7109375" customWidth="1"/>
    <col min="488" max="488" width="16.85546875" customWidth="1"/>
    <col min="489" max="489" width="12" customWidth="1"/>
    <col min="490" max="490" width="11.5703125" customWidth="1"/>
    <col min="491" max="491" width="12.140625" customWidth="1"/>
    <col min="492" max="493" width="13" customWidth="1"/>
    <col min="494" max="494" width="11.85546875" customWidth="1"/>
    <col min="495" max="495" width="14.5703125" customWidth="1"/>
    <col min="496" max="496" width="13.7109375" customWidth="1"/>
    <col min="497" max="498" width="11.7109375" bestFit="1" customWidth="1"/>
    <col min="499" max="499" width="9.7109375" bestFit="1" customWidth="1"/>
    <col min="500" max="500" width="11.7109375" bestFit="1" customWidth="1"/>
    <col min="743" max="743" width="21.7109375" customWidth="1"/>
    <col min="744" max="744" width="16.85546875" customWidth="1"/>
    <col min="745" max="745" width="12" customWidth="1"/>
    <col min="746" max="746" width="11.5703125" customWidth="1"/>
    <col min="747" max="747" width="12.140625" customWidth="1"/>
    <col min="748" max="749" width="13" customWidth="1"/>
    <col min="750" max="750" width="11.85546875" customWidth="1"/>
    <col min="751" max="751" width="14.5703125" customWidth="1"/>
    <col min="752" max="752" width="13.7109375" customWidth="1"/>
    <col min="753" max="754" width="11.7109375" bestFit="1" customWidth="1"/>
    <col min="755" max="755" width="9.7109375" bestFit="1" customWidth="1"/>
    <col min="756" max="756" width="11.7109375" bestFit="1" customWidth="1"/>
    <col min="999" max="999" width="21.7109375" customWidth="1"/>
    <col min="1000" max="1000" width="16.85546875" customWidth="1"/>
    <col min="1001" max="1001" width="12" customWidth="1"/>
    <col min="1002" max="1002" width="11.5703125" customWidth="1"/>
    <col min="1003" max="1003" width="12.140625" customWidth="1"/>
    <col min="1004" max="1005" width="13" customWidth="1"/>
    <col min="1006" max="1006" width="11.85546875" customWidth="1"/>
    <col min="1007" max="1007" width="14.5703125" customWidth="1"/>
    <col min="1008" max="1008" width="13.7109375" customWidth="1"/>
    <col min="1009" max="1010" width="11.7109375" bestFit="1" customWidth="1"/>
    <col min="1011" max="1011" width="9.7109375" bestFit="1" customWidth="1"/>
    <col min="1012" max="1012" width="11.7109375" bestFit="1" customWidth="1"/>
    <col min="1255" max="1255" width="21.7109375" customWidth="1"/>
    <col min="1256" max="1256" width="16.85546875" customWidth="1"/>
    <col min="1257" max="1257" width="12" customWidth="1"/>
    <col min="1258" max="1258" width="11.5703125" customWidth="1"/>
    <col min="1259" max="1259" width="12.140625" customWidth="1"/>
    <col min="1260" max="1261" width="13" customWidth="1"/>
    <col min="1262" max="1262" width="11.85546875" customWidth="1"/>
    <col min="1263" max="1263" width="14.5703125" customWidth="1"/>
    <col min="1264" max="1264" width="13.7109375" customWidth="1"/>
    <col min="1265" max="1266" width="11.7109375" bestFit="1" customWidth="1"/>
    <col min="1267" max="1267" width="9.7109375" bestFit="1" customWidth="1"/>
    <col min="1268" max="1268" width="11.7109375" bestFit="1" customWidth="1"/>
    <col min="1511" max="1511" width="21.7109375" customWidth="1"/>
    <col min="1512" max="1512" width="16.85546875" customWidth="1"/>
    <col min="1513" max="1513" width="12" customWidth="1"/>
    <col min="1514" max="1514" width="11.5703125" customWidth="1"/>
    <col min="1515" max="1515" width="12.140625" customWidth="1"/>
    <col min="1516" max="1517" width="13" customWidth="1"/>
    <col min="1518" max="1518" width="11.85546875" customWidth="1"/>
    <col min="1519" max="1519" width="14.5703125" customWidth="1"/>
    <col min="1520" max="1520" width="13.7109375" customWidth="1"/>
    <col min="1521" max="1522" width="11.7109375" bestFit="1" customWidth="1"/>
    <col min="1523" max="1523" width="9.7109375" bestFit="1" customWidth="1"/>
    <col min="1524" max="1524" width="11.7109375" bestFit="1" customWidth="1"/>
    <col min="1767" max="1767" width="21.7109375" customWidth="1"/>
    <col min="1768" max="1768" width="16.85546875" customWidth="1"/>
    <col min="1769" max="1769" width="12" customWidth="1"/>
    <col min="1770" max="1770" width="11.5703125" customWidth="1"/>
    <col min="1771" max="1771" width="12.140625" customWidth="1"/>
    <col min="1772" max="1773" width="13" customWidth="1"/>
    <col min="1774" max="1774" width="11.85546875" customWidth="1"/>
    <col min="1775" max="1775" width="14.5703125" customWidth="1"/>
    <col min="1776" max="1776" width="13.7109375" customWidth="1"/>
    <col min="1777" max="1778" width="11.7109375" bestFit="1" customWidth="1"/>
    <col min="1779" max="1779" width="9.7109375" bestFit="1" customWidth="1"/>
    <col min="1780" max="1780" width="11.7109375" bestFit="1" customWidth="1"/>
    <col min="2023" max="2023" width="21.7109375" customWidth="1"/>
    <col min="2024" max="2024" width="16.85546875" customWidth="1"/>
    <col min="2025" max="2025" width="12" customWidth="1"/>
    <col min="2026" max="2026" width="11.5703125" customWidth="1"/>
    <col min="2027" max="2027" width="12.140625" customWidth="1"/>
    <col min="2028" max="2029" width="13" customWidth="1"/>
    <col min="2030" max="2030" width="11.85546875" customWidth="1"/>
    <col min="2031" max="2031" width="14.5703125" customWidth="1"/>
    <col min="2032" max="2032" width="13.7109375" customWidth="1"/>
    <col min="2033" max="2034" width="11.7109375" bestFit="1" customWidth="1"/>
    <col min="2035" max="2035" width="9.7109375" bestFit="1" customWidth="1"/>
    <col min="2036" max="2036" width="11.7109375" bestFit="1" customWidth="1"/>
    <col min="2279" max="2279" width="21.7109375" customWidth="1"/>
    <col min="2280" max="2280" width="16.85546875" customWidth="1"/>
    <col min="2281" max="2281" width="12" customWidth="1"/>
    <col min="2282" max="2282" width="11.5703125" customWidth="1"/>
    <col min="2283" max="2283" width="12.140625" customWidth="1"/>
    <col min="2284" max="2285" width="13" customWidth="1"/>
    <col min="2286" max="2286" width="11.85546875" customWidth="1"/>
    <col min="2287" max="2287" width="14.5703125" customWidth="1"/>
    <col min="2288" max="2288" width="13.7109375" customWidth="1"/>
    <col min="2289" max="2290" width="11.7109375" bestFit="1" customWidth="1"/>
    <col min="2291" max="2291" width="9.7109375" bestFit="1" customWidth="1"/>
    <col min="2292" max="2292" width="11.7109375" bestFit="1" customWidth="1"/>
    <col min="2535" max="2535" width="21.7109375" customWidth="1"/>
    <col min="2536" max="2536" width="16.85546875" customWidth="1"/>
    <col min="2537" max="2537" width="12" customWidth="1"/>
    <col min="2538" max="2538" width="11.5703125" customWidth="1"/>
    <col min="2539" max="2539" width="12.140625" customWidth="1"/>
    <col min="2540" max="2541" width="13" customWidth="1"/>
    <col min="2542" max="2542" width="11.85546875" customWidth="1"/>
    <col min="2543" max="2543" width="14.5703125" customWidth="1"/>
    <col min="2544" max="2544" width="13.7109375" customWidth="1"/>
    <col min="2545" max="2546" width="11.7109375" bestFit="1" customWidth="1"/>
    <col min="2547" max="2547" width="9.7109375" bestFit="1" customWidth="1"/>
    <col min="2548" max="2548" width="11.7109375" bestFit="1" customWidth="1"/>
    <col min="2791" max="2791" width="21.7109375" customWidth="1"/>
    <col min="2792" max="2792" width="16.85546875" customWidth="1"/>
    <col min="2793" max="2793" width="12" customWidth="1"/>
    <col min="2794" max="2794" width="11.5703125" customWidth="1"/>
    <col min="2795" max="2795" width="12.140625" customWidth="1"/>
    <col min="2796" max="2797" width="13" customWidth="1"/>
    <col min="2798" max="2798" width="11.85546875" customWidth="1"/>
    <col min="2799" max="2799" width="14.5703125" customWidth="1"/>
    <col min="2800" max="2800" width="13.7109375" customWidth="1"/>
    <col min="2801" max="2802" width="11.7109375" bestFit="1" customWidth="1"/>
    <col min="2803" max="2803" width="9.7109375" bestFit="1" customWidth="1"/>
    <col min="2804" max="2804" width="11.7109375" bestFit="1" customWidth="1"/>
    <col min="3047" max="3047" width="21.7109375" customWidth="1"/>
    <col min="3048" max="3048" width="16.85546875" customWidth="1"/>
    <col min="3049" max="3049" width="12" customWidth="1"/>
    <col min="3050" max="3050" width="11.5703125" customWidth="1"/>
    <col min="3051" max="3051" width="12.140625" customWidth="1"/>
    <col min="3052" max="3053" width="13" customWidth="1"/>
    <col min="3054" max="3054" width="11.85546875" customWidth="1"/>
    <col min="3055" max="3055" width="14.5703125" customWidth="1"/>
    <col min="3056" max="3056" width="13.7109375" customWidth="1"/>
    <col min="3057" max="3058" width="11.7109375" bestFit="1" customWidth="1"/>
    <col min="3059" max="3059" width="9.7109375" bestFit="1" customWidth="1"/>
    <col min="3060" max="3060" width="11.7109375" bestFit="1" customWidth="1"/>
    <col min="3303" max="3303" width="21.7109375" customWidth="1"/>
    <col min="3304" max="3304" width="16.85546875" customWidth="1"/>
    <col min="3305" max="3305" width="12" customWidth="1"/>
    <col min="3306" max="3306" width="11.5703125" customWidth="1"/>
    <col min="3307" max="3307" width="12.140625" customWidth="1"/>
    <col min="3308" max="3309" width="13" customWidth="1"/>
    <col min="3310" max="3310" width="11.85546875" customWidth="1"/>
    <col min="3311" max="3311" width="14.5703125" customWidth="1"/>
    <col min="3312" max="3312" width="13.7109375" customWidth="1"/>
    <col min="3313" max="3314" width="11.7109375" bestFit="1" customWidth="1"/>
    <col min="3315" max="3315" width="9.7109375" bestFit="1" customWidth="1"/>
    <col min="3316" max="3316" width="11.7109375" bestFit="1" customWidth="1"/>
    <col min="3559" max="3559" width="21.7109375" customWidth="1"/>
    <col min="3560" max="3560" width="16.85546875" customWidth="1"/>
    <col min="3561" max="3561" width="12" customWidth="1"/>
    <col min="3562" max="3562" width="11.5703125" customWidth="1"/>
    <col min="3563" max="3563" width="12.140625" customWidth="1"/>
    <col min="3564" max="3565" width="13" customWidth="1"/>
    <col min="3566" max="3566" width="11.85546875" customWidth="1"/>
    <col min="3567" max="3567" width="14.5703125" customWidth="1"/>
    <col min="3568" max="3568" width="13.7109375" customWidth="1"/>
    <col min="3569" max="3570" width="11.7109375" bestFit="1" customWidth="1"/>
    <col min="3571" max="3571" width="9.7109375" bestFit="1" customWidth="1"/>
    <col min="3572" max="3572" width="11.7109375" bestFit="1" customWidth="1"/>
    <col min="3815" max="3815" width="21.7109375" customWidth="1"/>
    <col min="3816" max="3816" width="16.85546875" customWidth="1"/>
    <col min="3817" max="3817" width="12" customWidth="1"/>
    <col min="3818" max="3818" width="11.5703125" customWidth="1"/>
    <col min="3819" max="3819" width="12.140625" customWidth="1"/>
    <col min="3820" max="3821" width="13" customWidth="1"/>
    <col min="3822" max="3822" width="11.85546875" customWidth="1"/>
    <col min="3823" max="3823" width="14.5703125" customWidth="1"/>
    <col min="3824" max="3824" width="13.7109375" customWidth="1"/>
    <col min="3825" max="3826" width="11.7109375" bestFit="1" customWidth="1"/>
    <col min="3827" max="3827" width="9.7109375" bestFit="1" customWidth="1"/>
    <col min="3828" max="3828" width="11.7109375" bestFit="1" customWidth="1"/>
    <col min="4071" max="4071" width="21.7109375" customWidth="1"/>
    <col min="4072" max="4072" width="16.85546875" customWidth="1"/>
    <col min="4073" max="4073" width="12" customWidth="1"/>
    <col min="4074" max="4074" width="11.5703125" customWidth="1"/>
    <col min="4075" max="4075" width="12.140625" customWidth="1"/>
    <col min="4076" max="4077" width="13" customWidth="1"/>
    <col min="4078" max="4078" width="11.85546875" customWidth="1"/>
    <col min="4079" max="4079" width="14.5703125" customWidth="1"/>
    <col min="4080" max="4080" width="13.7109375" customWidth="1"/>
    <col min="4081" max="4082" width="11.7109375" bestFit="1" customWidth="1"/>
    <col min="4083" max="4083" width="9.7109375" bestFit="1" customWidth="1"/>
    <col min="4084" max="4084" width="11.7109375" bestFit="1" customWidth="1"/>
    <col min="4327" max="4327" width="21.7109375" customWidth="1"/>
    <col min="4328" max="4328" width="16.85546875" customWidth="1"/>
    <col min="4329" max="4329" width="12" customWidth="1"/>
    <col min="4330" max="4330" width="11.5703125" customWidth="1"/>
    <col min="4331" max="4331" width="12.140625" customWidth="1"/>
    <col min="4332" max="4333" width="13" customWidth="1"/>
    <col min="4334" max="4334" width="11.85546875" customWidth="1"/>
    <col min="4335" max="4335" width="14.5703125" customWidth="1"/>
    <col min="4336" max="4336" width="13.7109375" customWidth="1"/>
    <col min="4337" max="4338" width="11.7109375" bestFit="1" customWidth="1"/>
    <col min="4339" max="4339" width="9.7109375" bestFit="1" customWidth="1"/>
    <col min="4340" max="4340" width="11.7109375" bestFit="1" customWidth="1"/>
    <col min="4583" max="4583" width="21.7109375" customWidth="1"/>
    <col min="4584" max="4584" width="16.85546875" customWidth="1"/>
    <col min="4585" max="4585" width="12" customWidth="1"/>
    <col min="4586" max="4586" width="11.5703125" customWidth="1"/>
    <col min="4587" max="4587" width="12.140625" customWidth="1"/>
    <col min="4588" max="4589" width="13" customWidth="1"/>
    <col min="4590" max="4590" width="11.85546875" customWidth="1"/>
    <col min="4591" max="4591" width="14.5703125" customWidth="1"/>
    <col min="4592" max="4592" width="13.7109375" customWidth="1"/>
    <col min="4593" max="4594" width="11.7109375" bestFit="1" customWidth="1"/>
    <col min="4595" max="4595" width="9.7109375" bestFit="1" customWidth="1"/>
    <col min="4596" max="4596" width="11.7109375" bestFit="1" customWidth="1"/>
    <col min="4839" max="4839" width="21.7109375" customWidth="1"/>
    <col min="4840" max="4840" width="16.85546875" customWidth="1"/>
    <col min="4841" max="4841" width="12" customWidth="1"/>
    <col min="4842" max="4842" width="11.5703125" customWidth="1"/>
    <col min="4843" max="4843" width="12.140625" customWidth="1"/>
    <col min="4844" max="4845" width="13" customWidth="1"/>
    <col min="4846" max="4846" width="11.85546875" customWidth="1"/>
    <col min="4847" max="4847" width="14.5703125" customWidth="1"/>
    <col min="4848" max="4848" width="13.7109375" customWidth="1"/>
    <col min="4849" max="4850" width="11.7109375" bestFit="1" customWidth="1"/>
    <col min="4851" max="4851" width="9.7109375" bestFit="1" customWidth="1"/>
    <col min="4852" max="4852" width="11.7109375" bestFit="1" customWidth="1"/>
    <col min="5095" max="5095" width="21.7109375" customWidth="1"/>
    <col min="5096" max="5096" width="16.85546875" customWidth="1"/>
    <col min="5097" max="5097" width="12" customWidth="1"/>
    <col min="5098" max="5098" width="11.5703125" customWidth="1"/>
    <col min="5099" max="5099" width="12.140625" customWidth="1"/>
    <col min="5100" max="5101" width="13" customWidth="1"/>
    <col min="5102" max="5102" width="11.85546875" customWidth="1"/>
    <col min="5103" max="5103" width="14.5703125" customWidth="1"/>
    <col min="5104" max="5104" width="13.7109375" customWidth="1"/>
    <col min="5105" max="5106" width="11.7109375" bestFit="1" customWidth="1"/>
    <col min="5107" max="5107" width="9.7109375" bestFit="1" customWidth="1"/>
    <col min="5108" max="5108" width="11.7109375" bestFit="1" customWidth="1"/>
    <col min="5351" max="5351" width="21.7109375" customWidth="1"/>
    <col min="5352" max="5352" width="16.85546875" customWidth="1"/>
    <col min="5353" max="5353" width="12" customWidth="1"/>
    <col min="5354" max="5354" width="11.5703125" customWidth="1"/>
    <col min="5355" max="5355" width="12.140625" customWidth="1"/>
    <col min="5356" max="5357" width="13" customWidth="1"/>
    <col min="5358" max="5358" width="11.85546875" customWidth="1"/>
    <col min="5359" max="5359" width="14.5703125" customWidth="1"/>
    <col min="5360" max="5360" width="13.7109375" customWidth="1"/>
    <col min="5361" max="5362" width="11.7109375" bestFit="1" customWidth="1"/>
    <col min="5363" max="5363" width="9.7109375" bestFit="1" customWidth="1"/>
    <col min="5364" max="5364" width="11.7109375" bestFit="1" customWidth="1"/>
    <col min="5607" max="5607" width="21.7109375" customWidth="1"/>
    <col min="5608" max="5608" width="16.85546875" customWidth="1"/>
    <col min="5609" max="5609" width="12" customWidth="1"/>
    <col min="5610" max="5610" width="11.5703125" customWidth="1"/>
    <col min="5611" max="5611" width="12.140625" customWidth="1"/>
    <col min="5612" max="5613" width="13" customWidth="1"/>
    <col min="5614" max="5614" width="11.85546875" customWidth="1"/>
    <col min="5615" max="5615" width="14.5703125" customWidth="1"/>
    <col min="5616" max="5616" width="13.7109375" customWidth="1"/>
    <col min="5617" max="5618" width="11.7109375" bestFit="1" customWidth="1"/>
    <col min="5619" max="5619" width="9.7109375" bestFit="1" customWidth="1"/>
    <col min="5620" max="5620" width="11.7109375" bestFit="1" customWidth="1"/>
    <col min="5863" max="5863" width="21.7109375" customWidth="1"/>
    <col min="5864" max="5864" width="16.85546875" customWidth="1"/>
    <col min="5865" max="5865" width="12" customWidth="1"/>
    <col min="5866" max="5866" width="11.5703125" customWidth="1"/>
    <col min="5867" max="5867" width="12.140625" customWidth="1"/>
    <col min="5868" max="5869" width="13" customWidth="1"/>
    <col min="5870" max="5870" width="11.85546875" customWidth="1"/>
    <col min="5871" max="5871" width="14.5703125" customWidth="1"/>
    <col min="5872" max="5872" width="13.7109375" customWidth="1"/>
    <col min="5873" max="5874" width="11.7109375" bestFit="1" customWidth="1"/>
    <col min="5875" max="5875" width="9.7109375" bestFit="1" customWidth="1"/>
    <col min="5876" max="5876" width="11.7109375" bestFit="1" customWidth="1"/>
    <col min="6119" max="6119" width="21.7109375" customWidth="1"/>
    <col min="6120" max="6120" width="16.85546875" customWidth="1"/>
    <col min="6121" max="6121" width="12" customWidth="1"/>
    <col min="6122" max="6122" width="11.5703125" customWidth="1"/>
    <col min="6123" max="6123" width="12.140625" customWidth="1"/>
    <col min="6124" max="6125" width="13" customWidth="1"/>
    <col min="6126" max="6126" width="11.85546875" customWidth="1"/>
    <col min="6127" max="6127" width="14.5703125" customWidth="1"/>
    <col min="6128" max="6128" width="13.7109375" customWidth="1"/>
    <col min="6129" max="6130" width="11.7109375" bestFit="1" customWidth="1"/>
    <col min="6131" max="6131" width="9.7109375" bestFit="1" customWidth="1"/>
    <col min="6132" max="6132" width="11.7109375" bestFit="1" customWidth="1"/>
    <col min="6375" max="6375" width="21.7109375" customWidth="1"/>
    <col min="6376" max="6376" width="16.85546875" customWidth="1"/>
    <col min="6377" max="6377" width="12" customWidth="1"/>
    <col min="6378" max="6378" width="11.5703125" customWidth="1"/>
    <col min="6379" max="6379" width="12.140625" customWidth="1"/>
    <col min="6380" max="6381" width="13" customWidth="1"/>
    <col min="6382" max="6382" width="11.85546875" customWidth="1"/>
    <col min="6383" max="6383" width="14.5703125" customWidth="1"/>
    <col min="6384" max="6384" width="13.7109375" customWidth="1"/>
    <col min="6385" max="6386" width="11.7109375" bestFit="1" customWidth="1"/>
    <col min="6387" max="6387" width="9.7109375" bestFit="1" customWidth="1"/>
    <col min="6388" max="6388" width="11.7109375" bestFit="1" customWidth="1"/>
    <col min="6631" max="6631" width="21.7109375" customWidth="1"/>
    <col min="6632" max="6632" width="16.85546875" customWidth="1"/>
    <col min="6633" max="6633" width="12" customWidth="1"/>
    <col min="6634" max="6634" width="11.5703125" customWidth="1"/>
    <col min="6635" max="6635" width="12.140625" customWidth="1"/>
    <col min="6636" max="6637" width="13" customWidth="1"/>
    <col min="6638" max="6638" width="11.85546875" customWidth="1"/>
    <col min="6639" max="6639" width="14.5703125" customWidth="1"/>
    <col min="6640" max="6640" width="13.7109375" customWidth="1"/>
    <col min="6641" max="6642" width="11.7109375" bestFit="1" customWidth="1"/>
    <col min="6643" max="6643" width="9.7109375" bestFit="1" customWidth="1"/>
    <col min="6644" max="6644" width="11.7109375" bestFit="1" customWidth="1"/>
    <col min="6887" max="6887" width="21.7109375" customWidth="1"/>
    <col min="6888" max="6888" width="16.85546875" customWidth="1"/>
    <col min="6889" max="6889" width="12" customWidth="1"/>
    <col min="6890" max="6890" width="11.5703125" customWidth="1"/>
    <col min="6891" max="6891" width="12.140625" customWidth="1"/>
    <col min="6892" max="6893" width="13" customWidth="1"/>
    <col min="6894" max="6894" width="11.85546875" customWidth="1"/>
    <col min="6895" max="6895" width="14.5703125" customWidth="1"/>
    <col min="6896" max="6896" width="13.7109375" customWidth="1"/>
    <col min="6897" max="6898" width="11.7109375" bestFit="1" customWidth="1"/>
    <col min="6899" max="6899" width="9.7109375" bestFit="1" customWidth="1"/>
    <col min="6900" max="6900" width="11.7109375" bestFit="1" customWidth="1"/>
    <col min="7143" max="7143" width="21.7109375" customWidth="1"/>
    <col min="7144" max="7144" width="16.85546875" customWidth="1"/>
    <col min="7145" max="7145" width="12" customWidth="1"/>
    <col min="7146" max="7146" width="11.5703125" customWidth="1"/>
    <col min="7147" max="7147" width="12.140625" customWidth="1"/>
    <col min="7148" max="7149" width="13" customWidth="1"/>
    <col min="7150" max="7150" width="11.85546875" customWidth="1"/>
    <col min="7151" max="7151" width="14.5703125" customWidth="1"/>
    <col min="7152" max="7152" width="13.7109375" customWidth="1"/>
    <col min="7153" max="7154" width="11.7109375" bestFit="1" customWidth="1"/>
    <col min="7155" max="7155" width="9.7109375" bestFit="1" customWidth="1"/>
    <col min="7156" max="7156" width="11.7109375" bestFit="1" customWidth="1"/>
    <col min="7399" max="7399" width="21.7109375" customWidth="1"/>
    <col min="7400" max="7400" width="16.85546875" customWidth="1"/>
    <col min="7401" max="7401" width="12" customWidth="1"/>
    <col min="7402" max="7402" width="11.5703125" customWidth="1"/>
    <col min="7403" max="7403" width="12.140625" customWidth="1"/>
    <col min="7404" max="7405" width="13" customWidth="1"/>
    <col min="7406" max="7406" width="11.85546875" customWidth="1"/>
    <col min="7407" max="7407" width="14.5703125" customWidth="1"/>
    <col min="7408" max="7408" width="13.7109375" customWidth="1"/>
    <col min="7409" max="7410" width="11.7109375" bestFit="1" customWidth="1"/>
    <col min="7411" max="7411" width="9.7109375" bestFit="1" customWidth="1"/>
    <col min="7412" max="7412" width="11.7109375" bestFit="1" customWidth="1"/>
    <col min="7655" max="7655" width="21.7109375" customWidth="1"/>
    <col min="7656" max="7656" width="16.85546875" customWidth="1"/>
    <col min="7657" max="7657" width="12" customWidth="1"/>
    <col min="7658" max="7658" width="11.5703125" customWidth="1"/>
    <col min="7659" max="7659" width="12.140625" customWidth="1"/>
    <col min="7660" max="7661" width="13" customWidth="1"/>
    <col min="7662" max="7662" width="11.85546875" customWidth="1"/>
    <col min="7663" max="7663" width="14.5703125" customWidth="1"/>
    <col min="7664" max="7664" width="13.7109375" customWidth="1"/>
    <col min="7665" max="7666" width="11.7109375" bestFit="1" customWidth="1"/>
    <col min="7667" max="7667" width="9.7109375" bestFit="1" customWidth="1"/>
    <col min="7668" max="7668" width="11.7109375" bestFit="1" customWidth="1"/>
    <col min="7911" max="7911" width="21.7109375" customWidth="1"/>
    <col min="7912" max="7912" width="16.85546875" customWidth="1"/>
    <col min="7913" max="7913" width="12" customWidth="1"/>
    <col min="7914" max="7914" width="11.5703125" customWidth="1"/>
    <col min="7915" max="7915" width="12.140625" customWidth="1"/>
    <col min="7916" max="7917" width="13" customWidth="1"/>
    <col min="7918" max="7918" width="11.85546875" customWidth="1"/>
    <col min="7919" max="7919" width="14.5703125" customWidth="1"/>
    <col min="7920" max="7920" width="13.7109375" customWidth="1"/>
    <col min="7921" max="7922" width="11.7109375" bestFit="1" customWidth="1"/>
    <col min="7923" max="7923" width="9.7109375" bestFit="1" customWidth="1"/>
    <col min="7924" max="7924" width="11.7109375" bestFit="1" customWidth="1"/>
    <col min="8167" max="8167" width="21.7109375" customWidth="1"/>
    <col min="8168" max="8168" width="16.85546875" customWidth="1"/>
    <col min="8169" max="8169" width="12" customWidth="1"/>
    <col min="8170" max="8170" width="11.5703125" customWidth="1"/>
    <col min="8171" max="8171" width="12.140625" customWidth="1"/>
    <col min="8172" max="8173" width="13" customWidth="1"/>
    <col min="8174" max="8174" width="11.85546875" customWidth="1"/>
    <col min="8175" max="8175" width="14.5703125" customWidth="1"/>
    <col min="8176" max="8176" width="13.7109375" customWidth="1"/>
    <col min="8177" max="8178" width="11.7109375" bestFit="1" customWidth="1"/>
    <col min="8179" max="8179" width="9.7109375" bestFit="1" customWidth="1"/>
    <col min="8180" max="8180" width="11.7109375" bestFit="1" customWidth="1"/>
    <col min="8423" max="8423" width="21.7109375" customWidth="1"/>
    <col min="8424" max="8424" width="16.85546875" customWidth="1"/>
    <col min="8425" max="8425" width="12" customWidth="1"/>
    <col min="8426" max="8426" width="11.5703125" customWidth="1"/>
    <col min="8427" max="8427" width="12.140625" customWidth="1"/>
    <col min="8428" max="8429" width="13" customWidth="1"/>
    <col min="8430" max="8430" width="11.85546875" customWidth="1"/>
    <col min="8431" max="8431" width="14.5703125" customWidth="1"/>
    <col min="8432" max="8432" width="13.7109375" customWidth="1"/>
    <col min="8433" max="8434" width="11.7109375" bestFit="1" customWidth="1"/>
    <col min="8435" max="8435" width="9.7109375" bestFit="1" customWidth="1"/>
    <col min="8436" max="8436" width="11.7109375" bestFit="1" customWidth="1"/>
    <col min="8679" max="8679" width="21.7109375" customWidth="1"/>
    <col min="8680" max="8680" width="16.85546875" customWidth="1"/>
    <col min="8681" max="8681" width="12" customWidth="1"/>
    <col min="8682" max="8682" width="11.5703125" customWidth="1"/>
    <col min="8683" max="8683" width="12.140625" customWidth="1"/>
    <col min="8684" max="8685" width="13" customWidth="1"/>
    <col min="8686" max="8686" width="11.85546875" customWidth="1"/>
    <col min="8687" max="8687" width="14.5703125" customWidth="1"/>
    <col min="8688" max="8688" width="13.7109375" customWidth="1"/>
    <col min="8689" max="8690" width="11.7109375" bestFit="1" customWidth="1"/>
    <col min="8691" max="8691" width="9.7109375" bestFit="1" customWidth="1"/>
    <col min="8692" max="8692" width="11.7109375" bestFit="1" customWidth="1"/>
    <col min="8935" max="8935" width="21.7109375" customWidth="1"/>
    <col min="8936" max="8936" width="16.85546875" customWidth="1"/>
    <col min="8937" max="8937" width="12" customWidth="1"/>
    <col min="8938" max="8938" width="11.5703125" customWidth="1"/>
    <col min="8939" max="8939" width="12.140625" customWidth="1"/>
    <col min="8940" max="8941" width="13" customWidth="1"/>
    <col min="8942" max="8942" width="11.85546875" customWidth="1"/>
    <col min="8943" max="8943" width="14.5703125" customWidth="1"/>
    <col min="8944" max="8944" width="13.7109375" customWidth="1"/>
    <col min="8945" max="8946" width="11.7109375" bestFit="1" customWidth="1"/>
    <col min="8947" max="8947" width="9.7109375" bestFit="1" customWidth="1"/>
    <col min="8948" max="8948" width="11.7109375" bestFit="1" customWidth="1"/>
    <col min="9191" max="9191" width="21.7109375" customWidth="1"/>
    <col min="9192" max="9192" width="16.85546875" customWidth="1"/>
    <col min="9193" max="9193" width="12" customWidth="1"/>
    <col min="9194" max="9194" width="11.5703125" customWidth="1"/>
    <col min="9195" max="9195" width="12.140625" customWidth="1"/>
    <col min="9196" max="9197" width="13" customWidth="1"/>
    <col min="9198" max="9198" width="11.85546875" customWidth="1"/>
    <col min="9199" max="9199" width="14.5703125" customWidth="1"/>
    <col min="9200" max="9200" width="13.7109375" customWidth="1"/>
    <col min="9201" max="9202" width="11.7109375" bestFit="1" customWidth="1"/>
    <col min="9203" max="9203" width="9.7109375" bestFit="1" customWidth="1"/>
    <col min="9204" max="9204" width="11.7109375" bestFit="1" customWidth="1"/>
    <col min="9447" max="9447" width="21.7109375" customWidth="1"/>
    <col min="9448" max="9448" width="16.85546875" customWidth="1"/>
    <col min="9449" max="9449" width="12" customWidth="1"/>
    <col min="9450" max="9450" width="11.5703125" customWidth="1"/>
    <col min="9451" max="9451" width="12.140625" customWidth="1"/>
    <col min="9452" max="9453" width="13" customWidth="1"/>
    <col min="9454" max="9454" width="11.85546875" customWidth="1"/>
    <col min="9455" max="9455" width="14.5703125" customWidth="1"/>
    <col min="9456" max="9456" width="13.7109375" customWidth="1"/>
    <col min="9457" max="9458" width="11.7109375" bestFit="1" customWidth="1"/>
    <col min="9459" max="9459" width="9.7109375" bestFit="1" customWidth="1"/>
    <col min="9460" max="9460" width="11.7109375" bestFit="1" customWidth="1"/>
    <col min="9703" max="9703" width="21.7109375" customWidth="1"/>
    <col min="9704" max="9704" width="16.85546875" customWidth="1"/>
    <col min="9705" max="9705" width="12" customWidth="1"/>
    <col min="9706" max="9706" width="11.5703125" customWidth="1"/>
    <col min="9707" max="9707" width="12.140625" customWidth="1"/>
    <col min="9708" max="9709" width="13" customWidth="1"/>
    <col min="9710" max="9710" width="11.85546875" customWidth="1"/>
    <col min="9711" max="9711" width="14.5703125" customWidth="1"/>
    <col min="9712" max="9712" width="13.7109375" customWidth="1"/>
    <col min="9713" max="9714" width="11.7109375" bestFit="1" customWidth="1"/>
    <col min="9715" max="9715" width="9.7109375" bestFit="1" customWidth="1"/>
    <col min="9716" max="9716" width="11.7109375" bestFit="1" customWidth="1"/>
    <col min="9959" max="9959" width="21.7109375" customWidth="1"/>
    <col min="9960" max="9960" width="16.85546875" customWidth="1"/>
    <col min="9961" max="9961" width="12" customWidth="1"/>
    <col min="9962" max="9962" width="11.5703125" customWidth="1"/>
    <col min="9963" max="9963" width="12.140625" customWidth="1"/>
    <col min="9964" max="9965" width="13" customWidth="1"/>
    <col min="9966" max="9966" width="11.85546875" customWidth="1"/>
    <col min="9967" max="9967" width="14.5703125" customWidth="1"/>
    <col min="9968" max="9968" width="13.7109375" customWidth="1"/>
    <col min="9969" max="9970" width="11.7109375" bestFit="1" customWidth="1"/>
    <col min="9971" max="9971" width="9.7109375" bestFit="1" customWidth="1"/>
    <col min="9972" max="9972" width="11.7109375" bestFit="1" customWidth="1"/>
    <col min="10215" max="10215" width="21.7109375" customWidth="1"/>
    <col min="10216" max="10216" width="16.85546875" customWidth="1"/>
    <col min="10217" max="10217" width="12" customWidth="1"/>
    <col min="10218" max="10218" width="11.5703125" customWidth="1"/>
    <col min="10219" max="10219" width="12.140625" customWidth="1"/>
    <col min="10220" max="10221" width="13" customWidth="1"/>
    <col min="10222" max="10222" width="11.85546875" customWidth="1"/>
    <col min="10223" max="10223" width="14.5703125" customWidth="1"/>
    <col min="10224" max="10224" width="13.7109375" customWidth="1"/>
    <col min="10225" max="10226" width="11.7109375" bestFit="1" customWidth="1"/>
    <col min="10227" max="10227" width="9.7109375" bestFit="1" customWidth="1"/>
    <col min="10228" max="10228" width="11.7109375" bestFit="1" customWidth="1"/>
    <col min="10471" max="10471" width="21.7109375" customWidth="1"/>
    <col min="10472" max="10472" width="16.85546875" customWidth="1"/>
    <col min="10473" max="10473" width="12" customWidth="1"/>
    <col min="10474" max="10474" width="11.5703125" customWidth="1"/>
    <col min="10475" max="10475" width="12.140625" customWidth="1"/>
    <col min="10476" max="10477" width="13" customWidth="1"/>
    <col min="10478" max="10478" width="11.85546875" customWidth="1"/>
    <col min="10479" max="10479" width="14.5703125" customWidth="1"/>
    <col min="10480" max="10480" width="13.7109375" customWidth="1"/>
    <col min="10481" max="10482" width="11.7109375" bestFit="1" customWidth="1"/>
    <col min="10483" max="10483" width="9.7109375" bestFit="1" customWidth="1"/>
    <col min="10484" max="10484" width="11.7109375" bestFit="1" customWidth="1"/>
    <col min="10727" max="10727" width="21.7109375" customWidth="1"/>
    <col min="10728" max="10728" width="16.85546875" customWidth="1"/>
    <col min="10729" max="10729" width="12" customWidth="1"/>
    <col min="10730" max="10730" width="11.5703125" customWidth="1"/>
    <col min="10731" max="10731" width="12.140625" customWidth="1"/>
    <col min="10732" max="10733" width="13" customWidth="1"/>
    <col min="10734" max="10734" width="11.85546875" customWidth="1"/>
    <col min="10735" max="10735" width="14.5703125" customWidth="1"/>
    <col min="10736" max="10736" width="13.7109375" customWidth="1"/>
    <col min="10737" max="10738" width="11.7109375" bestFit="1" customWidth="1"/>
    <col min="10739" max="10739" width="9.7109375" bestFit="1" customWidth="1"/>
    <col min="10740" max="10740" width="11.7109375" bestFit="1" customWidth="1"/>
    <col min="10983" max="10983" width="21.7109375" customWidth="1"/>
    <col min="10984" max="10984" width="16.85546875" customWidth="1"/>
    <col min="10985" max="10985" width="12" customWidth="1"/>
    <col min="10986" max="10986" width="11.5703125" customWidth="1"/>
    <col min="10987" max="10987" width="12.140625" customWidth="1"/>
    <col min="10988" max="10989" width="13" customWidth="1"/>
    <col min="10990" max="10990" width="11.85546875" customWidth="1"/>
    <col min="10991" max="10991" width="14.5703125" customWidth="1"/>
    <col min="10992" max="10992" width="13.7109375" customWidth="1"/>
    <col min="10993" max="10994" width="11.7109375" bestFit="1" customWidth="1"/>
    <col min="10995" max="10995" width="9.7109375" bestFit="1" customWidth="1"/>
    <col min="10996" max="10996" width="11.7109375" bestFit="1" customWidth="1"/>
    <col min="11239" max="11239" width="21.7109375" customWidth="1"/>
    <col min="11240" max="11240" width="16.85546875" customWidth="1"/>
    <col min="11241" max="11241" width="12" customWidth="1"/>
    <col min="11242" max="11242" width="11.5703125" customWidth="1"/>
    <col min="11243" max="11243" width="12.140625" customWidth="1"/>
    <col min="11244" max="11245" width="13" customWidth="1"/>
    <col min="11246" max="11246" width="11.85546875" customWidth="1"/>
    <col min="11247" max="11247" width="14.5703125" customWidth="1"/>
    <col min="11248" max="11248" width="13.7109375" customWidth="1"/>
    <col min="11249" max="11250" width="11.7109375" bestFit="1" customWidth="1"/>
    <col min="11251" max="11251" width="9.7109375" bestFit="1" customWidth="1"/>
    <col min="11252" max="11252" width="11.7109375" bestFit="1" customWidth="1"/>
    <col min="11495" max="11495" width="21.7109375" customWidth="1"/>
    <col min="11496" max="11496" width="16.85546875" customWidth="1"/>
    <col min="11497" max="11497" width="12" customWidth="1"/>
    <col min="11498" max="11498" width="11.5703125" customWidth="1"/>
    <col min="11499" max="11499" width="12.140625" customWidth="1"/>
    <col min="11500" max="11501" width="13" customWidth="1"/>
    <col min="11502" max="11502" width="11.85546875" customWidth="1"/>
    <col min="11503" max="11503" width="14.5703125" customWidth="1"/>
    <col min="11504" max="11504" width="13.7109375" customWidth="1"/>
    <col min="11505" max="11506" width="11.7109375" bestFit="1" customWidth="1"/>
    <col min="11507" max="11507" width="9.7109375" bestFit="1" customWidth="1"/>
    <col min="11508" max="11508" width="11.7109375" bestFit="1" customWidth="1"/>
    <col min="11751" max="11751" width="21.7109375" customWidth="1"/>
    <col min="11752" max="11752" width="16.85546875" customWidth="1"/>
    <col min="11753" max="11753" width="12" customWidth="1"/>
    <col min="11754" max="11754" width="11.5703125" customWidth="1"/>
    <col min="11755" max="11755" width="12.140625" customWidth="1"/>
    <col min="11756" max="11757" width="13" customWidth="1"/>
    <col min="11758" max="11758" width="11.85546875" customWidth="1"/>
    <col min="11759" max="11759" width="14.5703125" customWidth="1"/>
    <col min="11760" max="11760" width="13.7109375" customWidth="1"/>
    <col min="11761" max="11762" width="11.7109375" bestFit="1" customWidth="1"/>
    <col min="11763" max="11763" width="9.7109375" bestFit="1" customWidth="1"/>
    <col min="11764" max="11764" width="11.7109375" bestFit="1" customWidth="1"/>
    <col min="12007" max="12007" width="21.7109375" customWidth="1"/>
    <col min="12008" max="12008" width="16.85546875" customWidth="1"/>
    <col min="12009" max="12009" width="12" customWidth="1"/>
    <col min="12010" max="12010" width="11.5703125" customWidth="1"/>
    <col min="12011" max="12011" width="12.140625" customWidth="1"/>
    <col min="12012" max="12013" width="13" customWidth="1"/>
    <col min="12014" max="12014" width="11.85546875" customWidth="1"/>
    <col min="12015" max="12015" width="14.5703125" customWidth="1"/>
    <col min="12016" max="12016" width="13.7109375" customWidth="1"/>
    <col min="12017" max="12018" width="11.7109375" bestFit="1" customWidth="1"/>
    <col min="12019" max="12019" width="9.7109375" bestFit="1" customWidth="1"/>
    <col min="12020" max="12020" width="11.7109375" bestFit="1" customWidth="1"/>
    <col min="12263" max="12263" width="21.7109375" customWidth="1"/>
    <col min="12264" max="12264" width="16.85546875" customWidth="1"/>
    <col min="12265" max="12265" width="12" customWidth="1"/>
    <col min="12266" max="12266" width="11.5703125" customWidth="1"/>
    <col min="12267" max="12267" width="12.140625" customWidth="1"/>
    <col min="12268" max="12269" width="13" customWidth="1"/>
    <col min="12270" max="12270" width="11.85546875" customWidth="1"/>
    <col min="12271" max="12271" width="14.5703125" customWidth="1"/>
    <col min="12272" max="12272" width="13.7109375" customWidth="1"/>
    <col min="12273" max="12274" width="11.7109375" bestFit="1" customWidth="1"/>
    <col min="12275" max="12275" width="9.7109375" bestFit="1" customWidth="1"/>
    <col min="12276" max="12276" width="11.7109375" bestFit="1" customWidth="1"/>
    <col min="12519" max="12519" width="21.7109375" customWidth="1"/>
    <col min="12520" max="12520" width="16.85546875" customWidth="1"/>
    <col min="12521" max="12521" width="12" customWidth="1"/>
    <col min="12522" max="12522" width="11.5703125" customWidth="1"/>
    <col min="12523" max="12523" width="12.140625" customWidth="1"/>
    <col min="12524" max="12525" width="13" customWidth="1"/>
    <col min="12526" max="12526" width="11.85546875" customWidth="1"/>
    <col min="12527" max="12527" width="14.5703125" customWidth="1"/>
    <col min="12528" max="12528" width="13.7109375" customWidth="1"/>
    <col min="12529" max="12530" width="11.7109375" bestFit="1" customWidth="1"/>
    <col min="12531" max="12531" width="9.7109375" bestFit="1" customWidth="1"/>
    <col min="12532" max="12532" width="11.7109375" bestFit="1" customWidth="1"/>
    <col min="12775" max="12775" width="21.7109375" customWidth="1"/>
    <col min="12776" max="12776" width="16.85546875" customWidth="1"/>
    <col min="12777" max="12777" width="12" customWidth="1"/>
    <col min="12778" max="12778" width="11.5703125" customWidth="1"/>
    <col min="12779" max="12779" width="12.140625" customWidth="1"/>
    <col min="12780" max="12781" width="13" customWidth="1"/>
    <col min="12782" max="12782" width="11.85546875" customWidth="1"/>
    <col min="12783" max="12783" width="14.5703125" customWidth="1"/>
    <col min="12784" max="12784" width="13.7109375" customWidth="1"/>
    <col min="12785" max="12786" width="11.7109375" bestFit="1" customWidth="1"/>
    <col min="12787" max="12787" width="9.7109375" bestFit="1" customWidth="1"/>
    <col min="12788" max="12788" width="11.7109375" bestFit="1" customWidth="1"/>
    <col min="13031" max="13031" width="21.7109375" customWidth="1"/>
    <col min="13032" max="13032" width="16.85546875" customWidth="1"/>
    <col min="13033" max="13033" width="12" customWidth="1"/>
    <col min="13034" max="13034" width="11.5703125" customWidth="1"/>
    <col min="13035" max="13035" width="12.140625" customWidth="1"/>
    <col min="13036" max="13037" width="13" customWidth="1"/>
    <col min="13038" max="13038" width="11.85546875" customWidth="1"/>
    <col min="13039" max="13039" width="14.5703125" customWidth="1"/>
    <col min="13040" max="13040" width="13.7109375" customWidth="1"/>
    <col min="13041" max="13042" width="11.7109375" bestFit="1" customWidth="1"/>
    <col min="13043" max="13043" width="9.7109375" bestFit="1" customWidth="1"/>
    <col min="13044" max="13044" width="11.7109375" bestFit="1" customWidth="1"/>
    <col min="13287" max="13287" width="21.7109375" customWidth="1"/>
    <col min="13288" max="13288" width="16.85546875" customWidth="1"/>
    <col min="13289" max="13289" width="12" customWidth="1"/>
    <col min="13290" max="13290" width="11.5703125" customWidth="1"/>
    <col min="13291" max="13291" width="12.140625" customWidth="1"/>
    <col min="13292" max="13293" width="13" customWidth="1"/>
    <col min="13294" max="13294" width="11.85546875" customWidth="1"/>
    <col min="13295" max="13295" width="14.5703125" customWidth="1"/>
    <col min="13296" max="13296" width="13.7109375" customWidth="1"/>
    <col min="13297" max="13298" width="11.7109375" bestFit="1" customWidth="1"/>
    <col min="13299" max="13299" width="9.7109375" bestFit="1" customWidth="1"/>
    <col min="13300" max="13300" width="11.7109375" bestFit="1" customWidth="1"/>
    <col min="13543" max="13543" width="21.7109375" customWidth="1"/>
    <col min="13544" max="13544" width="16.85546875" customWidth="1"/>
    <col min="13545" max="13545" width="12" customWidth="1"/>
    <col min="13546" max="13546" width="11.5703125" customWidth="1"/>
    <col min="13547" max="13547" width="12.140625" customWidth="1"/>
    <col min="13548" max="13549" width="13" customWidth="1"/>
    <col min="13550" max="13550" width="11.85546875" customWidth="1"/>
    <col min="13551" max="13551" width="14.5703125" customWidth="1"/>
    <col min="13552" max="13552" width="13.7109375" customWidth="1"/>
    <col min="13553" max="13554" width="11.7109375" bestFit="1" customWidth="1"/>
    <col min="13555" max="13555" width="9.7109375" bestFit="1" customWidth="1"/>
    <col min="13556" max="13556" width="11.7109375" bestFit="1" customWidth="1"/>
    <col min="13799" max="13799" width="21.7109375" customWidth="1"/>
    <col min="13800" max="13800" width="16.85546875" customWidth="1"/>
    <col min="13801" max="13801" width="12" customWidth="1"/>
    <col min="13802" max="13802" width="11.5703125" customWidth="1"/>
    <col min="13803" max="13803" width="12.140625" customWidth="1"/>
    <col min="13804" max="13805" width="13" customWidth="1"/>
    <col min="13806" max="13806" width="11.85546875" customWidth="1"/>
    <col min="13807" max="13807" width="14.5703125" customWidth="1"/>
    <col min="13808" max="13808" width="13.7109375" customWidth="1"/>
    <col min="13809" max="13810" width="11.7109375" bestFit="1" customWidth="1"/>
    <col min="13811" max="13811" width="9.7109375" bestFit="1" customWidth="1"/>
    <col min="13812" max="13812" width="11.7109375" bestFit="1" customWidth="1"/>
    <col min="14055" max="14055" width="21.7109375" customWidth="1"/>
    <col min="14056" max="14056" width="16.85546875" customWidth="1"/>
    <col min="14057" max="14057" width="12" customWidth="1"/>
    <col min="14058" max="14058" width="11.5703125" customWidth="1"/>
    <col min="14059" max="14059" width="12.140625" customWidth="1"/>
    <col min="14060" max="14061" width="13" customWidth="1"/>
    <col min="14062" max="14062" width="11.85546875" customWidth="1"/>
    <col min="14063" max="14063" width="14.5703125" customWidth="1"/>
    <col min="14064" max="14064" width="13.7109375" customWidth="1"/>
    <col min="14065" max="14066" width="11.7109375" bestFit="1" customWidth="1"/>
    <col min="14067" max="14067" width="9.7109375" bestFit="1" customWidth="1"/>
    <col min="14068" max="14068" width="11.7109375" bestFit="1" customWidth="1"/>
    <col min="14311" max="14311" width="21.7109375" customWidth="1"/>
    <col min="14312" max="14312" width="16.85546875" customWidth="1"/>
    <col min="14313" max="14313" width="12" customWidth="1"/>
    <col min="14314" max="14314" width="11.5703125" customWidth="1"/>
    <col min="14315" max="14315" width="12.140625" customWidth="1"/>
    <col min="14316" max="14317" width="13" customWidth="1"/>
    <col min="14318" max="14318" width="11.85546875" customWidth="1"/>
    <col min="14319" max="14319" width="14.5703125" customWidth="1"/>
    <col min="14320" max="14320" width="13.7109375" customWidth="1"/>
    <col min="14321" max="14322" width="11.7109375" bestFit="1" customWidth="1"/>
    <col min="14323" max="14323" width="9.7109375" bestFit="1" customWidth="1"/>
    <col min="14324" max="14324" width="11.7109375" bestFit="1" customWidth="1"/>
    <col min="14567" max="14567" width="21.7109375" customWidth="1"/>
    <col min="14568" max="14568" width="16.85546875" customWidth="1"/>
    <col min="14569" max="14569" width="12" customWidth="1"/>
    <col min="14570" max="14570" width="11.5703125" customWidth="1"/>
    <col min="14571" max="14571" width="12.140625" customWidth="1"/>
    <col min="14572" max="14573" width="13" customWidth="1"/>
    <col min="14574" max="14574" width="11.85546875" customWidth="1"/>
    <col min="14575" max="14575" width="14.5703125" customWidth="1"/>
    <col min="14576" max="14576" width="13.7109375" customWidth="1"/>
    <col min="14577" max="14578" width="11.7109375" bestFit="1" customWidth="1"/>
    <col min="14579" max="14579" width="9.7109375" bestFit="1" customWidth="1"/>
    <col min="14580" max="14580" width="11.7109375" bestFit="1" customWidth="1"/>
    <col min="14823" max="14823" width="21.7109375" customWidth="1"/>
    <col min="14824" max="14824" width="16.85546875" customWidth="1"/>
    <col min="14825" max="14825" width="12" customWidth="1"/>
    <col min="14826" max="14826" width="11.5703125" customWidth="1"/>
    <col min="14827" max="14827" width="12.140625" customWidth="1"/>
    <col min="14828" max="14829" width="13" customWidth="1"/>
    <col min="14830" max="14830" width="11.85546875" customWidth="1"/>
    <col min="14831" max="14831" width="14.5703125" customWidth="1"/>
    <col min="14832" max="14832" width="13.7109375" customWidth="1"/>
    <col min="14833" max="14834" width="11.7109375" bestFit="1" customWidth="1"/>
    <col min="14835" max="14835" width="9.7109375" bestFit="1" customWidth="1"/>
    <col min="14836" max="14836" width="11.7109375" bestFit="1" customWidth="1"/>
    <col min="15079" max="15079" width="21.7109375" customWidth="1"/>
    <col min="15080" max="15080" width="16.85546875" customWidth="1"/>
    <col min="15081" max="15081" width="12" customWidth="1"/>
    <col min="15082" max="15082" width="11.5703125" customWidth="1"/>
    <col min="15083" max="15083" width="12.140625" customWidth="1"/>
    <col min="15084" max="15085" width="13" customWidth="1"/>
    <col min="15086" max="15086" width="11.85546875" customWidth="1"/>
    <col min="15087" max="15087" width="14.5703125" customWidth="1"/>
    <col min="15088" max="15088" width="13.7109375" customWidth="1"/>
    <col min="15089" max="15090" width="11.7109375" bestFit="1" customWidth="1"/>
    <col min="15091" max="15091" width="9.7109375" bestFit="1" customWidth="1"/>
    <col min="15092" max="15092" width="11.7109375" bestFit="1" customWidth="1"/>
    <col min="15335" max="15335" width="21.7109375" customWidth="1"/>
    <col min="15336" max="15336" width="16.85546875" customWidth="1"/>
    <col min="15337" max="15337" width="12" customWidth="1"/>
    <col min="15338" max="15338" width="11.5703125" customWidth="1"/>
    <col min="15339" max="15339" width="12.140625" customWidth="1"/>
    <col min="15340" max="15341" width="13" customWidth="1"/>
    <col min="15342" max="15342" width="11.85546875" customWidth="1"/>
    <col min="15343" max="15343" width="14.5703125" customWidth="1"/>
    <col min="15344" max="15344" width="13.7109375" customWidth="1"/>
    <col min="15345" max="15346" width="11.7109375" bestFit="1" customWidth="1"/>
    <col min="15347" max="15347" width="9.7109375" bestFit="1" customWidth="1"/>
    <col min="15348" max="15348" width="11.7109375" bestFit="1" customWidth="1"/>
    <col min="15591" max="15591" width="21.7109375" customWidth="1"/>
    <col min="15592" max="15592" width="16.85546875" customWidth="1"/>
    <col min="15593" max="15593" width="12" customWidth="1"/>
    <col min="15594" max="15594" width="11.5703125" customWidth="1"/>
    <col min="15595" max="15595" width="12.140625" customWidth="1"/>
    <col min="15596" max="15597" width="13" customWidth="1"/>
    <col min="15598" max="15598" width="11.85546875" customWidth="1"/>
    <col min="15599" max="15599" width="14.5703125" customWidth="1"/>
    <col min="15600" max="15600" width="13.7109375" customWidth="1"/>
    <col min="15601" max="15602" width="11.7109375" bestFit="1" customWidth="1"/>
    <col min="15603" max="15603" width="9.7109375" bestFit="1" customWidth="1"/>
    <col min="15604" max="15604" width="11.7109375" bestFit="1" customWidth="1"/>
    <col min="15847" max="15847" width="21.7109375" customWidth="1"/>
    <col min="15848" max="15848" width="16.85546875" customWidth="1"/>
    <col min="15849" max="15849" width="12" customWidth="1"/>
    <col min="15850" max="15850" width="11.5703125" customWidth="1"/>
    <col min="15851" max="15851" width="12.140625" customWidth="1"/>
    <col min="15852" max="15853" width="13" customWidth="1"/>
    <col min="15854" max="15854" width="11.85546875" customWidth="1"/>
    <col min="15855" max="15855" width="14.5703125" customWidth="1"/>
    <col min="15856" max="15856" width="13.7109375" customWidth="1"/>
    <col min="15857" max="15858" width="11.7109375" bestFit="1" customWidth="1"/>
    <col min="15859" max="15859" width="9.7109375" bestFit="1" customWidth="1"/>
    <col min="15860" max="15860" width="11.7109375" bestFit="1" customWidth="1"/>
    <col min="16103" max="16103" width="21.7109375" customWidth="1"/>
    <col min="16104" max="16104" width="16.85546875" customWidth="1"/>
    <col min="16105" max="16105" width="12" customWidth="1"/>
    <col min="16106" max="16106" width="11.5703125" customWidth="1"/>
    <col min="16107" max="16107" width="12.140625" customWidth="1"/>
    <col min="16108" max="16109" width="13" customWidth="1"/>
    <col min="16110" max="16110" width="11.85546875" customWidth="1"/>
    <col min="16111" max="16111" width="14.5703125" customWidth="1"/>
    <col min="16112" max="16112" width="13.7109375" customWidth="1"/>
    <col min="16113" max="16114" width="11.7109375" bestFit="1" customWidth="1"/>
    <col min="16115" max="16115" width="9.7109375" bestFit="1" customWidth="1"/>
    <col min="16116" max="16116" width="11.7109375" bestFit="1" customWidth="1"/>
  </cols>
  <sheetData>
    <row r="1" spans="1:10" ht="15.75" x14ac:dyDescent="0.25">
      <c r="A1" s="76" t="s">
        <v>18</v>
      </c>
      <c r="D1" s="20"/>
      <c r="E1" s="20"/>
      <c r="F1" s="20"/>
      <c r="G1" s="23"/>
      <c r="H1" s="24"/>
    </row>
    <row r="2" spans="1:10" ht="15.75" x14ac:dyDescent="0.25">
      <c r="D2" s="166" t="s">
        <v>62</v>
      </c>
      <c r="E2" s="166"/>
      <c r="F2" s="166"/>
      <c r="G2" s="166"/>
      <c r="H2" s="25"/>
    </row>
    <row r="3" spans="1:10" x14ac:dyDescent="0.25">
      <c r="D3" s="189"/>
      <c r="E3" s="189"/>
      <c r="F3" s="189"/>
      <c r="G3" s="26"/>
      <c r="H3" s="26"/>
      <c r="I3" s="189"/>
      <c r="J3" s="189"/>
    </row>
    <row r="4" spans="1:10" ht="15.75" thickBot="1" x14ac:dyDescent="0.3">
      <c r="B4" s="705"/>
      <c r="C4" s="705"/>
      <c r="D4" s="705"/>
      <c r="E4" s="705"/>
      <c r="F4" s="705"/>
      <c r="G4" s="705"/>
      <c r="H4" s="705"/>
      <c r="I4" s="20"/>
      <c r="J4" s="20"/>
    </row>
    <row r="5" spans="1:10" ht="28.5" customHeight="1" x14ac:dyDescent="0.25">
      <c r="A5" s="618" t="s">
        <v>135</v>
      </c>
      <c r="B5" s="714" t="s">
        <v>17</v>
      </c>
      <c r="C5" s="715"/>
      <c r="D5" s="619"/>
      <c r="E5" s="714" t="s">
        <v>19</v>
      </c>
      <c r="F5" s="715"/>
      <c r="G5" s="714" t="s">
        <v>41</v>
      </c>
      <c r="H5" s="715"/>
      <c r="I5" s="620" t="s">
        <v>20</v>
      </c>
      <c r="J5" s="63"/>
    </row>
    <row r="6" spans="1:10" s="12" customFormat="1" x14ac:dyDescent="0.25">
      <c r="A6" s="487">
        <v>44562</v>
      </c>
      <c r="B6" s="32"/>
      <c r="C6" s="67">
        <v>437580</v>
      </c>
      <c r="D6" s="380"/>
      <c r="E6" s="380">
        <v>0</v>
      </c>
      <c r="F6" s="380"/>
      <c r="G6" s="380">
        <v>82680</v>
      </c>
      <c r="H6" s="454"/>
      <c r="I6" s="621">
        <f>C6+E6+G6</f>
        <v>520260</v>
      </c>
      <c r="J6" s="62"/>
    </row>
    <row r="7" spans="1:10" s="12" customFormat="1" x14ac:dyDescent="0.25">
      <c r="A7" s="487">
        <v>44593</v>
      </c>
      <c r="B7" s="32"/>
      <c r="C7" s="67">
        <v>437580</v>
      </c>
      <c r="D7" s="380"/>
      <c r="E7" s="380">
        <v>0</v>
      </c>
      <c r="F7" s="380"/>
      <c r="G7" s="380">
        <v>82680</v>
      </c>
      <c r="H7" s="454"/>
      <c r="I7" s="621">
        <f>C7+E7+G7</f>
        <v>520260</v>
      </c>
      <c r="J7" s="62"/>
    </row>
    <row r="8" spans="1:10" s="12" customFormat="1" x14ac:dyDescent="0.25">
      <c r="A8" s="487">
        <v>44621</v>
      </c>
      <c r="B8" s="32"/>
      <c r="C8" s="67">
        <v>430287</v>
      </c>
      <c r="D8" s="455"/>
      <c r="E8" s="456">
        <v>0</v>
      </c>
      <c r="F8" s="456"/>
      <c r="G8" s="456">
        <v>82680</v>
      </c>
      <c r="H8" s="455"/>
      <c r="I8" s="621">
        <f>C8+E8+G8</f>
        <v>512967</v>
      </c>
      <c r="J8" s="62"/>
    </row>
    <row r="9" spans="1:10" s="188" customFormat="1" x14ac:dyDescent="0.25">
      <c r="A9" s="116" t="s">
        <v>97</v>
      </c>
      <c r="B9" s="32"/>
      <c r="C9" s="115">
        <f>C6+C7+C8</f>
        <v>1305447</v>
      </c>
      <c r="D9" s="115"/>
      <c r="E9" s="115">
        <v>0</v>
      </c>
      <c r="F9" s="115"/>
      <c r="G9" s="115">
        <f>SUM(G6:G8)</f>
        <v>248040</v>
      </c>
      <c r="H9" s="115"/>
      <c r="I9" s="621">
        <f>C9+E9+G9</f>
        <v>1553487</v>
      </c>
      <c r="J9" s="62"/>
    </row>
    <row r="10" spans="1:10" x14ac:dyDescent="0.25">
      <c r="A10" s="487">
        <v>44652</v>
      </c>
      <c r="B10" s="32"/>
      <c r="C10" s="457">
        <v>549978</v>
      </c>
      <c r="D10" s="458"/>
      <c r="E10" s="457">
        <v>0</v>
      </c>
      <c r="F10" s="457"/>
      <c r="G10" s="457">
        <v>111696</v>
      </c>
      <c r="H10" s="458"/>
      <c r="I10" s="622">
        <f>C10+E10+G10</f>
        <v>661674</v>
      </c>
      <c r="J10" s="62"/>
    </row>
    <row r="11" spans="1:10" x14ac:dyDescent="0.25">
      <c r="A11" s="116" t="s">
        <v>20</v>
      </c>
      <c r="B11" s="32"/>
      <c r="C11" s="115">
        <f>C9+C10</f>
        <v>1855425</v>
      </c>
      <c r="D11" s="459"/>
      <c r="E11" s="115">
        <v>0</v>
      </c>
      <c r="F11" s="115"/>
      <c r="G11" s="115">
        <f>G9+G10</f>
        <v>359736</v>
      </c>
      <c r="H11" s="459"/>
      <c r="I11" s="621">
        <f>I9+I10</f>
        <v>2215161</v>
      </c>
      <c r="J11" s="62"/>
    </row>
    <row r="12" spans="1:10" s="262" customFormat="1" x14ac:dyDescent="0.25">
      <c r="A12" s="488" t="s">
        <v>133</v>
      </c>
      <c r="B12" s="33"/>
      <c r="C12" s="67">
        <v>3849846</v>
      </c>
      <c r="D12" s="460"/>
      <c r="E12" s="67">
        <v>0</v>
      </c>
      <c r="F12" s="67"/>
      <c r="G12" s="67">
        <v>781872</v>
      </c>
      <c r="H12" s="460"/>
      <c r="I12" s="19">
        <f>C12+E12+G12</f>
        <v>4631718</v>
      </c>
      <c r="J12" s="202"/>
    </row>
    <row r="13" spans="1:10" x14ac:dyDescent="0.25">
      <c r="A13" s="276" t="s">
        <v>131</v>
      </c>
      <c r="B13" s="240"/>
      <c r="C13" s="536">
        <f>C11+C12</f>
        <v>5705271</v>
      </c>
      <c r="D13" s="537"/>
      <c r="E13" s="536">
        <v>0</v>
      </c>
      <c r="F13" s="536"/>
      <c r="G13" s="536">
        <f>G11+G12</f>
        <v>1141608</v>
      </c>
      <c r="H13" s="537"/>
      <c r="I13" s="623">
        <f>C13+E13+G13</f>
        <v>6846879</v>
      </c>
      <c r="J13" s="62"/>
    </row>
    <row r="14" spans="1:10" ht="15.75" thickBot="1" x14ac:dyDescent="0.3">
      <c r="A14" s="276" t="s">
        <v>148</v>
      </c>
      <c r="B14" s="240"/>
      <c r="C14" s="536">
        <v>-15708</v>
      </c>
      <c r="D14" s="537"/>
      <c r="E14" s="536">
        <v>0</v>
      </c>
      <c r="F14" s="536"/>
      <c r="G14" s="536">
        <v>0</v>
      </c>
      <c r="H14" s="537"/>
      <c r="I14" s="623">
        <f>C14+E14+G14</f>
        <v>-15708</v>
      </c>
      <c r="J14" s="62"/>
    </row>
    <row r="15" spans="1:10" ht="15.75" thickBot="1" x14ac:dyDescent="0.3">
      <c r="A15" s="445" t="s">
        <v>140</v>
      </c>
      <c r="B15" s="541"/>
      <c r="C15" s="540">
        <f>C13+C14</f>
        <v>5689563</v>
      </c>
      <c r="D15" s="542"/>
      <c r="E15" s="540">
        <v>0</v>
      </c>
      <c r="F15" s="543"/>
      <c r="G15" s="543">
        <f>G13+G14</f>
        <v>1141608</v>
      </c>
      <c r="H15" s="538"/>
      <c r="I15" s="539">
        <f>C15+E15+G15</f>
        <v>6831171</v>
      </c>
      <c r="J15" s="62"/>
    </row>
    <row r="16" spans="1:10" ht="15.75" thickBot="1" x14ac:dyDescent="0.3">
      <c r="A16" s="445" t="s">
        <v>155</v>
      </c>
      <c r="B16" s="613"/>
      <c r="C16" s="543">
        <v>-43588</v>
      </c>
      <c r="D16" s="616"/>
      <c r="E16" s="543">
        <v>0</v>
      </c>
      <c r="F16" s="617"/>
      <c r="G16" s="543">
        <v>25776</v>
      </c>
      <c r="H16" s="636"/>
      <c r="I16" s="638">
        <f>C16+E16+G16</f>
        <v>-17812</v>
      </c>
      <c r="J16" s="62"/>
    </row>
    <row r="17" spans="1:11" ht="15.75" thickBot="1" x14ac:dyDescent="0.3">
      <c r="A17" s="445" t="s">
        <v>140</v>
      </c>
      <c r="B17" s="613"/>
      <c r="C17" s="543">
        <f>C15+C16</f>
        <v>5645975</v>
      </c>
      <c r="D17" s="616"/>
      <c r="E17" s="543">
        <f>E15+E16</f>
        <v>0</v>
      </c>
      <c r="F17" s="617"/>
      <c r="G17" s="543">
        <f>G15+G16</f>
        <v>1167384</v>
      </c>
      <c r="H17" s="636"/>
      <c r="I17" s="638">
        <f>I15+I16</f>
        <v>6813359</v>
      </c>
      <c r="J17" s="62"/>
    </row>
    <row r="18" spans="1:11" ht="16.5" thickBot="1" x14ac:dyDescent="0.3">
      <c r="A18" s="624" t="s">
        <v>158</v>
      </c>
      <c r="B18" s="632"/>
      <c r="C18" s="635">
        <v>238452</v>
      </c>
      <c r="D18" s="633"/>
      <c r="E18" s="635">
        <v>0</v>
      </c>
      <c r="F18" s="634"/>
      <c r="G18" s="635">
        <v>51552</v>
      </c>
      <c r="H18" s="637"/>
      <c r="I18" s="415">
        <f>C18+E18+G18</f>
        <v>290004</v>
      </c>
      <c r="J18" s="62"/>
    </row>
    <row r="19" spans="1:11" ht="15.75" thickBot="1" x14ac:dyDescent="0.3">
      <c r="A19" s="631" t="s">
        <v>140</v>
      </c>
      <c r="B19" s="632"/>
      <c r="C19" s="635">
        <f>C17+C18</f>
        <v>5884427</v>
      </c>
      <c r="D19" s="633"/>
      <c r="E19" s="635">
        <f>E17+E18</f>
        <v>0</v>
      </c>
      <c r="F19" s="634"/>
      <c r="G19" s="635">
        <f>G17+G18</f>
        <v>1218936</v>
      </c>
      <c r="H19" s="637"/>
      <c r="I19" s="415">
        <f>I17+I18</f>
        <v>7103363</v>
      </c>
      <c r="J19" s="62"/>
    </row>
    <row r="20" spans="1:11" ht="15.75" thickBot="1" x14ac:dyDescent="0.3">
      <c r="A20" s="631" t="s">
        <v>164</v>
      </c>
      <c r="B20" s="632"/>
      <c r="C20" s="543">
        <v>-286527</v>
      </c>
      <c r="D20" s="542"/>
      <c r="E20" s="673">
        <v>0</v>
      </c>
      <c r="F20" s="634"/>
      <c r="G20" s="543">
        <v>-139620</v>
      </c>
      <c r="H20" s="637"/>
      <c r="I20" s="638">
        <f>C20+E20+G20</f>
        <v>-426147</v>
      </c>
      <c r="J20" s="62"/>
    </row>
    <row r="21" spans="1:11" ht="15.75" thickBot="1" x14ac:dyDescent="0.3">
      <c r="A21" s="631" t="s">
        <v>131</v>
      </c>
      <c r="B21" s="632"/>
      <c r="C21" s="635">
        <f>C19+C20</f>
        <v>5597900</v>
      </c>
      <c r="D21" s="674"/>
      <c r="E21" s="673">
        <v>0</v>
      </c>
      <c r="F21" s="634"/>
      <c r="G21" s="635">
        <f>G19+G20</f>
        <v>1079316</v>
      </c>
      <c r="H21" s="637"/>
      <c r="I21" s="415">
        <f>I19+I20</f>
        <v>6677216</v>
      </c>
      <c r="J21" s="62"/>
    </row>
    <row r="22" spans="1:11" ht="15.75" thickBot="1" x14ac:dyDescent="0.3">
      <c r="A22" s="452" t="s">
        <v>134</v>
      </c>
      <c r="B22" s="711" t="s">
        <v>17</v>
      </c>
      <c r="C22" s="712"/>
      <c r="D22" s="711" t="s">
        <v>15</v>
      </c>
      <c r="E22" s="712"/>
      <c r="F22" s="711" t="s">
        <v>42</v>
      </c>
      <c r="G22" s="712"/>
      <c r="H22" s="711" t="s">
        <v>20</v>
      </c>
      <c r="I22" s="713"/>
      <c r="J22" s="203" t="s">
        <v>94</v>
      </c>
    </row>
    <row r="23" spans="1:11" ht="30" x14ac:dyDescent="0.25">
      <c r="A23" s="461" t="s">
        <v>136</v>
      </c>
      <c r="B23" s="27" t="s">
        <v>21</v>
      </c>
      <c r="C23" s="27" t="s">
        <v>22</v>
      </c>
      <c r="D23" s="27" t="s">
        <v>21</v>
      </c>
      <c r="E23" s="27" t="s">
        <v>22</v>
      </c>
      <c r="F23" s="27" t="s">
        <v>21</v>
      </c>
      <c r="G23" s="27" t="s">
        <v>22</v>
      </c>
      <c r="H23" s="27" t="s">
        <v>21</v>
      </c>
      <c r="I23" s="79" t="s">
        <v>22</v>
      </c>
      <c r="J23" s="204"/>
    </row>
    <row r="24" spans="1:11" x14ac:dyDescent="0.25">
      <c r="A24" s="28" t="s">
        <v>23</v>
      </c>
      <c r="B24" s="21"/>
      <c r="C24" s="21">
        <v>420189</v>
      </c>
      <c r="D24" s="21"/>
      <c r="E24" s="21">
        <v>0</v>
      </c>
      <c r="F24" s="21">
        <v>82044</v>
      </c>
      <c r="G24" s="21">
        <v>0</v>
      </c>
      <c r="H24" s="33"/>
      <c r="I24" s="80">
        <f>C24+E24+F24</f>
        <v>502233</v>
      </c>
      <c r="J24" s="192">
        <v>537390</v>
      </c>
    </row>
    <row r="25" spans="1:11" x14ac:dyDescent="0.25">
      <c r="A25" s="28" t="s">
        <v>24</v>
      </c>
      <c r="B25" s="109"/>
      <c r="C25" s="21">
        <v>391017</v>
      </c>
      <c r="D25" s="21"/>
      <c r="E25" s="21">
        <v>0</v>
      </c>
      <c r="F25" s="21">
        <v>76320</v>
      </c>
      <c r="G25" s="21">
        <v>0</v>
      </c>
      <c r="H25" s="33"/>
      <c r="I25" s="80">
        <f>C25+E25+F25</f>
        <v>467337</v>
      </c>
      <c r="J25" s="192">
        <v>502233</v>
      </c>
    </row>
    <row r="26" spans="1:11" x14ac:dyDescent="0.25">
      <c r="A26" s="28" t="s">
        <v>25</v>
      </c>
      <c r="B26" s="21"/>
      <c r="C26" s="21">
        <v>439263</v>
      </c>
      <c r="D26" s="21"/>
      <c r="E26" s="21">
        <v>0</v>
      </c>
      <c r="F26" s="21">
        <v>85224</v>
      </c>
      <c r="G26" s="21">
        <v>0</v>
      </c>
      <c r="H26" s="33"/>
      <c r="I26" s="80">
        <f>C26+E26+F26</f>
        <v>524487</v>
      </c>
      <c r="J26" s="192">
        <v>467337</v>
      </c>
    </row>
    <row r="27" spans="1:11" x14ac:dyDescent="0.25">
      <c r="A27" s="30" t="s">
        <v>27</v>
      </c>
      <c r="B27" s="31"/>
      <c r="C27" s="31">
        <f>C24+C25+C26</f>
        <v>1250469</v>
      </c>
      <c r="D27" s="31">
        <f>D24+D25+D26</f>
        <v>0</v>
      </c>
      <c r="E27" s="31">
        <f>E24+E25+E26</f>
        <v>0</v>
      </c>
      <c r="F27" s="31">
        <f>F24+F25+F26</f>
        <v>243588</v>
      </c>
      <c r="G27" s="31">
        <v>0</v>
      </c>
      <c r="H27" s="31">
        <f>H24+H25+H26</f>
        <v>0</v>
      </c>
      <c r="I27" s="80">
        <f>I24+I25+I26</f>
        <v>1494057</v>
      </c>
      <c r="J27" s="194">
        <f>SUM(J24:J26)</f>
        <v>1506960</v>
      </c>
    </row>
    <row r="28" spans="1:11" x14ac:dyDescent="0.25">
      <c r="A28" s="156" t="s">
        <v>47</v>
      </c>
      <c r="B28" s="96"/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96">
        <f>B28+D28+F28</f>
        <v>0</v>
      </c>
      <c r="I28" s="158">
        <f>C28+E28+G28</f>
        <v>0</v>
      </c>
      <c r="J28" s="205">
        <v>0</v>
      </c>
    </row>
    <row r="29" spans="1:11" x14ac:dyDescent="0.25">
      <c r="A29" s="156" t="s">
        <v>20</v>
      </c>
      <c r="B29" s="96"/>
      <c r="C29" s="157">
        <f>C27+C28</f>
        <v>1250469</v>
      </c>
      <c r="D29" s="157">
        <v>0</v>
      </c>
      <c r="E29" s="157">
        <f>E27+E28</f>
        <v>0</v>
      </c>
      <c r="F29" s="157">
        <f>F27</f>
        <v>243588</v>
      </c>
      <c r="G29" s="157">
        <f>G27+G28</f>
        <v>0</v>
      </c>
      <c r="H29" s="96"/>
      <c r="I29" s="158">
        <f>I27+I28</f>
        <v>1494057</v>
      </c>
      <c r="J29" s="205"/>
    </row>
    <row r="30" spans="1:11" x14ac:dyDescent="0.25">
      <c r="A30" s="28" t="s">
        <v>28</v>
      </c>
      <c r="B30" s="21"/>
      <c r="C30" s="21">
        <v>476904</v>
      </c>
      <c r="D30" s="21">
        <v>0</v>
      </c>
      <c r="E30" s="21">
        <v>0</v>
      </c>
      <c r="F30" s="21">
        <v>93080</v>
      </c>
      <c r="G30" s="21"/>
      <c r="H30" s="33"/>
      <c r="I30" s="80">
        <f>C30+E30+F30</f>
        <v>569984</v>
      </c>
      <c r="J30" s="192">
        <v>524487</v>
      </c>
      <c r="K30" s="35"/>
    </row>
    <row r="31" spans="1:11" x14ac:dyDescent="0.25">
      <c r="A31" s="28" t="s">
        <v>29</v>
      </c>
      <c r="B31" s="47"/>
      <c r="C31" s="21">
        <v>478827</v>
      </c>
      <c r="D31" s="21"/>
      <c r="E31" s="21"/>
      <c r="F31" s="21">
        <v>89500</v>
      </c>
      <c r="G31" s="21"/>
      <c r="H31" s="33"/>
      <c r="I31" s="554">
        <f>C31+E31+F31</f>
        <v>568327</v>
      </c>
      <c r="J31" s="192">
        <v>569984</v>
      </c>
    </row>
    <row r="32" spans="1:11" x14ac:dyDescent="0.25">
      <c r="A32" s="28" t="s">
        <v>30</v>
      </c>
      <c r="B32" s="33"/>
      <c r="C32" s="21">
        <v>473699</v>
      </c>
      <c r="D32" s="21"/>
      <c r="E32" s="21"/>
      <c r="F32" s="21">
        <v>90932</v>
      </c>
      <c r="G32" s="21"/>
      <c r="H32" s="33"/>
      <c r="I32" s="556">
        <f>C32+E32+F32</f>
        <v>564631</v>
      </c>
      <c r="J32" s="192">
        <v>568327</v>
      </c>
    </row>
    <row r="33" spans="1:11" s="35" customFormat="1" x14ac:dyDescent="0.25">
      <c r="A33" s="86" t="s">
        <v>31</v>
      </c>
      <c r="B33" s="87"/>
      <c r="C33" s="87">
        <f t="shared" ref="C33:J33" si="0">SUM(C30:C32)</f>
        <v>1429430</v>
      </c>
      <c r="D33" s="87">
        <f t="shared" si="0"/>
        <v>0</v>
      </c>
      <c r="E33" s="87">
        <f t="shared" si="0"/>
        <v>0</v>
      </c>
      <c r="F33" s="87">
        <f t="shared" si="0"/>
        <v>273512</v>
      </c>
      <c r="G33" s="87">
        <f t="shared" si="0"/>
        <v>0</v>
      </c>
      <c r="H33" s="87">
        <f t="shared" si="0"/>
        <v>0</v>
      </c>
      <c r="I33" s="158">
        <f t="shared" si="0"/>
        <v>1702942</v>
      </c>
      <c r="J33" s="206">
        <f t="shared" si="0"/>
        <v>1662798</v>
      </c>
    </row>
    <row r="34" spans="1:11" s="35" customFormat="1" x14ac:dyDescent="0.25">
      <c r="A34" s="156" t="s">
        <v>53</v>
      </c>
      <c r="B34" s="87"/>
      <c r="C34" s="87"/>
      <c r="D34" s="87"/>
      <c r="E34" s="87"/>
      <c r="F34" s="87"/>
      <c r="G34" s="87"/>
      <c r="H34" s="87"/>
      <c r="I34" s="158"/>
      <c r="J34" s="206"/>
    </row>
    <row r="35" spans="1:11" s="35" customFormat="1" x14ac:dyDescent="0.25">
      <c r="A35" s="156" t="s">
        <v>137</v>
      </c>
      <c r="B35" s="87"/>
      <c r="C35" s="87">
        <f t="shared" ref="C35:I35" si="1">C29+C33+C34</f>
        <v>2679899</v>
      </c>
      <c r="D35" s="87">
        <f t="shared" si="1"/>
        <v>0</v>
      </c>
      <c r="E35" s="87">
        <f t="shared" si="1"/>
        <v>0</v>
      </c>
      <c r="F35" s="87">
        <f>F27+F33</f>
        <v>517100</v>
      </c>
      <c r="G35" s="87">
        <f t="shared" si="1"/>
        <v>0</v>
      </c>
      <c r="H35" s="87">
        <f t="shared" si="1"/>
        <v>0</v>
      </c>
      <c r="I35" s="160">
        <f t="shared" si="1"/>
        <v>3196999</v>
      </c>
      <c r="J35" s="206">
        <f>J27+J33</f>
        <v>3169758</v>
      </c>
    </row>
    <row r="36" spans="1:11" x14ac:dyDescent="0.25">
      <c r="A36" s="28" t="s">
        <v>32</v>
      </c>
      <c r="B36" s="21"/>
      <c r="C36" s="34">
        <f>730*641</f>
        <v>467930</v>
      </c>
      <c r="D36" s="21"/>
      <c r="E36" s="34"/>
      <c r="F36" s="21">
        <v>93080</v>
      </c>
      <c r="G36" s="21"/>
      <c r="H36" s="33"/>
      <c r="I36" s="557">
        <f>C36+E36+F36</f>
        <v>561010</v>
      </c>
      <c r="J36" s="192">
        <v>564631</v>
      </c>
      <c r="K36" s="558"/>
    </row>
    <row r="37" spans="1:11" x14ac:dyDescent="0.25">
      <c r="A37" s="28" t="s">
        <v>33</v>
      </c>
      <c r="B37" s="109"/>
      <c r="C37" s="21">
        <v>493570</v>
      </c>
      <c r="D37" s="21"/>
      <c r="E37" s="21"/>
      <c r="F37" s="21">
        <v>95944</v>
      </c>
      <c r="G37" s="21"/>
      <c r="H37" s="33"/>
      <c r="I37" s="559">
        <f>C37+E37+F37</f>
        <v>589514</v>
      </c>
      <c r="J37" s="192">
        <v>561010</v>
      </c>
    </row>
    <row r="38" spans="1:11" x14ac:dyDescent="0.25">
      <c r="A38" s="28" t="s">
        <v>34</v>
      </c>
      <c r="B38" s="21"/>
      <c r="C38" s="21">
        <v>485878</v>
      </c>
      <c r="D38" s="21"/>
      <c r="E38" s="21"/>
      <c r="F38" s="21">
        <v>93080</v>
      </c>
      <c r="G38" s="21"/>
      <c r="H38" s="33"/>
      <c r="I38" s="608">
        <f>C38+E38+F38</f>
        <v>578958</v>
      </c>
      <c r="J38" s="192">
        <v>589514</v>
      </c>
    </row>
    <row r="39" spans="1:11" s="252" customFormat="1" x14ac:dyDescent="0.25">
      <c r="A39" s="247" t="s">
        <v>49</v>
      </c>
      <c r="B39" s="248"/>
      <c r="C39" s="248">
        <v>0</v>
      </c>
      <c r="D39" s="248"/>
      <c r="E39" s="248"/>
      <c r="F39" s="248"/>
      <c r="G39" s="248"/>
      <c r="H39" s="249"/>
      <c r="I39" s="250">
        <f>C39+E39+G39</f>
        <v>0</v>
      </c>
      <c r="J39" s="251"/>
    </row>
    <row r="40" spans="1:11" x14ac:dyDescent="0.25">
      <c r="A40" s="86" t="s">
        <v>35</v>
      </c>
      <c r="B40" s="87"/>
      <c r="C40" s="87">
        <f>SUM(C36:C39)</f>
        <v>1447378</v>
      </c>
      <c r="D40" s="87">
        <f>SUM(D36:D38)+D39</f>
        <v>0</v>
      </c>
      <c r="E40" s="87">
        <f>SUM(E36:E39)</f>
        <v>0</v>
      </c>
      <c r="F40" s="87">
        <f>SUM(F36:F38)+F39</f>
        <v>282104</v>
      </c>
      <c r="G40" s="87">
        <f>SUM(G36:G39)</f>
        <v>0</v>
      </c>
      <c r="H40" s="87"/>
      <c r="I40" s="160">
        <f>SUM(I36:I39)</f>
        <v>1729482</v>
      </c>
      <c r="J40" s="198">
        <f>SUM(J36:J39)</f>
        <v>1715155</v>
      </c>
    </row>
    <row r="41" spans="1:11" s="172" customFormat="1" x14ac:dyDescent="0.25">
      <c r="A41" s="86" t="s">
        <v>55</v>
      </c>
      <c r="B41" s="87"/>
      <c r="C41" s="87">
        <f>C35+C40</f>
        <v>4127277</v>
      </c>
      <c r="D41" s="87">
        <f>D35+D39+D40</f>
        <v>0</v>
      </c>
      <c r="E41" s="87">
        <f>E35+E39+E40</f>
        <v>0</v>
      </c>
      <c r="F41" s="87">
        <f>F35+F40</f>
        <v>799204</v>
      </c>
      <c r="G41" s="87">
        <f>G35+G39+G40</f>
        <v>0</v>
      </c>
      <c r="H41" s="87">
        <f>H35+H39+H40</f>
        <v>0</v>
      </c>
      <c r="I41" s="160">
        <f>I35+I40</f>
        <v>4926481</v>
      </c>
      <c r="J41" s="198">
        <f>J27+J33+J40</f>
        <v>4884913</v>
      </c>
    </row>
    <row r="42" spans="1:11" x14ac:dyDescent="0.25">
      <c r="A42" s="28" t="s">
        <v>36</v>
      </c>
      <c r="B42" s="21"/>
      <c r="C42" s="21">
        <v>484596</v>
      </c>
      <c r="D42" s="21"/>
      <c r="E42" s="21"/>
      <c r="F42" s="21">
        <v>89500</v>
      </c>
      <c r="G42" s="21"/>
      <c r="H42" s="29"/>
      <c r="I42" s="569">
        <f>C42+E42+F42</f>
        <v>574096</v>
      </c>
      <c r="J42" s="192">
        <v>578958</v>
      </c>
    </row>
    <row r="43" spans="1:11" x14ac:dyDescent="0.25">
      <c r="A43" s="28" t="s">
        <v>37</v>
      </c>
      <c r="B43" s="21"/>
      <c r="C43" s="109">
        <v>485878</v>
      </c>
      <c r="D43" s="21"/>
      <c r="E43" s="21"/>
      <c r="F43" s="21">
        <v>90216</v>
      </c>
      <c r="G43" s="21"/>
      <c r="H43" s="29"/>
      <c r="I43" s="569">
        <f t="shared" ref="I43:I44" si="2">C43+E43+F43</f>
        <v>576094</v>
      </c>
      <c r="J43" s="192">
        <v>574096</v>
      </c>
    </row>
    <row r="44" spans="1:11" x14ac:dyDescent="0.25">
      <c r="A44" s="28" t="s">
        <v>38</v>
      </c>
      <c r="B44" s="21"/>
      <c r="C44" s="109">
        <v>497416</v>
      </c>
      <c r="D44" s="21"/>
      <c r="E44" s="21"/>
      <c r="F44" s="21">
        <v>95228</v>
      </c>
      <c r="G44" s="207"/>
      <c r="H44" s="29"/>
      <c r="I44" s="569">
        <f t="shared" si="2"/>
        <v>592644</v>
      </c>
      <c r="J44" s="192">
        <v>576094</v>
      </c>
    </row>
    <row r="45" spans="1:11" x14ac:dyDescent="0.25">
      <c r="A45" s="28" t="s">
        <v>57</v>
      </c>
      <c r="B45" s="21"/>
      <c r="C45" s="21"/>
      <c r="D45" s="21"/>
      <c r="E45" s="21"/>
      <c r="F45" s="21"/>
      <c r="G45" s="21"/>
      <c r="H45" s="29"/>
      <c r="I45" s="82">
        <f t="shared" ref="I45" si="3">C45+E45+G45</f>
        <v>0</v>
      </c>
      <c r="J45" s="192"/>
    </row>
    <row r="46" spans="1:11" x14ac:dyDescent="0.25">
      <c r="A46" s="30" t="s">
        <v>40</v>
      </c>
      <c r="B46" s="31"/>
      <c r="C46" s="31">
        <f>SUM(C42:C45)</f>
        <v>1467890</v>
      </c>
      <c r="D46" s="31">
        <f>SUM(D42:D45)</f>
        <v>0</v>
      </c>
      <c r="E46" s="31">
        <f>SUM(E42:E45)</f>
        <v>0</v>
      </c>
      <c r="F46" s="31">
        <f>SUM(F42:F45)</f>
        <v>274944</v>
      </c>
      <c r="G46" s="31">
        <f t="shared" ref="G46:I46" si="4">SUM(G42:G45)</f>
        <v>0</v>
      </c>
      <c r="H46" s="31">
        <f t="shared" si="4"/>
        <v>0</v>
      </c>
      <c r="I46" s="81">
        <f t="shared" si="4"/>
        <v>1742834</v>
      </c>
      <c r="J46" s="200">
        <f>SUM(J42:J44)</f>
        <v>1729148</v>
      </c>
    </row>
    <row r="47" spans="1:11" x14ac:dyDescent="0.25">
      <c r="A47" s="161" t="s">
        <v>95</v>
      </c>
      <c r="B47" s="162"/>
      <c r="C47" s="162">
        <f>C41+C46</f>
        <v>5595167</v>
      </c>
      <c r="D47" s="162">
        <f>D35+D40</f>
        <v>0</v>
      </c>
      <c r="E47" s="162">
        <f>E41+E46</f>
        <v>0</v>
      </c>
      <c r="F47" s="162">
        <f>F41+F46</f>
        <v>1074148</v>
      </c>
      <c r="G47" s="162">
        <f>G35+G40+G46</f>
        <v>0</v>
      </c>
      <c r="H47" s="162">
        <f>H27+H33+H40+H46</f>
        <v>0</v>
      </c>
      <c r="I47" s="163">
        <f>C47+E47+G47</f>
        <v>5595167</v>
      </c>
      <c r="J47" s="369">
        <f>J41+J46</f>
        <v>6614061</v>
      </c>
    </row>
    <row r="48" spans="1:11" x14ac:dyDescent="0.25">
      <c r="A48" s="150" t="s">
        <v>96</v>
      </c>
      <c r="B48" s="151"/>
      <c r="C48" s="159">
        <v>5597900</v>
      </c>
      <c r="D48" s="159">
        <v>0</v>
      </c>
      <c r="E48" s="159">
        <v>0</v>
      </c>
      <c r="F48" s="159">
        <v>1079316</v>
      </c>
      <c r="G48" s="159"/>
      <c r="H48" s="159">
        <v>0</v>
      </c>
      <c r="I48" s="164">
        <f>C48+F48+H48</f>
        <v>6677216</v>
      </c>
      <c r="J48" s="205">
        <f>6037967+576094</f>
        <v>6614061</v>
      </c>
    </row>
    <row r="49" spans="1:10" s="35" customFormat="1" ht="15.75" thickBot="1" x14ac:dyDescent="0.3">
      <c r="A49" s="90" t="s">
        <v>138</v>
      </c>
      <c r="B49" s="91"/>
      <c r="C49" s="92">
        <f>C48-C47</f>
        <v>2733</v>
      </c>
      <c r="D49" s="92"/>
      <c r="E49" s="92">
        <f>E48-E47</f>
        <v>0</v>
      </c>
      <c r="F49" s="92">
        <f>F48-F47</f>
        <v>5168</v>
      </c>
      <c r="G49" s="92">
        <f>G48-G47</f>
        <v>0</v>
      </c>
      <c r="H49" s="92">
        <v>0</v>
      </c>
      <c r="I49" s="89">
        <f>C49+F49</f>
        <v>7901</v>
      </c>
      <c r="J49" s="201">
        <f>J48-J47</f>
        <v>0</v>
      </c>
    </row>
    <row r="50" spans="1:10" x14ac:dyDescent="0.25">
      <c r="C50" s="20"/>
      <c r="D50" s="20"/>
      <c r="E50" s="20"/>
      <c r="F50" s="20"/>
      <c r="G50" s="20"/>
      <c r="H50" s="20"/>
      <c r="I50" s="38"/>
      <c r="J50" s="38"/>
    </row>
    <row r="51" spans="1:10" x14ac:dyDescent="0.25">
      <c r="B51" s="9"/>
      <c r="C51" s="20"/>
      <c r="D51" s="20"/>
      <c r="E51" s="20"/>
      <c r="F51" s="20"/>
      <c r="G51" s="20"/>
      <c r="H51" s="20"/>
      <c r="I51" s="20"/>
      <c r="J51" s="20"/>
    </row>
    <row r="52" spans="1:10" s="39" customFormat="1" ht="12.75" x14ac:dyDescent="0.2">
      <c r="B52" s="40"/>
      <c r="C52" s="41"/>
      <c r="D52" s="41"/>
      <c r="E52" s="41"/>
      <c r="F52" s="41"/>
      <c r="G52" s="41"/>
      <c r="H52" s="41"/>
      <c r="I52" s="42"/>
      <c r="J52" s="42"/>
    </row>
    <row r="53" spans="1:10" x14ac:dyDescent="0.25">
      <c r="B53" s="9"/>
      <c r="C53" s="20"/>
      <c r="D53" s="20"/>
      <c r="E53" s="20"/>
      <c r="F53" s="20"/>
      <c r="H53" s="23"/>
      <c r="I53" s="20"/>
      <c r="J53" s="20"/>
    </row>
    <row r="54" spans="1:10" x14ac:dyDescent="0.25">
      <c r="B54" s="9"/>
      <c r="C54" s="36"/>
      <c r="D54" s="189"/>
      <c r="E54" s="20"/>
      <c r="F54" s="189"/>
      <c r="G54" s="23"/>
      <c r="H54" s="23"/>
      <c r="I54" s="20"/>
      <c r="J54" s="20"/>
    </row>
    <row r="55" spans="1:10" x14ac:dyDescent="0.25">
      <c r="B55" s="9"/>
      <c r="C55" s="9"/>
      <c r="D55" s="9"/>
      <c r="E55" s="9"/>
      <c r="F55" s="9"/>
      <c r="I55" s="20"/>
      <c r="J55" s="20"/>
    </row>
    <row r="56" spans="1:10" x14ac:dyDescent="0.25">
      <c r="E56" s="20"/>
      <c r="F56" s="20"/>
    </row>
    <row r="57" spans="1:10" x14ac:dyDescent="0.25">
      <c r="D57" s="44"/>
      <c r="E57" s="20"/>
      <c r="F57" s="20"/>
      <c r="H57" s="23"/>
      <c r="I57" s="20"/>
      <c r="J57" s="20"/>
    </row>
    <row r="58" spans="1:10" x14ac:dyDescent="0.25">
      <c r="F58" s="20"/>
      <c r="H58" s="23"/>
      <c r="I58" s="20"/>
      <c r="J58" s="20"/>
    </row>
    <row r="59" spans="1:10" x14ac:dyDescent="0.25">
      <c r="D59" s="43"/>
      <c r="F59" s="20"/>
      <c r="G59" s="20"/>
      <c r="H59" s="20"/>
    </row>
    <row r="60" spans="1:10" x14ac:dyDescent="0.25">
      <c r="C60" s="20"/>
      <c r="D60" s="189"/>
    </row>
    <row r="61" spans="1:10" x14ac:dyDescent="0.25">
      <c r="C61" s="20"/>
      <c r="D61" s="20"/>
      <c r="E61" s="20"/>
      <c r="F61" s="20"/>
      <c r="H61" s="23"/>
      <c r="I61"/>
      <c r="J61"/>
    </row>
    <row r="64" spans="1:10" x14ac:dyDescent="0.25">
      <c r="D64" s="20"/>
      <c r="E64" s="20"/>
      <c r="F64" s="20"/>
      <c r="I64"/>
      <c r="J64"/>
    </row>
    <row r="66" spans="8:10" x14ac:dyDescent="0.25">
      <c r="H66" s="23"/>
      <c r="I66"/>
      <c r="J66"/>
    </row>
  </sheetData>
  <mergeCells count="8">
    <mergeCell ref="B4:H4"/>
    <mergeCell ref="B22:C22"/>
    <mergeCell ref="D22:E22"/>
    <mergeCell ref="F22:G22"/>
    <mergeCell ref="H22:I22"/>
    <mergeCell ref="B5:C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6"/>
  <sheetViews>
    <sheetView topLeftCell="A24" workbookViewId="0">
      <selection activeCell="O51" sqref="O51"/>
    </sheetView>
  </sheetViews>
  <sheetFormatPr defaultRowHeight="15" x14ac:dyDescent="0.25"/>
  <cols>
    <col min="1" max="1" width="24.85546875" customWidth="1"/>
    <col min="2" max="2" width="11.7109375" customWidth="1"/>
    <col min="3" max="3" width="12.7109375" style="188" customWidth="1"/>
    <col min="4" max="4" width="11.85546875" style="188" customWidth="1"/>
    <col min="5" max="5" width="11" style="188" customWidth="1"/>
    <col min="6" max="6" width="14" style="188" customWidth="1"/>
    <col min="7" max="7" width="10.7109375" style="37" customWidth="1"/>
    <col min="8" max="8" width="9.28515625" style="37" customWidth="1"/>
    <col min="9" max="9" width="14.28515625" style="188" customWidth="1"/>
    <col min="10" max="10" width="14.5703125" style="188" customWidth="1"/>
    <col min="251" max="251" width="21.7109375" customWidth="1"/>
    <col min="252" max="252" width="16.85546875" customWidth="1"/>
    <col min="253" max="253" width="12" customWidth="1"/>
    <col min="254" max="254" width="11.5703125" customWidth="1"/>
    <col min="255" max="255" width="12.140625" customWidth="1"/>
    <col min="256" max="257" width="13" customWidth="1"/>
    <col min="258" max="258" width="11.85546875" customWidth="1"/>
    <col min="259" max="259" width="14.5703125" customWidth="1"/>
    <col min="260" max="260" width="13.7109375" customWidth="1"/>
    <col min="261" max="262" width="11.7109375" bestFit="1" customWidth="1"/>
    <col min="263" max="263" width="9.7109375" bestFit="1" customWidth="1"/>
    <col min="264" max="264" width="11.7109375" bestFit="1" customWidth="1"/>
    <col min="507" max="507" width="21.7109375" customWidth="1"/>
    <col min="508" max="508" width="16.85546875" customWidth="1"/>
    <col min="509" max="509" width="12" customWidth="1"/>
    <col min="510" max="510" width="11.5703125" customWidth="1"/>
    <col min="511" max="511" width="12.140625" customWidth="1"/>
    <col min="512" max="513" width="13" customWidth="1"/>
    <col min="514" max="514" width="11.85546875" customWidth="1"/>
    <col min="515" max="515" width="14.5703125" customWidth="1"/>
    <col min="516" max="516" width="13.7109375" customWidth="1"/>
    <col min="517" max="518" width="11.7109375" bestFit="1" customWidth="1"/>
    <col min="519" max="519" width="9.7109375" bestFit="1" customWidth="1"/>
    <col min="520" max="520" width="11.7109375" bestFit="1" customWidth="1"/>
    <col min="763" max="763" width="21.7109375" customWidth="1"/>
    <col min="764" max="764" width="16.85546875" customWidth="1"/>
    <col min="765" max="765" width="12" customWidth="1"/>
    <col min="766" max="766" width="11.5703125" customWidth="1"/>
    <col min="767" max="767" width="12.140625" customWidth="1"/>
    <col min="768" max="769" width="13" customWidth="1"/>
    <col min="770" max="770" width="11.85546875" customWidth="1"/>
    <col min="771" max="771" width="14.5703125" customWidth="1"/>
    <col min="772" max="772" width="13.7109375" customWidth="1"/>
    <col min="773" max="774" width="11.7109375" bestFit="1" customWidth="1"/>
    <col min="775" max="775" width="9.7109375" bestFit="1" customWidth="1"/>
    <col min="776" max="776" width="11.7109375" bestFit="1" customWidth="1"/>
    <col min="1019" max="1019" width="21.7109375" customWidth="1"/>
    <col min="1020" max="1020" width="16.85546875" customWidth="1"/>
    <col min="1021" max="1021" width="12" customWidth="1"/>
    <col min="1022" max="1022" width="11.5703125" customWidth="1"/>
    <col min="1023" max="1023" width="12.140625" customWidth="1"/>
    <col min="1024" max="1025" width="13" customWidth="1"/>
    <col min="1026" max="1026" width="11.85546875" customWidth="1"/>
    <col min="1027" max="1027" width="14.5703125" customWidth="1"/>
    <col min="1028" max="1028" width="13.7109375" customWidth="1"/>
    <col min="1029" max="1030" width="11.7109375" bestFit="1" customWidth="1"/>
    <col min="1031" max="1031" width="9.7109375" bestFit="1" customWidth="1"/>
    <col min="1032" max="1032" width="11.7109375" bestFit="1" customWidth="1"/>
    <col min="1275" max="1275" width="21.7109375" customWidth="1"/>
    <col min="1276" max="1276" width="16.85546875" customWidth="1"/>
    <col min="1277" max="1277" width="12" customWidth="1"/>
    <col min="1278" max="1278" width="11.5703125" customWidth="1"/>
    <col min="1279" max="1279" width="12.140625" customWidth="1"/>
    <col min="1280" max="1281" width="13" customWidth="1"/>
    <col min="1282" max="1282" width="11.85546875" customWidth="1"/>
    <col min="1283" max="1283" width="14.5703125" customWidth="1"/>
    <col min="1284" max="1284" width="13.7109375" customWidth="1"/>
    <col min="1285" max="1286" width="11.7109375" bestFit="1" customWidth="1"/>
    <col min="1287" max="1287" width="9.7109375" bestFit="1" customWidth="1"/>
    <col min="1288" max="1288" width="11.7109375" bestFit="1" customWidth="1"/>
    <col min="1531" max="1531" width="21.7109375" customWidth="1"/>
    <col min="1532" max="1532" width="16.85546875" customWidth="1"/>
    <col min="1533" max="1533" width="12" customWidth="1"/>
    <col min="1534" max="1534" width="11.5703125" customWidth="1"/>
    <col min="1535" max="1535" width="12.140625" customWidth="1"/>
    <col min="1536" max="1537" width="13" customWidth="1"/>
    <col min="1538" max="1538" width="11.85546875" customWidth="1"/>
    <col min="1539" max="1539" width="14.5703125" customWidth="1"/>
    <col min="1540" max="1540" width="13.7109375" customWidth="1"/>
    <col min="1541" max="1542" width="11.7109375" bestFit="1" customWidth="1"/>
    <col min="1543" max="1543" width="9.7109375" bestFit="1" customWidth="1"/>
    <col min="1544" max="1544" width="11.7109375" bestFit="1" customWidth="1"/>
    <col min="1787" max="1787" width="21.7109375" customWidth="1"/>
    <col min="1788" max="1788" width="16.85546875" customWidth="1"/>
    <col min="1789" max="1789" width="12" customWidth="1"/>
    <col min="1790" max="1790" width="11.5703125" customWidth="1"/>
    <col min="1791" max="1791" width="12.140625" customWidth="1"/>
    <col min="1792" max="1793" width="13" customWidth="1"/>
    <col min="1794" max="1794" width="11.85546875" customWidth="1"/>
    <col min="1795" max="1795" width="14.5703125" customWidth="1"/>
    <col min="1796" max="1796" width="13.7109375" customWidth="1"/>
    <col min="1797" max="1798" width="11.7109375" bestFit="1" customWidth="1"/>
    <col min="1799" max="1799" width="9.7109375" bestFit="1" customWidth="1"/>
    <col min="1800" max="1800" width="11.7109375" bestFit="1" customWidth="1"/>
    <col min="2043" max="2043" width="21.7109375" customWidth="1"/>
    <col min="2044" max="2044" width="16.85546875" customWidth="1"/>
    <col min="2045" max="2045" width="12" customWidth="1"/>
    <col min="2046" max="2046" width="11.5703125" customWidth="1"/>
    <col min="2047" max="2047" width="12.140625" customWidth="1"/>
    <col min="2048" max="2049" width="13" customWidth="1"/>
    <col min="2050" max="2050" width="11.85546875" customWidth="1"/>
    <col min="2051" max="2051" width="14.5703125" customWidth="1"/>
    <col min="2052" max="2052" width="13.7109375" customWidth="1"/>
    <col min="2053" max="2054" width="11.7109375" bestFit="1" customWidth="1"/>
    <col min="2055" max="2055" width="9.7109375" bestFit="1" customWidth="1"/>
    <col min="2056" max="2056" width="11.7109375" bestFit="1" customWidth="1"/>
    <col min="2299" max="2299" width="21.7109375" customWidth="1"/>
    <col min="2300" max="2300" width="16.85546875" customWidth="1"/>
    <col min="2301" max="2301" width="12" customWidth="1"/>
    <col min="2302" max="2302" width="11.5703125" customWidth="1"/>
    <col min="2303" max="2303" width="12.140625" customWidth="1"/>
    <col min="2304" max="2305" width="13" customWidth="1"/>
    <col min="2306" max="2306" width="11.85546875" customWidth="1"/>
    <col min="2307" max="2307" width="14.5703125" customWidth="1"/>
    <col min="2308" max="2308" width="13.7109375" customWidth="1"/>
    <col min="2309" max="2310" width="11.7109375" bestFit="1" customWidth="1"/>
    <col min="2311" max="2311" width="9.7109375" bestFit="1" customWidth="1"/>
    <col min="2312" max="2312" width="11.7109375" bestFit="1" customWidth="1"/>
    <col min="2555" max="2555" width="21.7109375" customWidth="1"/>
    <col min="2556" max="2556" width="16.85546875" customWidth="1"/>
    <col min="2557" max="2557" width="12" customWidth="1"/>
    <col min="2558" max="2558" width="11.5703125" customWidth="1"/>
    <col min="2559" max="2559" width="12.140625" customWidth="1"/>
    <col min="2560" max="2561" width="13" customWidth="1"/>
    <col min="2562" max="2562" width="11.85546875" customWidth="1"/>
    <col min="2563" max="2563" width="14.5703125" customWidth="1"/>
    <col min="2564" max="2564" width="13.7109375" customWidth="1"/>
    <col min="2565" max="2566" width="11.7109375" bestFit="1" customWidth="1"/>
    <col min="2567" max="2567" width="9.7109375" bestFit="1" customWidth="1"/>
    <col min="2568" max="2568" width="11.7109375" bestFit="1" customWidth="1"/>
    <col min="2811" max="2811" width="21.7109375" customWidth="1"/>
    <col min="2812" max="2812" width="16.85546875" customWidth="1"/>
    <col min="2813" max="2813" width="12" customWidth="1"/>
    <col min="2814" max="2814" width="11.5703125" customWidth="1"/>
    <col min="2815" max="2815" width="12.140625" customWidth="1"/>
    <col min="2816" max="2817" width="13" customWidth="1"/>
    <col min="2818" max="2818" width="11.85546875" customWidth="1"/>
    <col min="2819" max="2819" width="14.5703125" customWidth="1"/>
    <col min="2820" max="2820" width="13.7109375" customWidth="1"/>
    <col min="2821" max="2822" width="11.7109375" bestFit="1" customWidth="1"/>
    <col min="2823" max="2823" width="9.7109375" bestFit="1" customWidth="1"/>
    <col min="2824" max="2824" width="11.7109375" bestFit="1" customWidth="1"/>
    <col min="3067" max="3067" width="21.7109375" customWidth="1"/>
    <col min="3068" max="3068" width="16.85546875" customWidth="1"/>
    <col min="3069" max="3069" width="12" customWidth="1"/>
    <col min="3070" max="3070" width="11.5703125" customWidth="1"/>
    <col min="3071" max="3071" width="12.140625" customWidth="1"/>
    <col min="3072" max="3073" width="13" customWidth="1"/>
    <col min="3074" max="3074" width="11.85546875" customWidth="1"/>
    <col min="3075" max="3075" width="14.5703125" customWidth="1"/>
    <col min="3076" max="3076" width="13.7109375" customWidth="1"/>
    <col min="3077" max="3078" width="11.7109375" bestFit="1" customWidth="1"/>
    <col min="3079" max="3079" width="9.7109375" bestFit="1" customWidth="1"/>
    <col min="3080" max="3080" width="11.7109375" bestFit="1" customWidth="1"/>
    <col min="3323" max="3323" width="21.7109375" customWidth="1"/>
    <col min="3324" max="3324" width="16.85546875" customWidth="1"/>
    <col min="3325" max="3325" width="12" customWidth="1"/>
    <col min="3326" max="3326" width="11.5703125" customWidth="1"/>
    <col min="3327" max="3327" width="12.140625" customWidth="1"/>
    <col min="3328" max="3329" width="13" customWidth="1"/>
    <col min="3330" max="3330" width="11.85546875" customWidth="1"/>
    <col min="3331" max="3331" width="14.5703125" customWidth="1"/>
    <col min="3332" max="3332" width="13.7109375" customWidth="1"/>
    <col min="3333" max="3334" width="11.7109375" bestFit="1" customWidth="1"/>
    <col min="3335" max="3335" width="9.7109375" bestFit="1" customWidth="1"/>
    <col min="3336" max="3336" width="11.7109375" bestFit="1" customWidth="1"/>
    <col min="3579" max="3579" width="21.7109375" customWidth="1"/>
    <col min="3580" max="3580" width="16.85546875" customWidth="1"/>
    <col min="3581" max="3581" width="12" customWidth="1"/>
    <col min="3582" max="3582" width="11.5703125" customWidth="1"/>
    <col min="3583" max="3583" width="12.140625" customWidth="1"/>
    <col min="3584" max="3585" width="13" customWidth="1"/>
    <col min="3586" max="3586" width="11.85546875" customWidth="1"/>
    <col min="3587" max="3587" width="14.5703125" customWidth="1"/>
    <col min="3588" max="3588" width="13.7109375" customWidth="1"/>
    <col min="3589" max="3590" width="11.7109375" bestFit="1" customWidth="1"/>
    <col min="3591" max="3591" width="9.7109375" bestFit="1" customWidth="1"/>
    <col min="3592" max="3592" width="11.7109375" bestFit="1" customWidth="1"/>
    <col min="3835" max="3835" width="21.7109375" customWidth="1"/>
    <col min="3836" max="3836" width="16.85546875" customWidth="1"/>
    <col min="3837" max="3837" width="12" customWidth="1"/>
    <col min="3838" max="3838" width="11.5703125" customWidth="1"/>
    <col min="3839" max="3839" width="12.140625" customWidth="1"/>
    <col min="3840" max="3841" width="13" customWidth="1"/>
    <col min="3842" max="3842" width="11.85546875" customWidth="1"/>
    <col min="3843" max="3843" width="14.5703125" customWidth="1"/>
    <col min="3844" max="3844" width="13.7109375" customWidth="1"/>
    <col min="3845" max="3846" width="11.7109375" bestFit="1" customWidth="1"/>
    <col min="3847" max="3847" width="9.7109375" bestFit="1" customWidth="1"/>
    <col min="3848" max="3848" width="11.7109375" bestFit="1" customWidth="1"/>
    <col min="4091" max="4091" width="21.7109375" customWidth="1"/>
    <col min="4092" max="4092" width="16.85546875" customWidth="1"/>
    <col min="4093" max="4093" width="12" customWidth="1"/>
    <col min="4094" max="4094" width="11.5703125" customWidth="1"/>
    <col min="4095" max="4095" width="12.140625" customWidth="1"/>
    <col min="4096" max="4097" width="13" customWidth="1"/>
    <col min="4098" max="4098" width="11.85546875" customWidth="1"/>
    <col min="4099" max="4099" width="14.5703125" customWidth="1"/>
    <col min="4100" max="4100" width="13.7109375" customWidth="1"/>
    <col min="4101" max="4102" width="11.7109375" bestFit="1" customWidth="1"/>
    <col min="4103" max="4103" width="9.7109375" bestFit="1" customWidth="1"/>
    <col min="4104" max="4104" width="11.7109375" bestFit="1" customWidth="1"/>
    <col min="4347" max="4347" width="21.7109375" customWidth="1"/>
    <col min="4348" max="4348" width="16.85546875" customWidth="1"/>
    <col min="4349" max="4349" width="12" customWidth="1"/>
    <col min="4350" max="4350" width="11.5703125" customWidth="1"/>
    <col min="4351" max="4351" width="12.140625" customWidth="1"/>
    <col min="4352" max="4353" width="13" customWidth="1"/>
    <col min="4354" max="4354" width="11.85546875" customWidth="1"/>
    <col min="4355" max="4355" width="14.5703125" customWidth="1"/>
    <col min="4356" max="4356" width="13.7109375" customWidth="1"/>
    <col min="4357" max="4358" width="11.7109375" bestFit="1" customWidth="1"/>
    <col min="4359" max="4359" width="9.7109375" bestFit="1" customWidth="1"/>
    <col min="4360" max="4360" width="11.7109375" bestFit="1" customWidth="1"/>
    <col min="4603" max="4603" width="21.7109375" customWidth="1"/>
    <col min="4604" max="4604" width="16.85546875" customWidth="1"/>
    <col min="4605" max="4605" width="12" customWidth="1"/>
    <col min="4606" max="4606" width="11.5703125" customWidth="1"/>
    <col min="4607" max="4607" width="12.140625" customWidth="1"/>
    <col min="4608" max="4609" width="13" customWidth="1"/>
    <col min="4610" max="4610" width="11.85546875" customWidth="1"/>
    <col min="4611" max="4611" width="14.5703125" customWidth="1"/>
    <col min="4612" max="4612" width="13.7109375" customWidth="1"/>
    <col min="4613" max="4614" width="11.7109375" bestFit="1" customWidth="1"/>
    <col min="4615" max="4615" width="9.7109375" bestFit="1" customWidth="1"/>
    <col min="4616" max="4616" width="11.7109375" bestFit="1" customWidth="1"/>
    <col min="4859" max="4859" width="21.7109375" customWidth="1"/>
    <col min="4860" max="4860" width="16.85546875" customWidth="1"/>
    <col min="4861" max="4861" width="12" customWidth="1"/>
    <col min="4862" max="4862" width="11.5703125" customWidth="1"/>
    <col min="4863" max="4863" width="12.140625" customWidth="1"/>
    <col min="4864" max="4865" width="13" customWidth="1"/>
    <col min="4866" max="4866" width="11.85546875" customWidth="1"/>
    <col min="4867" max="4867" width="14.5703125" customWidth="1"/>
    <col min="4868" max="4868" width="13.7109375" customWidth="1"/>
    <col min="4869" max="4870" width="11.7109375" bestFit="1" customWidth="1"/>
    <col min="4871" max="4871" width="9.7109375" bestFit="1" customWidth="1"/>
    <col min="4872" max="4872" width="11.7109375" bestFit="1" customWidth="1"/>
    <col min="5115" max="5115" width="21.7109375" customWidth="1"/>
    <col min="5116" max="5116" width="16.85546875" customWidth="1"/>
    <col min="5117" max="5117" width="12" customWidth="1"/>
    <col min="5118" max="5118" width="11.5703125" customWidth="1"/>
    <col min="5119" max="5119" width="12.140625" customWidth="1"/>
    <col min="5120" max="5121" width="13" customWidth="1"/>
    <col min="5122" max="5122" width="11.85546875" customWidth="1"/>
    <col min="5123" max="5123" width="14.5703125" customWidth="1"/>
    <col min="5124" max="5124" width="13.7109375" customWidth="1"/>
    <col min="5125" max="5126" width="11.7109375" bestFit="1" customWidth="1"/>
    <col min="5127" max="5127" width="9.7109375" bestFit="1" customWidth="1"/>
    <col min="5128" max="5128" width="11.7109375" bestFit="1" customWidth="1"/>
    <col min="5371" max="5371" width="21.7109375" customWidth="1"/>
    <col min="5372" max="5372" width="16.85546875" customWidth="1"/>
    <col min="5373" max="5373" width="12" customWidth="1"/>
    <col min="5374" max="5374" width="11.5703125" customWidth="1"/>
    <col min="5375" max="5375" width="12.140625" customWidth="1"/>
    <col min="5376" max="5377" width="13" customWidth="1"/>
    <col min="5378" max="5378" width="11.85546875" customWidth="1"/>
    <col min="5379" max="5379" width="14.5703125" customWidth="1"/>
    <col min="5380" max="5380" width="13.7109375" customWidth="1"/>
    <col min="5381" max="5382" width="11.7109375" bestFit="1" customWidth="1"/>
    <col min="5383" max="5383" width="9.7109375" bestFit="1" customWidth="1"/>
    <col min="5384" max="5384" width="11.7109375" bestFit="1" customWidth="1"/>
    <col min="5627" max="5627" width="21.7109375" customWidth="1"/>
    <col min="5628" max="5628" width="16.85546875" customWidth="1"/>
    <col min="5629" max="5629" width="12" customWidth="1"/>
    <col min="5630" max="5630" width="11.5703125" customWidth="1"/>
    <col min="5631" max="5631" width="12.140625" customWidth="1"/>
    <col min="5632" max="5633" width="13" customWidth="1"/>
    <col min="5634" max="5634" width="11.85546875" customWidth="1"/>
    <col min="5635" max="5635" width="14.5703125" customWidth="1"/>
    <col min="5636" max="5636" width="13.7109375" customWidth="1"/>
    <col min="5637" max="5638" width="11.7109375" bestFit="1" customWidth="1"/>
    <col min="5639" max="5639" width="9.7109375" bestFit="1" customWidth="1"/>
    <col min="5640" max="5640" width="11.7109375" bestFit="1" customWidth="1"/>
    <col min="5883" max="5883" width="21.7109375" customWidth="1"/>
    <col min="5884" max="5884" width="16.85546875" customWidth="1"/>
    <col min="5885" max="5885" width="12" customWidth="1"/>
    <col min="5886" max="5886" width="11.5703125" customWidth="1"/>
    <col min="5887" max="5887" width="12.140625" customWidth="1"/>
    <col min="5888" max="5889" width="13" customWidth="1"/>
    <col min="5890" max="5890" width="11.85546875" customWidth="1"/>
    <col min="5891" max="5891" width="14.5703125" customWidth="1"/>
    <col min="5892" max="5892" width="13.7109375" customWidth="1"/>
    <col min="5893" max="5894" width="11.7109375" bestFit="1" customWidth="1"/>
    <col min="5895" max="5895" width="9.7109375" bestFit="1" customWidth="1"/>
    <col min="5896" max="5896" width="11.7109375" bestFit="1" customWidth="1"/>
    <col min="6139" max="6139" width="21.7109375" customWidth="1"/>
    <col min="6140" max="6140" width="16.85546875" customWidth="1"/>
    <col min="6141" max="6141" width="12" customWidth="1"/>
    <col min="6142" max="6142" width="11.5703125" customWidth="1"/>
    <col min="6143" max="6143" width="12.140625" customWidth="1"/>
    <col min="6144" max="6145" width="13" customWidth="1"/>
    <col min="6146" max="6146" width="11.85546875" customWidth="1"/>
    <col min="6147" max="6147" width="14.5703125" customWidth="1"/>
    <col min="6148" max="6148" width="13.7109375" customWidth="1"/>
    <col min="6149" max="6150" width="11.7109375" bestFit="1" customWidth="1"/>
    <col min="6151" max="6151" width="9.7109375" bestFit="1" customWidth="1"/>
    <col min="6152" max="6152" width="11.7109375" bestFit="1" customWidth="1"/>
    <col min="6395" max="6395" width="21.7109375" customWidth="1"/>
    <col min="6396" max="6396" width="16.85546875" customWidth="1"/>
    <col min="6397" max="6397" width="12" customWidth="1"/>
    <col min="6398" max="6398" width="11.5703125" customWidth="1"/>
    <col min="6399" max="6399" width="12.140625" customWidth="1"/>
    <col min="6400" max="6401" width="13" customWidth="1"/>
    <col min="6402" max="6402" width="11.85546875" customWidth="1"/>
    <col min="6403" max="6403" width="14.5703125" customWidth="1"/>
    <col min="6404" max="6404" width="13.7109375" customWidth="1"/>
    <col min="6405" max="6406" width="11.7109375" bestFit="1" customWidth="1"/>
    <col min="6407" max="6407" width="9.7109375" bestFit="1" customWidth="1"/>
    <col min="6408" max="6408" width="11.7109375" bestFit="1" customWidth="1"/>
    <col min="6651" max="6651" width="21.7109375" customWidth="1"/>
    <col min="6652" max="6652" width="16.85546875" customWidth="1"/>
    <col min="6653" max="6653" width="12" customWidth="1"/>
    <col min="6654" max="6654" width="11.5703125" customWidth="1"/>
    <col min="6655" max="6655" width="12.140625" customWidth="1"/>
    <col min="6656" max="6657" width="13" customWidth="1"/>
    <col min="6658" max="6658" width="11.85546875" customWidth="1"/>
    <col min="6659" max="6659" width="14.5703125" customWidth="1"/>
    <col min="6660" max="6660" width="13.7109375" customWidth="1"/>
    <col min="6661" max="6662" width="11.7109375" bestFit="1" customWidth="1"/>
    <col min="6663" max="6663" width="9.7109375" bestFit="1" customWidth="1"/>
    <col min="6664" max="6664" width="11.7109375" bestFit="1" customWidth="1"/>
    <col min="6907" max="6907" width="21.7109375" customWidth="1"/>
    <col min="6908" max="6908" width="16.85546875" customWidth="1"/>
    <col min="6909" max="6909" width="12" customWidth="1"/>
    <col min="6910" max="6910" width="11.5703125" customWidth="1"/>
    <col min="6911" max="6911" width="12.140625" customWidth="1"/>
    <col min="6912" max="6913" width="13" customWidth="1"/>
    <col min="6914" max="6914" width="11.85546875" customWidth="1"/>
    <col min="6915" max="6915" width="14.5703125" customWidth="1"/>
    <col min="6916" max="6916" width="13.7109375" customWidth="1"/>
    <col min="6917" max="6918" width="11.7109375" bestFit="1" customWidth="1"/>
    <col min="6919" max="6919" width="9.7109375" bestFit="1" customWidth="1"/>
    <col min="6920" max="6920" width="11.7109375" bestFit="1" customWidth="1"/>
    <col min="7163" max="7163" width="21.7109375" customWidth="1"/>
    <col min="7164" max="7164" width="16.85546875" customWidth="1"/>
    <col min="7165" max="7165" width="12" customWidth="1"/>
    <col min="7166" max="7166" width="11.5703125" customWidth="1"/>
    <col min="7167" max="7167" width="12.140625" customWidth="1"/>
    <col min="7168" max="7169" width="13" customWidth="1"/>
    <col min="7170" max="7170" width="11.85546875" customWidth="1"/>
    <col min="7171" max="7171" width="14.5703125" customWidth="1"/>
    <col min="7172" max="7172" width="13.7109375" customWidth="1"/>
    <col min="7173" max="7174" width="11.7109375" bestFit="1" customWidth="1"/>
    <col min="7175" max="7175" width="9.7109375" bestFit="1" customWidth="1"/>
    <col min="7176" max="7176" width="11.7109375" bestFit="1" customWidth="1"/>
    <col min="7419" max="7419" width="21.7109375" customWidth="1"/>
    <col min="7420" max="7420" width="16.85546875" customWidth="1"/>
    <col min="7421" max="7421" width="12" customWidth="1"/>
    <col min="7422" max="7422" width="11.5703125" customWidth="1"/>
    <col min="7423" max="7423" width="12.140625" customWidth="1"/>
    <col min="7424" max="7425" width="13" customWidth="1"/>
    <col min="7426" max="7426" width="11.85546875" customWidth="1"/>
    <col min="7427" max="7427" width="14.5703125" customWidth="1"/>
    <col min="7428" max="7428" width="13.7109375" customWidth="1"/>
    <col min="7429" max="7430" width="11.7109375" bestFit="1" customWidth="1"/>
    <col min="7431" max="7431" width="9.7109375" bestFit="1" customWidth="1"/>
    <col min="7432" max="7432" width="11.7109375" bestFit="1" customWidth="1"/>
    <col min="7675" max="7675" width="21.7109375" customWidth="1"/>
    <col min="7676" max="7676" width="16.85546875" customWidth="1"/>
    <col min="7677" max="7677" width="12" customWidth="1"/>
    <col min="7678" max="7678" width="11.5703125" customWidth="1"/>
    <col min="7679" max="7679" width="12.140625" customWidth="1"/>
    <col min="7680" max="7681" width="13" customWidth="1"/>
    <col min="7682" max="7682" width="11.85546875" customWidth="1"/>
    <col min="7683" max="7683" width="14.5703125" customWidth="1"/>
    <col min="7684" max="7684" width="13.7109375" customWidth="1"/>
    <col min="7685" max="7686" width="11.7109375" bestFit="1" customWidth="1"/>
    <col min="7687" max="7687" width="9.7109375" bestFit="1" customWidth="1"/>
    <col min="7688" max="7688" width="11.7109375" bestFit="1" customWidth="1"/>
    <col min="7931" max="7931" width="21.7109375" customWidth="1"/>
    <col min="7932" max="7932" width="16.85546875" customWidth="1"/>
    <col min="7933" max="7933" width="12" customWidth="1"/>
    <col min="7934" max="7934" width="11.5703125" customWidth="1"/>
    <col min="7935" max="7935" width="12.140625" customWidth="1"/>
    <col min="7936" max="7937" width="13" customWidth="1"/>
    <col min="7938" max="7938" width="11.85546875" customWidth="1"/>
    <col min="7939" max="7939" width="14.5703125" customWidth="1"/>
    <col min="7940" max="7940" width="13.7109375" customWidth="1"/>
    <col min="7941" max="7942" width="11.7109375" bestFit="1" customWidth="1"/>
    <col min="7943" max="7943" width="9.7109375" bestFit="1" customWidth="1"/>
    <col min="7944" max="7944" width="11.7109375" bestFit="1" customWidth="1"/>
    <col min="8187" max="8187" width="21.7109375" customWidth="1"/>
    <col min="8188" max="8188" width="16.85546875" customWidth="1"/>
    <col min="8189" max="8189" width="12" customWidth="1"/>
    <col min="8190" max="8190" width="11.5703125" customWidth="1"/>
    <col min="8191" max="8191" width="12.140625" customWidth="1"/>
    <col min="8192" max="8193" width="13" customWidth="1"/>
    <col min="8194" max="8194" width="11.85546875" customWidth="1"/>
    <col min="8195" max="8195" width="14.5703125" customWidth="1"/>
    <col min="8196" max="8196" width="13.7109375" customWidth="1"/>
    <col min="8197" max="8198" width="11.7109375" bestFit="1" customWidth="1"/>
    <col min="8199" max="8199" width="9.7109375" bestFit="1" customWidth="1"/>
    <col min="8200" max="8200" width="11.7109375" bestFit="1" customWidth="1"/>
    <col min="8443" max="8443" width="21.7109375" customWidth="1"/>
    <col min="8444" max="8444" width="16.85546875" customWidth="1"/>
    <col min="8445" max="8445" width="12" customWidth="1"/>
    <col min="8446" max="8446" width="11.5703125" customWidth="1"/>
    <col min="8447" max="8447" width="12.140625" customWidth="1"/>
    <col min="8448" max="8449" width="13" customWidth="1"/>
    <col min="8450" max="8450" width="11.85546875" customWidth="1"/>
    <col min="8451" max="8451" width="14.5703125" customWidth="1"/>
    <col min="8452" max="8452" width="13.7109375" customWidth="1"/>
    <col min="8453" max="8454" width="11.7109375" bestFit="1" customWidth="1"/>
    <col min="8455" max="8455" width="9.7109375" bestFit="1" customWidth="1"/>
    <col min="8456" max="8456" width="11.7109375" bestFit="1" customWidth="1"/>
    <col min="8699" max="8699" width="21.7109375" customWidth="1"/>
    <col min="8700" max="8700" width="16.85546875" customWidth="1"/>
    <col min="8701" max="8701" width="12" customWidth="1"/>
    <col min="8702" max="8702" width="11.5703125" customWidth="1"/>
    <col min="8703" max="8703" width="12.140625" customWidth="1"/>
    <col min="8704" max="8705" width="13" customWidth="1"/>
    <col min="8706" max="8706" width="11.85546875" customWidth="1"/>
    <col min="8707" max="8707" width="14.5703125" customWidth="1"/>
    <col min="8708" max="8708" width="13.7109375" customWidth="1"/>
    <col min="8709" max="8710" width="11.7109375" bestFit="1" customWidth="1"/>
    <col min="8711" max="8711" width="9.7109375" bestFit="1" customWidth="1"/>
    <col min="8712" max="8712" width="11.7109375" bestFit="1" customWidth="1"/>
    <col min="8955" max="8955" width="21.7109375" customWidth="1"/>
    <col min="8956" max="8956" width="16.85546875" customWidth="1"/>
    <col min="8957" max="8957" width="12" customWidth="1"/>
    <col min="8958" max="8958" width="11.5703125" customWidth="1"/>
    <col min="8959" max="8959" width="12.140625" customWidth="1"/>
    <col min="8960" max="8961" width="13" customWidth="1"/>
    <col min="8962" max="8962" width="11.85546875" customWidth="1"/>
    <col min="8963" max="8963" width="14.5703125" customWidth="1"/>
    <col min="8964" max="8964" width="13.7109375" customWidth="1"/>
    <col min="8965" max="8966" width="11.7109375" bestFit="1" customWidth="1"/>
    <col min="8967" max="8967" width="9.7109375" bestFit="1" customWidth="1"/>
    <col min="8968" max="8968" width="11.7109375" bestFit="1" customWidth="1"/>
    <col min="9211" max="9211" width="21.7109375" customWidth="1"/>
    <col min="9212" max="9212" width="16.85546875" customWidth="1"/>
    <col min="9213" max="9213" width="12" customWidth="1"/>
    <col min="9214" max="9214" width="11.5703125" customWidth="1"/>
    <col min="9215" max="9215" width="12.140625" customWidth="1"/>
    <col min="9216" max="9217" width="13" customWidth="1"/>
    <col min="9218" max="9218" width="11.85546875" customWidth="1"/>
    <col min="9219" max="9219" width="14.5703125" customWidth="1"/>
    <col min="9220" max="9220" width="13.7109375" customWidth="1"/>
    <col min="9221" max="9222" width="11.7109375" bestFit="1" customWidth="1"/>
    <col min="9223" max="9223" width="9.7109375" bestFit="1" customWidth="1"/>
    <col min="9224" max="9224" width="11.7109375" bestFit="1" customWidth="1"/>
    <col min="9467" max="9467" width="21.7109375" customWidth="1"/>
    <col min="9468" max="9468" width="16.85546875" customWidth="1"/>
    <col min="9469" max="9469" width="12" customWidth="1"/>
    <col min="9470" max="9470" width="11.5703125" customWidth="1"/>
    <col min="9471" max="9471" width="12.140625" customWidth="1"/>
    <col min="9472" max="9473" width="13" customWidth="1"/>
    <col min="9474" max="9474" width="11.85546875" customWidth="1"/>
    <col min="9475" max="9475" width="14.5703125" customWidth="1"/>
    <col min="9476" max="9476" width="13.7109375" customWidth="1"/>
    <col min="9477" max="9478" width="11.7109375" bestFit="1" customWidth="1"/>
    <col min="9479" max="9479" width="9.7109375" bestFit="1" customWidth="1"/>
    <col min="9480" max="9480" width="11.7109375" bestFit="1" customWidth="1"/>
    <col min="9723" max="9723" width="21.7109375" customWidth="1"/>
    <col min="9724" max="9724" width="16.85546875" customWidth="1"/>
    <col min="9725" max="9725" width="12" customWidth="1"/>
    <col min="9726" max="9726" width="11.5703125" customWidth="1"/>
    <col min="9727" max="9727" width="12.140625" customWidth="1"/>
    <col min="9728" max="9729" width="13" customWidth="1"/>
    <col min="9730" max="9730" width="11.85546875" customWidth="1"/>
    <col min="9731" max="9731" width="14.5703125" customWidth="1"/>
    <col min="9732" max="9732" width="13.7109375" customWidth="1"/>
    <col min="9733" max="9734" width="11.7109375" bestFit="1" customWidth="1"/>
    <col min="9735" max="9735" width="9.7109375" bestFit="1" customWidth="1"/>
    <col min="9736" max="9736" width="11.7109375" bestFit="1" customWidth="1"/>
    <col min="9979" max="9979" width="21.7109375" customWidth="1"/>
    <col min="9980" max="9980" width="16.85546875" customWidth="1"/>
    <col min="9981" max="9981" width="12" customWidth="1"/>
    <col min="9982" max="9982" width="11.5703125" customWidth="1"/>
    <col min="9983" max="9983" width="12.140625" customWidth="1"/>
    <col min="9984" max="9985" width="13" customWidth="1"/>
    <col min="9986" max="9986" width="11.85546875" customWidth="1"/>
    <col min="9987" max="9987" width="14.5703125" customWidth="1"/>
    <col min="9988" max="9988" width="13.7109375" customWidth="1"/>
    <col min="9989" max="9990" width="11.7109375" bestFit="1" customWidth="1"/>
    <col min="9991" max="9991" width="9.7109375" bestFit="1" customWidth="1"/>
    <col min="9992" max="9992" width="11.7109375" bestFit="1" customWidth="1"/>
    <col min="10235" max="10235" width="21.7109375" customWidth="1"/>
    <col min="10236" max="10236" width="16.85546875" customWidth="1"/>
    <col min="10237" max="10237" width="12" customWidth="1"/>
    <col min="10238" max="10238" width="11.5703125" customWidth="1"/>
    <col min="10239" max="10239" width="12.140625" customWidth="1"/>
    <col min="10240" max="10241" width="13" customWidth="1"/>
    <col min="10242" max="10242" width="11.85546875" customWidth="1"/>
    <col min="10243" max="10243" width="14.5703125" customWidth="1"/>
    <col min="10244" max="10244" width="13.7109375" customWidth="1"/>
    <col min="10245" max="10246" width="11.7109375" bestFit="1" customWidth="1"/>
    <col min="10247" max="10247" width="9.7109375" bestFit="1" customWidth="1"/>
    <col min="10248" max="10248" width="11.7109375" bestFit="1" customWidth="1"/>
    <col min="10491" max="10491" width="21.7109375" customWidth="1"/>
    <col min="10492" max="10492" width="16.85546875" customWidth="1"/>
    <col min="10493" max="10493" width="12" customWidth="1"/>
    <col min="10494" max="10494" width="11.5703125" customWidth="1"/>
    <col min="10495" max="10495" width="12.140625" customWidth="1"/>
    <col min="10496" max="10497" width="13" customWidth="1"/>
    <col min="10498" max="10498" width="11.85546875" customWidth="1"/>
    <col min="10499" max="10499" width="14.5703125" customWidth="1"/>
    <col min="10500" max="10500" width="13.7109375" customWidth="1"/>
    <col min="10501" max="10502" width="11.7109375" bestFit="1" customWidth="1"/>
    <col min="10503" max="10503" width="9.7109375" bestFit="1" customWidth="1"/>
    <col min="10504" max="10504" width="11.7109375" bestFit="1" customWidth="1"/>
    <col min="10747" max="10747" width="21.7109375" customWidth="1"/>
    <col min="10748" max="10748" width="16.85546875" customWidth="1"/>
    <col min="10749" max="10749" width="12" customWidth="1"/>
    <col min="10750" max="10750" width="11.5703125" customWidth="1"/>
    <col min="10751" max="10751" width="12.140625" customWidth="1"/>
    <col min="10752" max="10753" width="13" customWidth="1"/>
    <col min="10754" max="10754" width="11.85546875" customWidth="1"/>
    <col min="10755" max="10755" width="14.5703125" customWidth="1"/>
    <col min="10756" max="10756" width="13.7109375" customWidth="1"/>
    <col min="10757" max="10758" width="11.7109375" bestFit="1" customWidth="1"/>
    <col min="10759" max="10759" width="9.7109375" bestFit="1" customWidth="1"/>
    <col min="10760" max="10760" width="11.7109375" bestFit="1" customWidth="1"/>
    <col min="11003" max="11003" width="21.7109375" customWidth="1"/>
    <col min="11004" max="11004" width="16.85546875" customWidth="1"/>
    <col min="11005" max="11005" width="12" customWidth="1"/>
    <col min="11006" max="11006" width="11.5703125" customWidth="1"/>
    <col min="11007" max="11007" width="12.140625" customWidth="1"/>
    <col min="11008" max="11009" width="13" customWidth="1"/>
    <col min="11010" max="11010" width="11.85546875" customWidth="1"/>
    <col min="11011" max="11011" width="14.5703125" customWidth="1"/>
    <col min="11012" max="11012" width="13.7109375" customWidth="1"/>
    <col min="11013" max="11014" width="11.7109375" bestFit="1" customWidth="1"/>
    <col min="11015" max="11015" width="9.7109375" bestFit="1" customWidth="1"/>
    <col min="11016" max="11016" width="11.7109375" bestFit="1" customWidth="1"/>
    <col min="11259" max="11259" width="21.7109375" customWidth="1"/>
    <col min="11260" max="11260" width="16.85546875" customWidth="1"/>
    <col min="11261" max="11261" width="12" customWidth="1"/>
    <col min="11262" max="11262" width="11.5703125" customWidth="1"/>
    <col min="11263" max="11263" width="12.140625" customWidth="1"/>
    <col min="11264" max="11265" width="13" customWidth="1"/>
    <col min="11266" max="11266" width="11.85546875" customWidth="1"/>
    <col min="11267" max="11267" width="14.5703125" customWidth="1"/>
    <col min="11268" max="11268" width="13.7109375" customWidth="1"/>
    <col min="11269" max="11270" width="11.7109375" bestFit="1" customWidth="1"/>
    <col min="11271" max="11271" width="9.7109375" bestFit="1" customWidth="1"/>
    <col min="11272" max="11272" width="11.7109375" bestFit="1" customWidth="1"/>
    <col min="11515" max="11515" width="21.7109375" customWidth="1"/>
    <col min="11516" max="11516" width="16.85546875" customWidth="1"/>
    <col min="11517" max="11517" width="12" customWidth="1"/>
    <col min="11518" max="11518" width="11.5703125" customWidth="1"/>
    <col min="11519" max="11519" width="12.140625" customWidth="1"/>
    <col min="11520" max="11521" width="13" customWidth="1"/>
    <col min="11522" max="11522" width="11.85546875" customWidth="1"/>
    <col min="11523" max="11523" width="14.5703125" customWidth="1"/>
    <col min="11524" max="11524" width="13.7109375" customWidth="1"/>
    <col min="11525" max="11526" width="11.7109375" bestFit="1" customWidth="1"/>
    <col min="11527" max="11527" width="9.7109375" bestFit="1" customWidth="1"/>
    <col min="11528" max="11528" width="11.7109375" bestFit="1" customWidth="1"/>
    <col min="11771" max="11771" width="21.7109375" customWidth="1"/>
    <col min="11772" max="11772" width="16.85546875" customWidth="1"/>
    <col min="11773" max="11773" width="12" customWidth="1"/>
    <col min="11774" max="11774" width="11.5703125" customWidth="1"/>
    <col min="11775" max="11775" width="12.140625" customWidth="1"/>
    <col min="11776" max="11777" width="13" customWidth="1"/>
    <col min="11778" max="11778" width="11.85546875" customWidth="1"/>
    <col min="11779" max="11779" width="14.5703125" customWidth="1"/>
    <col min="11780" max="11780" width="13.7109375" customWidth="1"/>
    <col min="11781" max="11782" width="11.7109375" bestFit="1" customWidth="1"/>
    <col min="11783" max="11783" width="9.7109375" bestFit="1" customWidth="1"/>
    <col min="11784" max="11784" width="11.7109375" bestFit="1" customWidth="1"/>
    <col min="12027" max="12027" width="21.7109375" customWidth="1"/>
    <col min="12028" max="12028" width="16.85546875" customWidth="1"/>
    <col min="12029" max="12029" width="12" customWidth="1"/>
    <col min="12030" max="12030" width="11.5703125" customWidth="1"/>
    <col min="12031" max="12031" width="12.140625" customWidth="1"/>
    <col min="12032" max="12033" width="13" customWidth="1"/>
    <col min="12034" max="12034" width="11.85546875" customWidth="1"/>
    <col min="12035" max="12035" width="14.5703125" customWidth="1"/>
    <col min="12036" max="12036" width="13.7109375" customWidth="1"/>
    <col min="12037" max="12038" width="11.7109375" bestFit="1" customWidth="1"/>
    <col min="12039" max="12039" width="9.7109375" bestFit="1" customWidth="1"/>
    <col min="12040" max="12040" width="11.7109375" bestFit="1" customWidth="1"/>
    <col min="12283" max="12283" width="21.7109375" customWidth="1"/>
    <col min="12284" max="12284" width="16.85546875" customWidth="1"/>
    <col min="12285" max="12285" width="12" customWidth="1"/>
    <col min="12286" max="12286" width="11.5703125" customWidth="1"/>
    <col min="12287" max="12287" width="12.140625" customWidth="1"/>
    <col min="12288" max="12289" width="13" customWidth="1"/>
    <col min="12290" max="12290" width="11.85546875" customWidth="1"/>
    <col min="12291" max="12291" width="14.5703125" customWidth="1"/>
    <col min="12292" max="12292" width="13.7109375" customWidth="1"/>
    <col min="12293" max="12294" width="11.7109375" bestFit="1" customWidth="1"/>
    <col min="12295" max="12295" width="9.7109375" bestFit="1" customWidth="1"/>
    <col min="12296" max="12296" width="11.7109375" bestFit="1" customWidth="1"/>
    <col min="12539" max="12539" width="21.7109375" customWidth="1"/>
    <col min="12540" max="12540" width="16.85546875" customWidth="1"/>
    <col min="12541" max="12541" width="12" customWidth="1"/>
    <col min="12542" max="12542" width="11.5703125" customWidth="1"/>
    <col min="12543" max="12543" width="12.140625" customWidth="1"/>
    <col min="12544" max="12545" width="13" customWidth="1"/>
    <col min="12546" max="12546" width="11.85546875" customWidth="1"/>
    <col min="12547" max="12547" width="14.5703125" customWidth="1"/>
    <col min="12548" max="12548" width="13.7109375" customWidth="1"/>
    <col min="12549" max="12550" width="11.7109375" bestFit="1" customWidth="1"/>
    <col min="12551" max="12551" width="9.7109375" bestFit="1" customWidth="1"/>
    <col min="12552" max="12552" width="11.7109375" bestFit="1" customWidth="1"/>
    <col min="12795" max="12795" width="21.7109375" customWidth="1"/>
    <col min="12796" max="12796" width="16.85546875" customWidth="1"/>
    <col min="12797" max="12797" width="12" customWidth="1"/>
    <col min="12798" max="12798" width="11.5703125" customWidth="1"/>
    <col min="12799" max="12799" width="12.140625" customWidth="1"/>
    <col min="12800" max="12801" width="13" customWidth="1"/>
    <col min="12802" max="12802" width="11.85546875" customWidth="1"/>
    <col min="12803" max="12803" width="14.5703125" customWidth="1"/>
    <col min="12804" max="12804" width="13.7109375" customWidth="1"/>
    <col min="12805" max="12806" width="11.7109375" bestFit="1" customWidth="1"/>
    <col min="12807" max="12807" width="9.7109375" bestFit="1" customWidth="1"/>
    <col min="12808" max="12808" width="11.7109375" bestFit="1" customWidth="1"/>
    <col min="13051" max="13051" width="21.7109375" customWidth="1"/>
    <col min="13052" max="13052" width="16.85546875" customWidth="1"/>
    <col min="13053" max="13053" width="12" customWidth="1"/>
    <col min="13054" max="13054" width="11.5703125" customWidth="1"/>
    <col min="13055" max="13055" width="12.140625" customWidth="1"/>
    <col min="13056" max="13057" width="13" customWidth="1"/>
    <col min="13058" max="13058" width="11.85546875" customWidth="1"/>
    <col min="13059" max="13059" width="14.5703125" customWidth="1"/>
    <col min="13060" max="13060" width="13.7109375" customWidth="1"/>
    <col min="13061" max="13062" width="11.7109375" bestFit="1" customWidth="1"/>
    <col min="13063" max="13063" width="9.7109375" bestFit="1" customWidth="1"/>
    <col min="13064" max="13064" width="11.7109375" bestFit="1" customWidth="1"/>
    <col min="13307" max="13307" width="21.7109375" customWidth="1"/>
    <col min="13308" max="13308" width="16.85546875" customWidth="1"/>
    <col min="13309" max="13309" width="12" customWidth="1"/>
    <col min="13310" max="13310" width="11.5703125" customWidth="1"/>
    <col min="13311" max="13311" width="12.140625" customWidth="1"/>
    <col min="13312" max="13313" width="13" customWidth="1"/>
    <col min="13314" max="13314" width="11.85546875" customWidth="1"/>
    <col min="13315" max="13315" width="14.5703125" customWidth="1"/>
    <col min="13316" max="13316" width="13.7109375" customWidth="1"/>
    <col min="13317" max="13318" width="11.7109375" bestFit="1" customWidth="1"/>
    <col min="13319" max="13319" width="9.7109375" bestFit="1" customWidth="1"/>
    <col min="13320" max="13320" width="11.7109375" bestFit="1" customWidth="1"/>
    <col min="13563" max="13563" width="21.7109375" customWidth="1"/>
    <col min="13564" max="13564" width="16.85546875" customWidth="1"/>
    <col min="13565" max="13565" width="12" customWidth="1"/>
    <col min="13566" max="13566" width="11.5703125" customWidth="1"/>
    <col min="13567" max="13567" width="12.140625" customWidth="1"/>
    <col min="13568" max="13569" width="13" customWidth="1"/>
    <col min="13570" max="13570" width="11.85546875" customWidth="1"/>
    <col min="13571" max="13571" width="14.5703125" customWidth="1"/>
    <col min="13572" max="13572" width="13.7109375" customWidth="1"/>
    <col min="13573" max="13574" width="11.7109375" bestFit="1" customWidth="1"/>
    <col min="13575" max="13575" width="9.7109375" bestFit="1" customWidth="1"/>
    <col min="13576" max="13576" width="11.7109375" bestFit="1" customWidth="1"/>
    <col min="13819" max="13819" width="21.7109375" customWidth="1"/>
    <col min="13820" max="13820" width="16.85546875" customWidth="1"/>
    <col min="13821" max="13821" width="12" customWidth="1"/>
    <col min="13822" max="13822" width="11.5703125" customWidth="1"/>
    <col min="13823" max="13823" width="12.140625" customWidth="1"/>
    <col min="13824" max="13825" width="13" customWidth="1"/>
    <col min="13826" max="13826" width="11.85546875" customWidth="1"/>
    <col min="13827" max="13827" width="14.5703125" customWidth="1"/>
    <col min="13828" max="13828" width="13.7109375" customWidth="1"/>
    <col min="13829" max="13830" width="11.7109375" bestFit="1" customWidth="1"/>
    <col min="13831" max="13831" width="9.7109375" bestFit="1" customWidth="1"/>
    <col min="13832" max="13832" width="11.7109375" bestFit="1" customWidth="1"/>
    <col min="14075" max="14075" width="21.7109375" customWidth="1"/>
    <col min="14076" max="14076" width="16.85546875" customWidth="1"/>
    <col min="14077" max="14077" width="12" customWidth="1"/>
    <col min="14078" max="14078" width="11.5703125" customWidth="1"/>
    <col min="14079" max="14079" width="12.140625" customWidth="1"/>
    <col min="14080" max="14081" width="13" customWidth="1"/>
    <col min="14082" max="14082" width="11.85546875" customWidth="1"/>
    <col min="14083" max="14083" width="14.5703125" customWidth="1"/>
    <col min="14084" max="14084" width="13.7109375" customWidth="1"/>
    <col min="14085" max="14086" width="11.7109375" bestFit="1" customWidth="1"/>
    <col min="14087" max="14087" width="9.7109375" bestFit="1" customWidth="1"/>
    <col min="14088" max="14088" width="11.7109375" bestFit="1" customWidth="1"/>
    <col min="14331" max="14331" width="21.7109375" customWidth="1"/>
    <col min="14332" max="14332" width="16.85546875" customWidth="1"/>
    <col min="14333" max="14333" width="12" customWidth="1"/>
    <col min="14334" max="14334" width="11.5703125" customWidth="1"/>
    <col min="14335" max="14335" width="12.140625" customWidth="1"/>
    <col min="14336" max="14337" width="13" customWidth="1"/>
    <col min="14338" max="14338" width="11.85546875" customWidth="1"/>
    <col min="14339" max="14339" width="14.5703125" customWidth="1"/>
    <col min="14340" max="14340" width="13.7109375" customWidth="1"/>
    <col min="14341" max="14342" width="11.7109375" bestFit="1" customWidth="1"/>
    <col min="14343" max="14343" width="9.7109375" bestFit="1" customWidth="1"/>
    <col min="14344" max="14344" width="11.7109375" bestFit="1" customWidth="1"/>
    <col min="14587" max="14587" width="21.7109375" customWidth="1"/>
    <col min="14588" max="14588" width="16.85546875" customWidth="1"/>
    <col min="14589" max="14589" width="12" customWidth="1"/>
    <col min="14590" max="14590" width="11.5703125" customWidth="1"/>
    <col min="14591" max="14591" width="12.140625" customWidth="1"/>
    <col min="14592" max="14593" width="13" customWidth="1"/>
    <col min="14594" max="14594" width="11.85546875" customWidth="1"/>
    <col min="14595" max="14595" width="14.5703125" customWidth="1"/>
    <col min="14596" max="14596" width="13.7109375" customWidth="1"/>
    <col min="14597" max="14598" width="11.7109375" bestFit="1" customWidth="1"/>
    <col min="14599" max="14599" width="9.7109375" bestFit="1" customWidth="1"/>
    <col min="14600" max="14600" width="11.7109375" bestFit="1" customWidth="1"/>
    <col min="14843" max="14843" width="21.7109375" customWidth="1"/>
    <col min="14844" max="14844" width="16.85546875" customWidth="1"/>
    <col min="14845" max="14845" width="12" customWidth="1"/>
    <col min="14846" max="14846" width="11.5703125" customWidth="1"/>
    <col min="14847" max="14847" width="12.140625" customWidth="1"/>
    <col min="14848" max="14849" width="13" customWidth="1"/>
    <col min="14850" max="14850" width="11.85546875" customWidth="1"/>
    <col min="14851" max="14851" width="14.5703125" customWidth="1"/>
    <col min="14852" max="14852" width="13.7109375" customWidth="1"/>
    <col min="14853" max="14854" width="11.7109375" bestFit="1" customWidth="1"/>
    <col min="14855" max="14855" width="9.7109375" bestFit="1" customWidth="1"/>
    <col min="14856" max="14856" width="11.7109375" bestFit="1" customWidth="1"/>
    <col min="15099" max="15099" width="21.7109375" customWidth="1"/>
    <col min="15100" max="15100" width="16.85546875" customWidth="1"/>
    <col min="15101" max="15101" width="12" customWidth="1"/>
    <col min="15102" max="15102" width="11.5703125" customWidth="1"/>
    <col min="15103" max="15103" width="12.140625" customWidth="1"/>
    <col min="15104" max="15105" width="13" customWidth="1"/>
    <col min="15106" max="15106" width="11.85546875" customWidth="1"/>
    <col min="15107" max="15107" width="14.5703125" customWidth="1"/>
    <col min="15108" max="15108" width="13.7109375" customWidth="1"/>
    <col min="15109" max="15110" width="11.7109375" bestFit="1" customWidth="1"/>
    <col min="15111" max="15111" width="9.7109375" bestFit="1" customWidth="1"/>
    <col min="15112" max="15112" width="11.7109375" bestFit="1" customWidth="1"/>
    <col min="15355" max="15355" width="21.7109375" customWidth="1"/>
    <col min="15356" max="15356" width="16.85546875" customWidth="1"/>
    <col min="15357" max="15357" width="12" customWidth="1"/>
    <col min="15358" max="15358" width="11.5703125" customWidth="1"/>
    <col min="15359" max="15359" width="12.140625" customWidth="1"/>
    <col min="15360" max="15361" width="13" customWidth="1"/>
    <col min="15362" max="15362" width="11.85546875" customWidth="1"/>
    <col min="15363" max="15363" width="14.5703125" customWidth="1"/>
    <col min="15364" max="15364" width="13.7109375" customWidth="1"/>
    <col min="15365" max="15366" width="11.7109375" bestFit="1" customWidth="1"/>
    <col min="15367" max="15367" width="9.7109375" bestFit="1" customWidth="1"/>
    <col min="15368" max="15368" width="11.7109375" bestFit="1" customWidth="1"/>
    <col min="15611" max="15611" width="21.7109375" customWidth="1"/>
    <col min="15612" max="15612" width="16.85546875" customWidth="1"/>
    <col min="15613" max="15613" width="12" customWidth="1"/>
    <col min="15614" max="15614" width="11.5703125" customWidth="1"/>
    <col min="15615" max="15615" width="12.140625" customWidth="1"/>
    <col min="15616" max="15617" width="13" customWidth="1"/>
    <col min="15618" max="15618" width="11.85546875" customWidth="1"/>
    <col min="15619" max="15619" width="14.5703125" customWidth="1"/>
    <col min="15620" max="15620" width="13.7109375" customWidth="1"/>
    <col min="15621" max="15622" width="11.7109375" bestFit="1" customWidth="1"/>
    <col min="15623" max="15623" width="9.7109375" bestFit="1" customWidth="1"/>
    <col min="15624" max="15624" width="11.7109375" bestFit="1" customWidth="1"/>
    <col min="15867" max="15867" width="21.7109375" customWidth="1"/>
    <col min="15868" max="15868" width="16.85546875" customWidth="1"/>
    <col min="15869" max="15869" width="12" customWidth="1"/>
    <col min="15870" max="15870" width="11.5703125" customWidth="1"/>
    <col min="15871" max="15871" width="12.140625" customWidth="1"/>
    <col min="15872" max="15873" width="13" customWidth="1"/>
    <col min="15874" max="15874" width="11.85546875" customWidth="1"/>
    <col min="15875" max="15875" width="14.5703125" customWidth="1"/>
    <col min="15876" max="15876" width="13.7109375" customWidth="1"/>
    <col min="15877" max="15878" width="11.7109375" bestFit="1" customWidth="1"/>
    <col min="15879" max="15879" width="9.7109375" bestFit="1" customWidth="1"/>
    <col min="15880" max="15880" width="11.7109375" bestFit="1" customWidth="1"/>
    <col min="16123" max="16123" width="21.7109375" customWidth="1"/>
    <col min="16124" max="16124" width="16.85546875" customWidth="1"/>
    <col min="16125" max="16125" width="12" customWidth="1"/>
    <col min="16126" max="16126" width="11.5703125" customWidth="1"/>
    <col min="16127" max="16127" width="12.140625" customWidth="1"/>
    <col min="16128" max="16129" width="13" customWidth="1"/>
    <col min="16130" max="16130" width="11.85546875" customWidth="1"/>
    <col min="16131" max="16131" width="14.5703125" customWidth="1"/>
    <col min="16132" max="16132" width="13.7109375" customWidth="1"/>
    <col min="16133" max="16134" width="11.7109375" bestFit="1" customWidth="1"/>
    <col min="16135" max="16135" width="9.7109375" bestFit="1" customWidth="1"/>
    <col min="16136" max="16136" width="11.7109375" bestFit="1" customWidth="1"/>
  </cols>
  <sheetData>
    <row r="1" spans="1:10" x14ac:dyDescent="0.25">
      <c r="A1" s="22" t="s">
        <v>18</v>
      </c>
      <c r="D1" s="63"/>
      <c r="E1" s="63" t="s">
        <v>51</v>
      </c>
      <c r="F1" s="63"/>
      <c r="G1" s="23"/>
      <c r="H1" s="24"/>
    </row>
    <row r="2" spans="1:10" ht="15.75" thickBot="1" x14ac:dyDescent="0.3">
      <c r="B2" s="705"/>
      <c r="C2" s="705"/>
      <c r="D2" s="705"/>
      <c r="E2" s="705"/>
      <c r="F2" s="705"/>
      <c r="G2" s="705"/>
      <c r="H2" s="705"/>
      <c r="I2" s="20"/>
      <c r="J2" s="20"/>
    </row>
    <row r="3" spans="1:10" ht="30.75" thickBot="1" x14ac:dyDescent="0.3">
      <c r="A3" s="494" t="s">
        <v>135</v>
      </c>
      <c r="B3" s="716" t="s">
        <v>17</v>
      </c>
      <c r="C3" s="717"/>
      <c r="D3" s="482"/>
      <c r="E3" s="718" t="s">
        <v>19</v>
      </c>
      <c r="F3" s="717"/>
      <c r="G3" s="718" t="s">
        <v>16</v>
      </c>
      <c r="H3" s="717"/>
      <c r="I3" s="483" t="s">
        <v>20</v>
      </c>
      <c r="J3" s="63"/>
    </row>
    <row r="4" spans="1:10" x14ac:dyDescent="0.25">
      <c r="A4" s="493">
        <v>44562</v>
      </c>
      <c r="B4" s="478"/>
      <c r="C4" s="479">
        <v>226083</v>
      </c>
      <c r="D4" s="480"/>
      <c r="E4" s="480">
        <v>15384</v>
      </c>
      <c r="F4" s="480"/>
      <c r="G4" s="480">
        <v>0</v>
      </c>
      <c r="H4" s="481"/>
      <c r="I4" s="486">
        <f t="shared" ref="I4:I10" si="0">C4+E4+G4</f>
        <v>241467</v>
      </c>
      <c r="J4" s="189"/>
    </row>
    <row r="5" spans="1:10" x14ac:dyDescent="0.25">
      <c r="A5" s="485">
        <v>44593</v>
      </c>
      <c r="B5" s="32"/>
      <c r="C5" s="380">
        <v>226083</v>
      </c>
      <c r="D5" s="33"/>
      <c r="E5" s="33">
        <v>15384</v>
      </c>
      <c r="F5" s="33"/>
      <c r="G5" s="33">
        <v>0</v>
      </c>
      <c r="H5" s="33"/>
      <c r="I5" s="212">
        <f t="shared" si="0"/>
        <v>241467</v>
      </c>
      <c r="J5" s="189"/>
    </row>
    <row r="6" spans="1:10" s="12" customFormat="1" x14ac:dyDescent="0.25">
      <c r="A6" s="485">
        <v>44621</v>
      </c>
      <c r="B6" s="462"/>
      <c r="C6" s="380">
        <v>255255</v>
      </c>
      <c r="D6" s="33"/>
      <c r="E6" s="33">
        <v>4341</v>
      </c>
      <c r="F6" s="33"/>
      <c r="G6" s="33">
        <v>0</v>
      </c>
      <c r="H6" s="33"/>
      <c r="I6" s="212">
        <f t="shared" si="0"/>
        <v>259596</v>
      </c>
      <c r="J6" s="189"/>
    </row>
    <row r="7" spans="1:10" s="12" customFormat="1" x14ac:dyDescent="0.25">
      <c r="A7" s="487" t="s">
        <v>97</v>
      </c>
      <c r="B7" s="462"/>
      <c r="C7" s="32">
        <f>SUM(C4:C6)</f>
        <v>707421</v>
      </c>
      <c r="D7" s="32"/>
      <c r="E7" s="32">
        <f>SUM(E4:E6)</f>
        <v>35109</v>
      </c>
      <c r="F7" s="32"/>
      <c r="G7" s="32">
        <f>SUM(G4:G6)</f>
        <v>0</v>
      </c>
      <c r="H7" s="32"/>
      <c r="I7" s="212">
        <f t="shared" si="0"/>
        <v>742530</v>
      </c>
      <c r="J7" s="264"/>
    </row>
    <row r="8" spans="1:10" s="262" customFormat="1" x14ac:dyDescent="0.25">
      <c r="A8" s="488" t="s">
        <v>139</v>
      </c>
      <c r="B8" s="33"/>
      <c r="C8" s="33">
        <v>316654</v>
      </c>
      <c r="D8" s="33"/>
      <c r="E8" s="33">
        <v>5342</v>
      </c>
      <c r="F8" s="33"/>
      <c r="G8" s="33">
        <v>0</v>
      </c>
      <c r="H8" s="33"/>
      <c r="I8" s="489">
        <f t="shared" si="0"/>
        <v>321996</v>
      </c>
      <c r="J8" s="57"/>
    </row>
    <row r="9" spans="1:10" s="12" customFormat="1" x14ac:dyDescent="0.25">
      <c r="A9" s="490" t="s">
        <v>20</v>
      </c>
      <c r="B9" s="32"/>
      <c r="C9" s="32">
        <f>C7+C8</f>
        <v>1024075</v>
      </c>
      <c r="D9" s="32"/>
      <c r="E9" s="32">
        <f>E7+E8</f>
        <v>40451</v>
      </c>
      <c r="F9" s="32"/>
      <c r="G9" s="32">
        <f>G7+G8</f>
        <v>0</v>
      </c>
      <c r="H9" s="32"/>
      <c r="I9" s="212">
        <f t="shared" si="0"/>
        <v>1064526</v>
      </c>
      <c r="J9" s="243"/>
    </row>
    <row r="10" spans="1:10" s="12" customFormat="1" x14ac:dyDescent="0.25">
      <c r="A10" s="491" t="s">
        <v>141</v>
      </c>
      <c r="B10" s="32"/>
      <c r="C10" s="34">
        <v>2216578</v>
      </c>
      <c r="D10" s="34"/>
      <c r="E10" s="34">
        <v>42730.67</v>
      </c>
      <c r="F10" s="34"/>
      <c r="G10" s="34">
        <v>0</v>
      </c>
      <c r="H10" s="34"/>
      <c r="I10" s="492">
        <f t="shared" si="0"/>
        <v>2259308.67</v>
      </c>
      <c r="J10" s="243"/>
    </row>
    <row r="11" spans="1:10" s="12" customFormat="1" x14ac:dyDescent="0.25">
      <c r="A11" s="476" t="s">
        <v>150</v>
      </c>
      <c r="B11" s="32"/>
      <c r="C11" s="32">
        <f>C9+C10</f>
        <v>3240653</v>
      </c>
      <c r="D11" s="32"/>
      <c r="E11" s="32">
        <f>E9+E10</f>
        <v>83181.67</v>
      </c>
      <c r="F11" s="32"/>
      <c r="G11" s="32">
        <f>G9+G10</f>
        <v>0</v>
      </c>
      <c r="H11" s="32"/>
      <c r="I11" s="32">
        <f>I9+I10</f>
        <v>3323834.67</v>
      </c>
      <c r="J11" s="245"/>
    </row>
    <row r="12" spans="1:10" s="12" customFormat="1" x14ac:dyDescent="0.25">
      <c r="A12" s="476" t="s">
        <v>149</v>
      </c>
      <c r="B12" s="32"/>
      <c r="C12" s="32">
        <v>40953</v>
      </c>
      <c r="D12" s="32"/>
      <c r="E12" s="32">
        <v>0</v>
      </c>
      <c r="F12" s="32"/>
      <c r="G12" s="32">
        <v>0</v>
      </c>
      <c r="H12" s="32"/>
      <c r="I12" s="32">
        <v>40953</v>
      </c>
      <c r="J12" s="529"/>
    </row>
    <row r="13" spans="1:10" s="12" customFormat="1" x14ac:dyDescent="0.25">
      <c r="A13" s="476" t="s">
        <v>140</v>
      </c>
      <c r="B13" s="32"/>
      <c r="C13" s="32">
        <f>C11+C12</f>
        <v>3281606</v>
      </c>
      <c r="D13" s="32"/>
      <c r="E13" s="32">
        <f>E11+E12</f>
        <v>83181.67</v>
      </c>
      <c r="F13" s="32"/>
      <c r="G13" s="32">
        <v>0</v>
      </c>
      <c r="H13" s="32"/>
      <c r="I13" s="32">
        <f>I11+I12</f>
        <v>3364787.67</v>
      </c>
      <c r="J13" s="529"/>
    </row>
    <row r="14" spans="1:10" s="12" customFormat="1" ht="15.75" thickBot="1" x14ac:dyDescent="0.3">
      <c r="A14" s="544" t="s">
        <v>155</v>
      </c>
      <c r="B14" s="240"/>
      <c r="C14" s="240">
        <v>130123</v>
      </c>
      <c r="D14" s="240"/>
      <c r="E14" s="240">
        <v>1</v>
      </c>
      <c r="F14" s="240"/>
      <c r="G14" s="240">
        <v>0</v>
      </c>
      <c r="H14" s="240"/>
      <c r="I14" s="240">
        <f>C14+E14+G14</f>
        <v>130124</v>
      </c>
      <c r="J14" s="612"/>
    </row>
    <row r="15" spans="1:10" s="12" customFormat="1" ht="15.75" thickBot="1" x14ac:dyDescent="0.3">
      <c r="A15" s="547" t="s">
        <v>140</v>
      </c>
      <c r="B15" s="548"/>
      <c r="C15" s="541">
        <f>C13+C14</f>
        <v>3411729</v>
      </c>
      <c r="D15" s="548"/>
      <c r="E15" s="541">
        <f>E13+E14</f>
        <v>83182.67</v>
      </c>
      <c r="F15" s="614"/>
      <c r="G15" s="615">
        <v>0</v>
      </c>
      <c r="H15" s="541"/>
      <c r="I15" s="541">
        <f>C15+E15+G15</f>
        <v>3494911.67</v>
      </c>
      <c r="J15" s="612"/>
    </row>
    <row r="16" spans="1:10" s="12" customFormat="1" ht="16.5" thickBot="1" x14ac:dyDescent="0.3">
      <c r="A16" s="624" t="s">
        <v>158</v>
      </c>
      <c r="B16" s="625"/>
      <c r="C16" s="641">
        <v>146148</v>
      </c>
      <c r="D16" s="625"/>
      <c r="E16" s="641">
        <v>-4</v>
      </c>
      <c r="F16" s="639"/>
      <c r="G16" s="640">
        <v>0</v>
      </c>
      <c r="H16" s="641"/>
      <c r="I16" s="641">
        <f>C16+E16</f>
        <v>146144</v>
      </c>
      <c r="J16" s="630"/>
    </row>
    <row r="17" spans="1:10" s="12" customFormat="1" ht="15.75" thickBot="1" x14ac:dyDescent="0.3">
      <c r="A17" s="676" t="s">
        <v>140</v>
      </c>
      <c r="B17" s="625"/>
      <c r="C17" s="641">
        <f>C15+C16</f>
        <v>3557877</v>
      </c>
      <c r="D17" s="625"/>
      <c r="E17" s="641">
        <f>E15+E16</f>
        <v>83178.67</v>
      </c>
      <c r="F17" s="639"/>
      <c r="G17" s="640">
        <f>G15+G16</f>
        <v>0</v>
      </c>
      <c r="H17" s="641"/>
      <c r="I17" s="641">
        <f>I15+I16</f>
        <v>3641055.67</v>
      </c>
      <c r="J17" s="630"/>
    </row>
    <row r="18" spans="1:10" s="12" customFormat="1" ht="15.75" thickBot="1" x14ac:dyDescent="0.3">
      <c r="A18" s="678" t="s">
        <v>165</v>
      </c>
      <c r="B18" s="625"/>
      <c r="C18" s="541">
        <v>260887</v>
      </c>
      <c r="D18" s="625"/>
      <c r="E18" s="541">
        <v>-46354.64</v>
      </c>
      <c r="F18" s="639"/>
      <c r="G18" s="640">
        <v>0</v>
      </c>
      <c r="H18" s="641"/>
      <c r="I18" s="641">
        <f>C18+E18+G18</f>
        <v>214532.36</v>
      </c>
      <c r="J18" s="670"/>
    </row>
    <row r="19" spans="1:10" s="12" customFormat="1" ht="15.75" thickBot="1" x14ac:dyDescent="0.3">
      <c r="A19" s="679" t="s">
        <v>131</v>
      </c>
      <c r="B19" s="625"/>
      <c r="C19" s="641">
        <f>C17+C18</f>
        <v>3818764</v>
      </c>
      <c r="D19" s="625"/>
      <c r="E19" s="641">
        <f>E17+E18</f>
        <v>36824.03</v>
      </c>
      <c r="F19" s="639"/>
      <c r="G19" s="640">
        <v>0</v>
      </c>
      <c r="H19" s="641"/>
      <c r="I19" s="641">
        <f>C19+E19</f>
        <v>3855588.03</v>
      </c>
      <c r="J19" s="670"/>
    </row>
    <row r="20" spans="1:10" ht="30.75" thickBot="1" x14ac:dyDescent="0.3">
      <c r="A20" s="484" t="s">
        <v>136</v>
      </c>
      <c r="B20" s="711" t="s">
        <v>17</v>
      </c>
      <c r="C20" s="712"/>
      <c r="D20" s="711" t="s">
        <v>15</v>
      </c>
      <c r="E20" s="712"/>
      <c r="F20" s="711" t="s">
        <v>16</v>
      </c>
      <c r="G20" s="712"/>
      <c r="H20" s="711" t="s">
        <v>20</v>
      </c>
      <c r="I20" s="713"/>
      <c r="J20" s="208" t="s">
        <v>94</v>
      </c>
    </row>
    <row r="21" spans="1:10" x14ac:dyDescent="0.25">
      <c r="B21" s="209" t="s">
        <v>21</v>
      </c>
      <c r="C21" s="209" t="s">
        <v>22</v>
      </c>
      <c r="D21" s="209" t="s">
        <v>21</v>
      </c>
      <c r="E21" s="209" t="s">
        <v>22</v>
      </c>
      <c r="F21" s="209" t="s">
        <v>21</v>
      </c>
      <c r="G21" s="209" t="s">
        <v>22</v>
      </c>
      <c r="H21" s="209" t="s">
        <v>21</v>
      </c>
      <c r="I21" s="210" t="s">
        <v>22</v>
      </c>
      <c r="J21" s="211"/>
    </row>
    <row r="22" spans="1:10" x14ac:dyDescent="0.25">
      <c r="A22" s="28" t="s">
        <v>23</v>
      </c>
      <c r="B22" s="21"/>
      <c r="C22" s="21">
        <v>243474</v>
      </c>
      <c r="D22" s="21"/>
      <c r="E22" s="21">
        <v>4832</v>
      </c>
      <c r="F22" s="21"/>
      <c r="G22" s="21"/>
      <c r="H22" s="32"/>
      <c r="I22" s="212">
        <f>C22+E22+G22</f>
        <v>248306</v>
      </c>
      <c r="J22" s="213">
        <v>245501</v>
      </c>
    </row>
    <row r="23" spans="1:10" x14ac:dyDescent="0.25">
      <c r="A23" s="28" t="s">
        <v>24</v>
      </c>
      <c r="B23" s="88"/>
      <c r="C23" s="21">
        <v>237864</v>
      </c>
      <c r="D23" s="21"/>
      <c r="E23" s="21">
        <v>4832</v>
      </c>
      <c r="F23" s="21"/>
      <c r="G23" s="21"/>
      <c r="H23" s="32"/>
      <c r="I23" s="212">
        <f>C23+E23+G23</f>
        <v>242696</v>
      </c>
      <c r="J23" s="213">
        <v>248306</v>
      </c>
    </row>
    <row r="24" spans="1:10" x14ac:dyDescent="0.25">
      <c r="A24" s="28" t="s">
        <v>25</v>
      </c>
      <c r="B24" s="46"/>
      <c r="C24" s="21">
        <f>254133+23562</f>
        <v>277695</v>
      </c>
      <c r="D24" s="21"/>
      <c r="E24" s="21">
        <v>4832</v>
      </c>
      <c r="F24" s="21"/>
      <c r="G24" s="21"/>
      <c r="H24" s="32"/>
      <c r="I24" s="212">
        <f>C24+E24+G24</f>
        <v>282527</v>
      </c>
      <c r="J24" s="213">
        <v>242696</v>
      </c>
    </row>
    <row r="25" spans="1:10" s="73" customFormat="1" x14ac:dyDescent="0.25">
      <c r="A25" s="72" t="s">
        <v>27</v>
      </c>
      <c r="B25" s="87"/>
      <c r="C25" s="87">
        <f>C22+C23+C24</f>
        <v>759033</v>
      </c>
      <c r="D25" s="87"/>
      <c r="E25" s="87">
        <f>E22+E23+E24</f>
        <v>14496</v>
      </c>
      <c r="F25" s="87"/>
      <c r="G25" s="87"/>
      <c r="H25" s="87"/>
      <c r="I25" s="214">
        <f>I22+I23+I24</f>
        <v>773529</v>
      </c>
      <c r="J25" s="215">
        <f>SUM(J22:J24)</f>
        <v>736503</v>
      </c>
    </row>
    <row r="26" spans="1:10" s="35" customFormat="1" x14ac:dyDescent="0.25">
      <c r="A26" s="50" t="s">
        <v>26</v>
      </c>
      <c r="B26" s="87"/>
      <c r="C26" s="174">
        <v>0</v>
      </c>
      <c r="D26" s="174"/>
      <c r="E26" s="174">
        <v>0</v>
      </c>
      <c r="F26" s="87"/>
      <c r="G26" s="87"/>
      <c r="H26" s="87"/>
      <c r="I26" s="216">
        <f>C26+E26+G26</f>
        <v>0</v>
      </c>
      <c r="J26" s="217"/>
    </row>
    <row r="27" spans="1:10" s="52" customFormat="1" x14ac:dyDescent="0.25">
      <c r="A27" s="50" t="s">
        <v>20</v>
      </c>
      <c r="B27" s="87"/>
      <c r="C27" s="157">
        <f>C25+C26</f>
        <v>759033</v>
      </c>
      <c r="D27" s="157"/>
      <c r="E27" s="157">
        <f>E25+E26</f>
        <v>14496</v>
      </c>
      <c r="F27" s="87"/>
      <c r="G27" s="87"/>
      <c r="H27" s="87"/>
      <c r="I27" s="216">
        <f>I25+I26</f>
        <v>773529</v>
      </c>
      <c r="J27" s="218"/>
    </row>
    <row r="28" spans="1:10" x14ac:dyDescent="0.25">
      <c r="A28" s="28" t="s">
        <v>28</v>
      </c>
      <c r="B28" s="60"/>
      <c r="C28" s="47">
        <v>305757</v>
      </c>
      <c r="D28" s="47"/>
      <c r="E28" s="47">
        <v>5341.33</v>
      </c>
      <c r="F28" s="47"/>
      <c r="G28" s="47"/>
      <c r="H28" s="49"/>
      <c r="I28" s="212">
        <f>C28+E28+G28</f>
        <v>311098.33</v>
      </c>
      <c r="J28" s="219">
        <v>282527</v>
      </c>
    </row>
    <row r="29" spans="1:10" x14ac:dyDescent="0.25">
      <c r="A29" s="28" t="s">
        <v>29</v>
      </c>
      <c r="B29" s="60"/>
      <c r="C29" s="21">
        <v>294860</v>
      </c>
      <c r="D29" s="21"/>
      <c r="E29" s="21">
        <v>5341.33</v>
      </c>
      <c r="F29" s="21"/>
      <c r="G29" s="21"/>
      <c r="H29" s="49"/>
      <c r="I29" s="212">
        <f>C29+E29+G29</f>
        <v>300201.33</v>
      </c>
      <c r="J29" s="219">
        <v>311098.33</v>
      </c>
    </row>
    <row r="30" spans="1:10" x14ac:dyDescent="0.25">
      <c r="A30" s="28" t="s">
        <v>30</v>
      </c>
      <c r="B30" s="61"/>
      <c r="C30" s="109">
        <v>314090</v>
      </c>
      <c r="D30" s="21"/>
      <c r="E30" s="21">
        <v>5341.33</v>
      </c>
      <c r="F30" s="21"/>
      <c r="G30" s="21"/>
      <c r="H30" s="49"/>
      <c r="I30" s="212">
        <f>C30+E30+G30</f>
        <v>319431.33</v>
      </c>
      <c r="J30" s="213">
        <v>300201.33</v>
      </c>
    </row>
    <row r="31" spans="1:10" s="52" customFormat="1" x14ac:dyDescent="0.25">
      <c r="A31" s="72" t="s">
        <v>31</v>
      </c>
      <c r="B31" s="87"/>
      <c r="C31" s="87">
        <f>SUM(C28:C30)</f>
        <v>914707</v>
      </c>
      <c r="D31" s="87"/>
      <c r="E31" s="87">
        <f>SUM(E28:E30)</f>
        <v>16023.99</v>
      </c>
      <c r="F31" s="87"/>
      <c r="G31" s="87"/>
      <c r="H31" s="96"/>
      <c r="I31" s="214">
        <f>SUM(I28:I30)</f>
        <v>930730.99</v>
      </c>
      <c r="J31" s="220">
        <f>SUM(J28:J30)</f>
        <v>893826.66000000015</v>
      </c>
    </row>
    <row r="32" spans="1:10" s="52" customFormat="1" x14ac:dyDescent="0.25">
      <c r="A32" s="50" t="s">
        <v>50</v>
      </c>
      <c r="B32" s="87"/>
      <c r="C32" s="87"/>
      <c r="D32" s="87"/>
      <c r="E32" s="87"/>
      <c r="F32" s="87"/>
      <c r="G32" s="87"/>
      <c r="H32" s="96"/>
      <c r="I32" s="214">
        <f>C32+E32+G32</f>
        <v>0</v>
      </c>
      <c r="J32" s="215"/>
    </row>
    <row r="33" spans="1:10" s="52" customFormat="1" x14ac:dyDescent="0.25">
      <c r="A33" s="50" t="s">
        <v>54</v>
      </c>
      <c r="B33" s="87"/>
      <c r="C33" s="87">
        <f>C27+C31</f>
        <v>1673740</v>
      </c>
      <c r="D33" s="87"/>
      <c r="E33" s="87">
        <f>E27+E31</f>
        <v>30519.989999999998</v>
      </c>
      <c r="F33" s="87"/>
      <c r="G33" s="87"/>
      <c r="H33" s="87"/>
      <c r="I33" s="214">
        <f>I27+I31+I32</f>
        <v>1704259.99</v>
      </c>
      <c r="J33" s="215">
        <f>J25+J31</f>
        <v>1630329.6600000001</v>
      </c>
    </row>
    <row r="34" spans="1:10" x14ac:dyDescent="0.25">
      <c r="A34" s="28" t="s">
        <v>32</v>
      </c>
      <c r="B34" s="21"/>
      <c r="C34" s="21">
        <f>497*641</f>
        <v>318577</v>
      </c>
      <c r="D34" s="21"/>
      <c r="E34" s="34">
        <v>5341.33</v>
      </c>
      <c r="F34" s="21"/>
      <c r="G34" s="21"/>
      <c r="H34" s="32"/>
      <c r="I34" s="212">
        <f>C34+E34+G34</f>
        <v>323918.33</v>
      </c>
      <c r="J34" s="221">
        <v>319431.33</v>
      </c>
    </row>
    <row r="35" spans="1:10" x14ac:dyDescent="0.25">
      <c r="A35" s="28" t="s">
        <v>33</v>
      </c>
      <c r="B35" s="21"/>
      <c r="C35" s="21">
        <v>338448</v>
      </c>
      <c r="D35" s="21"/>
      <c r="E35" s="21"/>
      <c r="F35" s="21"/>
      <c r="G35" s="21"/>
      <c r="H35" s="32"/>
      <c r="I35" s="212">
        <f>C35+E35+G35</f>
        <v>338448</v>
      </c>
      <c r="J35" s="221">
        <v>323918.33</v>
      </c>
    </row>
    <row r="36" spans="1:10" x14ac:dyDescent="0.25">
      <c r="A36" s="28" t="s">
        <v>34</v>
      </c>
      <c r="B36" s="21"/>
      <c r="C36" s="21">
        <v>339730</v>
      </c>
      <c r="D36" s="21"/>
      <c r="E36" s="21"/>
      <c r="F36" s="21"/>
      <c r="G36" s="21"/>
      <c r="H36" s="32"/>
      <c r="I36" s="212">
        <f>C36+E36+G36</f>
        <v>339730</v>
      </c>
      <c r="J36" s="221">
        <v>338448</v>
      </c>
    </row>
    <row r="37" spans="1:10" s="35" customFormat="1" x14ac:dyDescent="0.25">
      <c r="A37" s="59" t="s">
        <v>49</v>
      </c>
      <c r="B37" s="60"/>
      <c r="C37" s="61">
        <v>0</v>
      </c>
      <c r="D37" s="60"/>
      <c r="E37" s="60"/>
      <c r="F37" s="60"/>
      <c r="G37" s="60"/>
      <c r="H37" s="49"/>
      <c r="I37" s="222"/>
      <c r="J37" s="223"/>
    </row>
    <row r="38" spans="1:10" s="35" customFormat="1" x14ac:dyDescent="0.25">
      <c r="A38" s="72" t="s">
        <v>35</v>
      </c>
      <c r="B38" s="87"/>
      <c r="C38" s="87">
        <f>SUM(C34:C37)</f>
        <v>996755</v>
      </c>
      <c r="D38" s="87"/>
      <c r="E38" s="87">
        <f>SUM(E34:E37)</f>
        <v>5341.33</v>
      </c>
      <c r="F38" s="87"/>
      <c r="G38" s="87"/>
      <c r="H38" s="87"/>
      <c r="I38" s="214">
        <f>SUM(I34:I37)</f>
        <v>1002096.3300000001</v>
      </c>
      <c r="J38" s="215">
        <f>SUM(J34:J37)</f>
        <v>981797.66</v>
      </c>
    </row>
    <row r="39" spans="1:10" s="225" customFormat="1" x14ac:dyDescent="0.25">
      <c r="A39" s="224" t="s">
        <v>56</v>
      </c>
      <c r="B39" s="87"/>
      <c r="C39" s="87">
        <f>C33+C38</f>
        <v>2670495</v>
      </c>
      <c r="D39" s="87"/>
      <c r="E39" s="87"/>
      <c r="F39" s="87"/>
      <c r="G39" s="87"/>
      <c r="H39" s="87"/>
      <c r="I39" s="214">
        <f>I33+I38</f>
        <v>2706356.3200000003</v>
      </c>
      <c r="J39" s="215">
        <f>J33+J38</f>
        <v>2612127.3200000003</v>
      </c>
    </row>
    <row r="40" spans="1:10" x14ac:dyDescent="0.25">
      <c r="A40" s="28" t="s">
        <v>36</v>
      </c>
      <c r="B40" s="123"/>
      <c r="C40" s="47">
        <v>371139</v>
      </c>
      <c r="D40" s="21"/>
      <c r="E40" s="21"/>
      <c r="F40" s="21"/>
      <c r="G40" s="21"/>
      <c r="H40" s="32"/>
      <c r="I40" s="212">
        <f>C40+E40+G40</f>
        <v>371139</v>
      </c>
      <c r="J40" s="221">
        <v>339730</v>
      </c>
    </row>
    <row r="41" spans="1:10" x14ac:dyDescent="0.25">
      <c r="A41" s="28" t="s">
        <v>37</v>
      </c>
      <c r="B41" s="179"/>
      <c r="C41" s="47">
        <v>360883</v>
      </c>
      <c r="D41" s="21"/>
      <c r="E41" s="21"/>
      <c r="F41" s="21"/>
      <c r="G41" s="21"/>
      <c r="H41" s="32"/>
      <c r="I41" s="212">
        <f>C41+E41+G41</f>
        <v>360883</v>
      </c>
      <c r="J41" s="221">
        <v>371139</v>
      </c>
    </row>
    <row r="42" spans="1:10" x14ac:dyDescent="0.25">
      <c r="A42" s="28" t="s">
        <v>38</v>
      </c>
      <c r="B42" s="123"/>
      <c r="C42" s="47">
        <f>553*641</f>
        <v>354473</v>
      </c>
      <c r="D42" s="21"/>
      <c r="E42" s="21"/>
      <c r="F42" s="21"/>
      <c r="G42" s="21"/>
      <c r="H42" s="32"/>
      <c r="I42" s="212">
        <f>C42+E42+G42</f>
        <v>354473</v>
      </c>
      <c r="J42" s="221">
        <v>360883</v>
      </c>
    </row>
    <row r="43" spans="1:10" x14ac:dyDescent="0.25">
      <c r="A43" s="28" t="s">
        <v>39</v>
      </c>
      <c r="B43" s="123"/>
      <c r="C43" s="21"/>
      <c r="D43" s="21"/>
      <c r="E43" s="21"/>
      <c r="F43" s="21"/>
      <c r="G43" s="21"/>
      <c r="H43" s="32"/>
      <c r="I43" s="212">
        <f>C43+E43+G43</f>
        <v>0</v>
      </c>
      <c r="J43" s="221"/>
    </row>
    <row r="44" spans="1:10" ht="15.75" thickBot="1" x14ac:dyDescent="0.3">
      <c r="A44" s="74" t="s">
        <v>40</v>
      </c>
      <c r="B44" s="75"/>
      <c r="C44" s="75">
        <f>SUM(C40:C43)</f>
        <v>1086495</v>
      </c>
      <c r="D44" s="75"/>
      <c r="E44" s="75">
        <f>SUM(E40:E43)</f>
        <v>0</v>
      </c>
      <c r="F44" s="75"/>
      <c r="G44" s="75"/>
      <c r="H44" s="75"/>
      <c r="I44" s="226">
        <f>SUM(I40:I43)</f>
        <v>1086495</v>
      </c>
      <c r="J44" s="227">
        <f>SUM(J40:J43)</f>
        <v>1071752</v>
      </c>
    </row>
    <row r="45" spans="1:10" x14ac:dyDescent="0.25">
      <c r="A45" s="176" t="s">
        <v>95</v>
      </c>
      <c r="B45" s="177"/>
      <c r="C45" s="177">
        <f>C39+C44</f>
        <v>3756990</v>
      </c>
      <c r="D45" s="177"/>
      <c r="E45" s="178">
        <f>E33+E38+E44</f>
        <v>35861.32</v>
      </c>
      <c r="F45" s="177"/>
      <c r="G45" s="177"/>
      <c r="H45" s="177"/>
      <c r="I45" s="228">
        <f>I39+I44</f>
        <v>3792851.3200000003</v>
      </c>
      <c r="J45" s="291">
        <f>J39+J44</f>
        <v>3683879.3200000003</v>
      </c>
    </row>
    <row r="46" spans="1:10" ht="15.75" thickBot="1" x14ac:dyDescent="0.3">
      <c r="A46" s="229" t="s">
        <v>96</v>
      </c>
      <c r="B46" s="230"/>
      <c r="C46" s="231">
        <v>3818764</v>
      </c>
      <c r="D46" s="231"/>
      <c r="E46" s="231">
        <v>36824.03</v>
      </c>
      <c r="F46" s="231"/>
      <c r="G46" s="231"/>
      <c r="H46" s="232"/>
      <c r="I46" s="233">
        <f>C46+E46+G46</f>
        <v>3855588.03</v>
      </c>
      <c r="J46" s="234">
        <f>3683886.99</f>
        <v>3683886.99</v>
      </c>
    </row>
    <row r="47" spans="1:10" s="35" customFormat="1" ht="15.75" thickBot="1" x14ac:dyDescent="0.3">
      <c r="A47" s="235" t="s">
        <v>142</v>
      </c>
      <c r="B47" s="236"/>
      <c r="C47" s="237">
        <f>C46-C45</f>
        <v>61774</v>
      </c>
      <c r="D47" s="237"/>
      <c r="E47" s="237">
        <f>E46-E45</f>
        <v>962.70999999999913</v>
      </c>
      <c r="F47" s="237"/>
      <c r="G47" s="237"/>
      <c r="H47" s="237"/>
      <c r="I47" s="238">
        <f>I46-I45</f>
        <v>62736.709999999497</v>
      </c>
      <c r="J47" s="239">
        <f>J46-J45</f>
        <v>7.6699999999254942</v>
      </c>
    </row>
    <row r="48" spans="1:10" x14ac:dyDescent="0.25">
      <c r="C48" s="20"/>
      <c r="D48" s="20"/>
      <c r="E48" s="20"/>
      <c r="F48" s="20"/>
      <c r="G48" s="20"/>
      <c r="H48" s="20"/>
      <c r="I48" s="20"/>
      <c r="J48" s="20"/>
    </row>
    <row r="49" spans="2:10" s="39" customFormat="1" ht="12.75" x14ac:dyDescent="0.2">
      <c r="B49" s="40"/>
      <c r="C49" s="41"/>
      <c r="D49" s="41"/>
      <c r="E49" s="41"/>
      <c r="F49" s="41"/>
      <c r="G49" s="41"/>
      <c r="H49" s="41"/>
      <c r="I49" s="42"/>
      <c r="J49" s="42"/>
    </row>
    <row r="50" spans="2:10" x14ac:dyDescent="0.25">
      <c r="B50" s="9"/>
      <c r="C50" s="20"/>
      <c r="D50" s="20"/>
      <c r="E50" s="20"/>
      <c r="F50" s="20"/>
      <c r="H50" s="23"/>
      <c r="I50" s="20"/>
      <c r="J50" s="20"/>
    </row>
    <row r="51" spans="2:10" x14ac:dyDescent="0.25">
      <c r="B51" s="9"/>
      <c r="C51" s="189"/>
      <c r="D51" s="189"/>
      <c r="E51" s="20"/>
      <c r="F51" s="189"/>
      <c r="G51" s="23"/>
      <c r="H51" s="23"/>
      <c r="I51" s="20"/>
      <c r="J51" s="20"/>
    </row>
    <row r="52" spans="2:10" x14ac:dyDescent="0.25">
      <c r="B52" s="9"/>
      <c r="C52" s="20"/>
      <c r="D52" s="9"/>
      <c r="E52" s="9"/>
      <c r="F52" s="9"/>
      <c r="G52" s="23"/>
      <c r="I52" s="20"/>
      <c r="J52" s="20"/>
    </row>
    <row r="53" spans="2:10" x14ac:dyDescent="0.25">
      <c r="C53" s="20"/>
      <c r="E53" s="20"/>
      <c r="F53" s="20"/>
    </row>
    <row r="54" spans="2:10" x14ac:dyDescent="0.25">
      <c r="B54" s="36"/>
      <c r="C54" s="20"/>
      <c r="D54" s="20"/>
      <c r="E54" s="20"/>
      <c r="F54" s="20"/>
      <c r="H54" s="23"/>
      <c r="I54" s="20"/>
      <c r="J54" s="20"/>
    </row>
    <row r="55" spans="2:10" x14ac:dyDescent="0.25">
      <c r="C55" s="20"/>
    </row>
    <row r="56" spans="2:10" x14ac:dyDescent="0.25">
      <c r="C56" s="20"/>
    </row>
  </sheetData>
  <mergeCells count="8">
    <mergeCell ref="B2:H2"/>
    <mergeCell ref="B20:C20"/>
    <mergeCell ref="D20:E20"/>
    <mergeCell ref="F20:G20"/>
    <mergeCell ref="H20:I20"/>
    <mergeCell ref="B3:C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56"/>
  <sheetViews>
    <sheetView tabSelected="1" workbookViewId="0">
      <selection activeCell="J53" sqref="J53"/>
    </sheetView>
  </sheetViews>
  <sheetFormatPr defaultRowHeight="15" x14ac:dyDescent="0.25"/>
  <cols>
    <col min="1" max="1" width="25" customWidth="1"/>
    <col min="2" max="2" width="17.28515625" customWidth="1"/>
    <col min="3" max="3" width="14.85546875" style="188" customWidth="1"/>
    <col min="4" max="4" width="13.42578125" style="188" customWidth="1"/>
    <col min="5" max="5" width="12.28515625" style="188" customWidth="1"/>
    <col min="6" max="6" width="10.7109375" style="188" customWidth="1"/>
    <col min="7" max="7" width="11" style="188" customWidth="1"/>
    <col min="8" max="8" width="13" style="188" customWidth="1"/>
    <col min="9" max="9" width="12.5703125" style="37" customWidth="1"/>
    <col min="10" max="10" width="13.5703125" style="37" customWidth="1"/>
    <col min="11" max="11" width="14.28515625" style="188" customWidth="1"/>
    <col min="12" max="12" width="14.42578125" style="188" customWidth="1"/>
    <col min="13" max="13" width="10.140625" bestFit="1" customWidth="1"/>
    <col min="248" max="248" width="21.7109375" customWidth="1"/>
    <col min="249" max="249" width="16.85546875" customWidth="1"/>
    <col min="250" max="250" width="12" customWidth="1"/>
    <col min="251" max="251" width="11.5703125" customWidth="1"/>
    <col min="252" max="252" width="12.140625" customWidth="1"/>
    <col min="253" max="254" width="13" customWidth="1"/>
    <col min="255" max="255" width="11.85546875" customWidth="1"/>
    <col min="256" max="256" width="14.5703125" customWidth="1"/>
    <col min="257" max="257" width="13.7109375" customWidth="1"/>
    <col min="258" max="259" width="11.7109375" bestFit="1" customWidth="1"/>
    <col min="260" max="260" width="9.7109375" bestFit="1" customWidth="1"/>
    <col min="261" max="261" width="11.7109375" bestFit="1" customWidth="1"/>
    <col min="504" max="504" width="21.7109375" customWidth="1"/>
    <col min="505" max="505" width="16.85546875" customWidth="1"/>
    <col min="506" max="506" width="12" customWidth="1"/>
    <col min="507" max="507" width="11.5703125" customWidth="1"/>
    <col min="508" max="508" width="12.140625" customWidth="1"/>
    <col min="509" max="510" width="13" customWidth="1"/>
    <col min="511" max="511" width="11.85546875" customWidth="1"/>
    <col min="512" max="512" width="14.5703125" customWidth="1"/>
    <col min="513" max="513" width="13.7109375" customWidth="1"/>
    <col min="514" max="515" width="11.7109375" bestFit="1" customWidth="1"/>
    <col min="516" max="516" width="9.7109375" bestFit="1" customWidth="1"/>
    <col min="517" max="517" width="11.7109375" bestFit="1" customWidth="1"/>
    <col min="760" max="760" width="21.7109375" customWidth="1"/>
    <col min="761" max="761" width="16.85546875" customWidth="1"/>
    <col min="762" max="762" width="12" customWidth="1"/>
    <col min="763" max="763" width="11.5703125" customWidth="1"/>
    <col min="764" max="764" width="12.140625" customWidth="1"/>
    <col min="765" max="766" width="13" customWidth="1"/>
    <col min="767" max="767" width="11.85546875" customWidth="1"/>
    <col min="768" max="768" width="14.5703125" customWidth="1"/>
    <col min="769" max="769" width="13.7109375" customWidth="1"/>
    <col min="770" max="771" width="11.7109375" bestFit="1" customWidth="1"/>
    <col min="772" max="772" width="9.7109375" bestFit="1" customWidth="1"/>
    <col min="773" max="773" width="11.7109375" bestFit="1" customWidth="1"/>
    <col min="1016" max="1016" width="21.7109375" customWidth="1"/>
    <col min="1017" max="1017" width="16.85546875" customWidth="1"/>
    <col min="1018" max="1018" width="12" customWidth="1"/>
    <col min="1019" max="1019" width="11.5703125" customWidth="1"/>
    <col min="1020" max="1020" width="12.140625" customWidth="1"/>
    <col min="1021" max="1022" width="13" customWidth="1"/>
    <col min="1023" max="1023" width="11.85546875" customWidth="1"/>
    <col min="1024" max="1024" width="14.5703125" customWidth="1"/>
    <col min="1025" max="1025" width="13.7109375" customWidth="1"/>
    <col min="1026" max="1027" width="11.7109375" bestFit="1" customWidth="1"/>
    <col min="1028" max="1028" width="9.7109375" bestFit="1" customWidth="1"/>
    <col min="1029" max="1029" width="11.7109375" bestFit="1" customWidth="1"/>
    <col min="1272" max="1272" width="21.7109375" customWidth="1"/>
    <col min="1273" max="1273" width="16.85546875" customWidth="1"/>
    <col min="1274" max="1274" width="12" customWidth="1"/>
    <col min="1275" max="1275" width="11.5703125" customWidth="1"/>
    <col min="1276" max="1276" width="12.140625" customWidth="1"/>
    <col min="1277" max="1278" width="13" customWidth="1"/>
    <col min="1279" max="1279" width="11.85546875" customWidth="1"/>
    <col min="1280" max="1280" width="14.5703125" customWidth="1"/>
    <col min="1281" max="1281" width="13.7109375" customWidth="1"/>
    <col min="1282" max="1283" width="11.7109375" bestFit="1" customWidth="1"/>
    <col min="1284" max="1284" width="9.7109375" bestFit="1" customWidth="1"/>
    <col min="1285" max="1285" width="11.7109375" bestFit="1" customWidth="1"/>
    <col min="1528" max="1528" width="21.7109375" customWidth="1"/>
    <col min="1529" max="1529" width="16.85546875" customWidth="1"/>
    <col min="1530" max="1530" width="12" customWidth="1"/>
    <col min="1531" max="1531" width="11.5703125" customWidth="1"/>
    <col min="1532" max="1532" width="12.140625" customWidth="1"/>
    <col min="1533" max="1534" width="13" customWidth="1"/>
    <col min="1535" max="1535" width="11.85546875" customWidth="1"/>
    <col min="1536" max="1536" width="14.5703125" customWidth="1"/>
    <col min="1537" max="1537" width="13.7109375" customWidth="1"/>
    <col min="1538" max="1539" width="11.7109375" bestFit="1" customWidth="1"/>
    <col min="1540" max="1540" width="9.7109375" bestFit="1" customWidth="1"/>
    <col min="1541" max="1541" width="11.7109375" bestFit="1" customWidth="1"/>
    <col min="1784" max="1784" width="21.7109375" customWidth="1"/>
    <col min="1785" max="1785" width="16.85546875" customWidth="1"/>
    <col min="1786" max="1786" width="12" customWidth="1"/>
    <col min="1787" max="1787" width="11.5703125" customWidth="1"/>
    <col min="1788" max="1788" width="12.140625" customWidth="1"/>
    <col min="1789" max="1790" width="13" customWidth="1"/>
    <col min="1791" max="1791" width="11.85546875" customWidth="1"/>
    <col min="1792" max="1792" width="14.5703125" customWidth="1"/>
    <col min="1793" max="1793" width="13.7109375" customWidth="1"/>
    <col min="1794" max="1795" width="11.7109375" bestFit="1" customWidth="1"/>
    <col min="1796" max="1796" width="9.7109375" bestFit="1" customWidth="1"/>
    <col min="1797" max="1797" width="11.7109375" bestFit="1" customWidth="1"/>
    <col min="2040" max="2040" width="21.7109375" customWidth="1"/>
    <col min="2041" max="2041" width="16.85546875" customWidth="1"/>
    <col min="2042" max="2042" width="12" customWidth="1"/>
    <col min="2043" max="2043" width="11.5703125" customWidth="1"/>
    <col min="2044" max="2044" width="12.140625" customWidth="1"/>
    <col min="2045" max="2046" width="13" customWidth="1"/>
    <col min="2047" max="2047" width="11.85546875" customWidth="1"/>
    <col min="2048" max="2048" width="14.5703125" customWidth="1"/>
    <col min="2049" max="2049" width="13.7109375" customWidth="1"/>
    <col min="2050" max="2051" width="11.7109375" bestFit="1" customWidth="1"/>
    <col min="2052" max="2052" width="9.7109375" bestFit="1" customWidth="1"/>
    <col min="2053" max="2053" width="11.7109375" bestFit="1" customWidth="1"/>
    <col min="2296" max="2296" width="21.7109375" customWidth="1"/>
    <col min="2297" max="2297" width="16.85546875" customWidth="1"/>
    <col min="2298" max="2298" width="12" customWidth="1"/>
    <col min="2299" max="2299" width="11.5703125" customWidth="1"/>
    <col min="2300" max="2300" width="12.140625" customWidth="1"/>
    <col min="2301" max="2302" width="13" customWidth="1"/>
    <col min="2303" max="2303" width="11.85546875" customWidth="1"/>
    <col min="2304" max="2304" width="14.5703125" customWidth="1"/>
    <col min="2305" max="2305" width="13.7109375" customWidth="1"/>
    <col min="2306" max="2307" width="11.7109375" bestFit="1" customWidth="1"/>
    <col min="2308" max="2308" width="9.7109375" bestFit="1" customWidth="1"/>
    <col min="2309" max="2309" width="11.7109375" bestFit="1" customWidth="1"/>
    <col min="2552" max="2552" width="21.7109375" customWidth="1"/>
    <col min="2553" max="2553" width="16.85546875" customWidth="1"/>
    <col min="2554" max="2554" width="12" customWidth="1"/>
    <col min="2555" max="2555" width="11.5703125" customWidth="1"/>
    <col min="2556" max="2556" width="12.140625" customWidth="1"/>
    <col min="2557" max="2558" width="13" customWidth="1"/>
    <col min="2559" max="2559" width="11.85546875" customWidth="1"/>
    <col min="2560" max="2560" width="14.5703125" customWidth="1"/>
    <col min="2561" max="2561" width="13.7109375" customWidth="1"/>
    <col min="2562" max="2563" width="11.7109375" bestFit="1" customWidth="1"/>
    <col min="2564" max="2564" width="9.7109375" bestFit="1" customWidth="1"/>
    <col min="2565" max="2565" width="11.7109375" bestFit="1" customWidth="1"/>
    <col min="2808" max="2808" width="21.7109375" customWidth="1"/>
    <col min="2809" max="2809" width="16.85546875" customWidth="1"/>
    <col min="2810" max="2810" width="12" customWidth="1"/>
    <col min="2811" max="2811" width="11.5703125" customWidth="1"/>
    <col min="2812" max="2812" width="12.140625" customWidth="1"/>
    <col min="2813" max="2814" width="13" customWidth="1"/>
    <col min="2815" max="2815" width="11.85546875" customWidth="1"/>
    <col min="2816" max="2816" width="14.5703125" customWidth="1"/>
    <col min="2817" max="2817" width="13.7109375" customWidth="1"/>
    <col min="2818" max="2819" width="11.7109375" bestFit="1" customWidth="1"/>
    <col min="2820" max="2820" width="9.7109375" bestFit="1" customWidth="1"/>
    <col min="2821" max="2821" width="11.7109375" bestFit="1" customWidth="1"/>
    <col min="3064" max="3064" width="21.7109375" customWidth="1"/>
    <col min="3065" max="3065" width="16.85546875" customWidth="1"/>
    <col min="3066" max="3066" width="12" customWidth="1"/>
    <col min="3067" max="3067" width="11.5703125" customWidth="1"/>
    <col min="3068" max="3068" width="12.140625" customWidth="1"/>
    <col min="3069" max="3070" width="13" customWidth="1"/>
    <col min="3071" max="3071" width="11.85546875" customWidth="1"/>
    <col min="3072" max="3072" width="14.5703125" customWidth="1"/>
    <col min="3073" max="3073" width="13.7109375" customWidth="1"/>
    <col min="3074" max="3075" width="11.7109375" bestFit="1" customWidth="1"/>
    <col min="3076" max="3076" width="9.7109375" bestFit="1" customWidth="1"/>
    <col min="3077" max="3077" width="11.7109375" bestFit="1" customWidth="1"/>
    <col min="3320" max="3320" width="21.7109375" customWidth="1"/>
    <col min="3321" max="3321" width="16.85546875" customWidth="1"/>
    <col min="3322" max="3322" width="12" customWidth="1"/>
    <col min="3323" max="3323" width="11.5703125" customWidth="1"/>
    <col min="3324" max="3324" width="12.140625" customWidth="1"/>
    <col min="3325" max="3326" width="13" customWidth="1"/>
    <col min="3327" max="3327" width="11.85546875" customWidth="1"/>
    <col min="3328" max="3328" width="14.5703125" customWidth="1"/>
    <col min="3329" max="3329" width="13.7109375" customWidth="1"/>
    <col min="3330" max="3331" width="11.7109375" bestFit="1" customWidth="1"/>
    <col min="3332" max="3332" width="9.7109375" bestFit="1" customWidth="1"/>
    <col min="3333" max="3333" width="11.7109375" bestFit="1" customWidth="1"/>
    <col min="3576" max="3576" width="21.7109375" customWidth="1"/>
    <col min="3577" max="3577" width="16.85546875" customWidth="1"/>
    <col min="3578" max="3578" width="12" customWidth="1"/>
    <col min="3579" max="3579" width="11.5703125" customWidth="1"/>
    <col min="3580" max="3580" width="12.140625" customWidth="1"/>
    <col min="3581" max="3582" width="13" customWidth="1"/>
    <col min="3583" max="3583" width="11.85546875" customWidth="1"/>
    <col min="3584" max="3584" width="14.5703125" customWidth="1"/>
    <col min="3585" max="3585" width="13.7109375" customWidth="1"/>
    <col min="3586" max="3587" width="11.7109375" bestFit="1" customWidth="1"/>
    <col min="3588" max="3588" width="9.7109375" bestFit="1" customWidth="1"/>
    <col min="3589" max="3589" width="11.7109375" bestFit="1" customWidth="1"/>
    <col min="3832" max="3832" width="21.7109375" customWidth="1"/>
    <col min="3833" max="3833" width="16.85546875" customWidth="1"/>
    <col min="3834" max="3834" width="12" customWidth="1"/>
    <col min="3835" max="3835" width="11.5703125" customWidth="1"/>
    <col min="3836" max="3836" width="12.140625" customWidth="1"/>
    <col min="3837" max="3838" width="13" customWidth="1"/>
    <col min="3839" max="3839" width="11.85546875" customWidth="1"/>
    <col min="3840" max="3840" width="14.5703125" customWidth="1"/>
    <col min="3841" max="3841" width="13.7109375" customWidth="1"/>
    <col min="3842" max="3843" width="11.7109375" bestFit="1" customWidth="1"/>
    <col min="3844" max="3844" width="9.7109375" bestFit="1" customWidth="1"/>
    <col min="3845" max="3845" width="11.7109375" bestFit="1" customWidth="1"/>
    <col min="4088" max="4088" width="21.7109375" customWidth="1"/>
    <col min="4089" max="4089" width="16.85546875" customWidth="1"/>
    <col min="4090" max="4090" width="12" customWidth="1"/>
    <col min="4091" max="4091" width="11.5703125" customWidth="1"/>
    <col min="4092" max="4092" width="12.140625" customWidth="1"/>
    <col min="4093" max="4094" width="13" customWidth="1"/>
    <col min="4095" max="4095" width="11.85546875" customWidth="1"/>
    <col min="4096" max="4096" width="14.5703125" customWidth="1"/>
    <col min="4097" max="4097" width="13.7109375" customWidth="1"/>
    <col min="4098" max="4099" width="11.7109375" bestFit="1" customWidth="1"/>
    <col min="4100" max="4100" width="9.7109375" bestFit="1" customWidth="1"/>
    <col min="4101" max="4101" width="11.7109375" bestFit="1" customWidth="1"/>
    <col min="4344" max="4344" width="21.7109375" customWidth="1"/>
    <col min="4345" max="4345" width="16.85546875" customWidth="1"/>
    <col min="4346" max="4346" width="12" customWidth="1"/>
    <col min="4347" max="4347" width="11.5703125" customWidth="1"/>
    <col min="4348" max="4348" width="12.140625" customWidth="1"/>
    <col min="4349" max="4350" width="13" customWidth="1"/>
    <col min="4351" max="4351" width="11.85546875" customWidth="1"/>
    <col min="4352" max="4352" width="14.5703125" customWidth="1"/>
    <col min="4353" max="4353" width="13.7109375" customWidth="1"/>
    <col min="4354" max="4355" width="11.7109375" bestFit="1" customWidth="1"/>
    <col min="4356" max="4356" width="9.7109375" bestFit="1" customWidth="1"/>
    <col min="4357" max="4357" width="11.7109375" bestFit="1" customWidth="1"/>
    <col min="4600" max="4600" width="21.7109375" customWidth="1"/>
    <col min="4601" max="4601" width="16.85546875" customWidth="1"/>
    <col min="4602" max="4602" width="12" customWidth="1"/>
    <col min="4603" max="4603" width="11.5703125" customWidth="1"/>
    <col min="4604" max="4604" width="12.140625" customWidth="1"/>
    <col min="4605" max="4606" width="13" customWidth="1"/>
    <col min="4607" max="4607" width="11.85546875" customWidth="1"/>
    <col min="4608" max="4608" width="14.5703125" customWidth="1"/>
    <col min="4609" max="4609" width="13.7109375" customWidth="1"/>
    <col min="4610" max="4611" width="11.7109375" bestFit="1" customWidth="1"/>
    <col min="4612" max="4612" width="9.7109375" bestFit="1" customWidth="1"/>
    <col min="4613" max="4613" width="11.7109375" bestFit="1" customWidth="1"/>
    <col min="4856" max="4856" width="21.7109375" customWidth="1"/>
    <col min="4857" max="4857" width="16.85546875" customWidth="1"/>
    <col min="4858" max="4858" width="12" customWidth="1"/>
    <col min="4859" max="4859" width="11.5703125" customWidth="1"/>
    <col min="4860" max="4860" width="12.140625" customWidth="1"/>
    <col min="4861" max="4862" width="13" customWidth="1"/>
    <col min="4863" max="4863" width="11.85546875" customWidth="1"/>
    <col min="4864" max="4864" width="14.5703125" customWidth="1"/>
    <col min="4865" max="4865" width="13.7109375" customWidth="1"/>
    <col min="4866" max="4867" width="11.7109375" bestFit="1" customWidth="1"/>
    <col min="4868" max="4868" width="9.7109375" bestFit="1" customWidth="1"/>
    <col min="4869" max="4869" width="11.7109375" bestFit="1" customWidth="1"/>
    <col min="5112" max="5112" width="21.7109375" customWidth="1"/>
    <col min="5113" max="5113" width="16.85546875" customWidth="1"/>
    <col min="5114" max="5114" width="12" customWidth="1"/>
    <col min="5115" max="5115" width="11.5703125" customWidth="1"/>
    <col min="5116" max="5116" width="12.140625" customWidth="1"/>
    <col min="5117" max="5118" width="13" customWidth="1"/>
    <col min="5119" max="5119" width="11.85546875" customWidth="1"/>
    <col min="5120" max="5120" width="14.5703125" customWidth="1"/>
    <col min="5121" max="5121" width="13.7109375" customWidth="1"/>
    <col min="5122" max="5123" width="11.7109375" bestFit="1" customWidth="1"/>
    <col min="5124" max="5124" width="9.7109375" bestFit="1" customWidth="1"/>
    <col min="5125" max="5125" width="11.7109375" bestFit="1" customWidth="1"/>
    <col min="5368" max="5368" width="21.7109375" customWidth="1"/>
    <col min="5369" max="5369" width="16.85546875" customWidth="1"/>
    <col min="5370" max="5370" width="12" customWidth="1"/>
    <col min="5371" max="5371" width="11.5703125" customWidth="1"/>
    <col min="5372" max="5372" width="12.140625" customWidth="1"/>
    <col min="5373" max="5374" width="13" customWidth="1"/>
    <col min="5375" max="5375" width="11.85546875" customWidth="1"/>
    <col min="5376" max="5376" width="14.5703125" customWidth="1"/>
    <col min="5377" max="5377" width="13.7109375" customWidth="1"/>
    <col min="5378" max="5379" width="11.7109375" bestFit="1" customWidth="1"/>
    <col min="5380" max="5380" width="9.7109375" bestFit="1" customWidth="1"/>
    <col min="5381" max="5381" width="11.7109375" bestFit="1" customWidth="1"/>
    <col min="5624" max="5624" width="21.7109375" customWidth="1"/>
    <col min="5625" max="5625" width="16.85546875" customWidth="1"/>
    <col min="5626" max="5626" width="12" customWidth="1"/>
    <col min="5627" max="5627" width="11.5703125" customWidth="1"/>
    <col min="5628" max="5628" width="12.140625" customWidth="1"/>
    <col min="5629" max="5630" width="13" customWidth="1"/>
    <col min="5631" max="5631" width="11.85546875" customWidth="1"/>
    <col min="5632" max="5632" width="14.5703125" customWidth="1"/>
    <col min="5633" max="5633" width="13.7109375" customWidth="1"/>
    <col min="5634" max="5635" width="11.7109375" bestFit="1" customWidth="1"/>
    <col min="5636" max="5636" width="9.7109375" bestFit="1" customWidth="1"/>
    <col min="5637" max="5637" width="11.7109375" bestFit="1" customWidth="1"/>
    <col min="5880" max="5880" width="21.7109375" customWidth="1"/>
    <col min="5881" max="5881" width="16.85546875" customWidth="1"/>
    <col min="5882" max="5882" width="12" customWidth="1"/>
    <col min="5883" max="5883" width="11.5703125" customWidth="1"/>
    <col min="5884" max="5884" width="12.140625" customWidth="1"/>
    <col min="5885" max="5886" width="13" customWidth="1"/>
    <col min="5887" max="5887" width="11.85546875" customWidth="1"/>
    <col min="5888" max="5888" width="14.5703125" customWidth="1"/>
    <col min="5889" max="5889" width="13.7109375" customWidth="1"/>
    <col min="5890" max="5891" width="11.7109375" bestFit="1" customWidth="1"/>
    <col min="5892" max="5892" width="9.7109375" bestFit="1" customWidth="1"/>
    <col min="5893" max="5893" width="11.7109375" bestFit="1" customWidth="1"/>
    <col min="6136" max="6136" width="21.7109375" customWidth="1"/>
    <col min="6137" max="6137" width="16.85546875" customWidth="1"/>
    <col min="6138" max="6138" width="12" customWidth="1"/>
    <col min="6139" max="6139" width="11.5703125" customWidth="1"/>
    <col min="6140" max="6140" width="12.140625" customWidth="1"/>
    <col min="6141" max="6142" width="13" customWidth="1"/>
    <col min="6143" max="6143" width="11.85546875" customWidth="1"/>
    <col min="6144" max="6144" width="14.5703125" customWidth="1"/>
    <col min="6145" max="6145" width="13.7109375" customWidth="1"/>
    <col min="6146" max="6147" width="11.7109375" bestFit="1" customWidth="1"/>
    <col min="6148" max="6148" width="9.7109375" bestFit="1" customWidth="1"/>
    <col min="6149" max="6149" width="11.7109375" bestFit="1" customWidth="1"/>
    <col min="6392" max="6392" width="21.7109375" customWidth="1"/>
    <col min="6393" max="6393" width="16.85546875" customWidth="1"/>
    <col min="6394" max="6394" width="12" customWidth="1"/>
    <col min="6395" max="6395" width="11.5703125" customWidth="1"/>
    <col min="6396" max="6396" width="12.140625" customWidth="1"/>
    <col min="6397" max="6398" width="13" customWidth="1"/>
    <col min="6399" max="6399" width="11.85546875" customWidth="1"/>
    <col min="6400" max="6400" width="14.5703125" customWidth="1"/>
    <col min="6401" max="6401" width="13.7109375" customWidth="1"/>
    <col min="6402" max="6403" width="11.7109375" bestFit="1" customWidth="1"/>
    <col min="6404" max="6404" width="9.7109375" bestFit="1" customWidth="1"/>
    <col min="6405" max="6405" width="11.7109375" bestFit="1" customWidth="1"/>
    <col min="6648" max="6648" width="21.7109375" customWidth="1"/>
    <col min="6649" max="6649" width="16.85546875" customWidth="1"/>
    <col min="6650" max="6650" width="12" customWidth="1"/>
    <col min="6651" max="6651" width="11.5703125" customWidth="1"/>
    <col min="6652" max="6652" width="12.140625" customWidth="1"/>
    <col min="6653" max="6654" width="13" customWidth="1"/>
    <col min="6655" max="6655" width="11.85546875" customWidth="1"/>
    <col min="6656" max="6656" width="14.5703125" customWidth="1"/>
    <col min="6657" max="6657" width="13.7109375" customWidth="1"/>
    <col min="6658" max="6659" width="11.7109375" bestFit="1" customWidth="1"/>
    <col min="6660" max="6660" width="9.7109375" bestFit="1" customWidth="1"/>
    <col min="6661" max="6661" width="11.7109375" bestFit="1" customWidth="1"/>
    <col min="6904" max="6904" width="21.7109375" customWidth="1"/>
    <col min="6905" max="6905" width="16.85546875" customWidth="1"/>
    <col min="6906" max="6906" width="12" customWidth="1"/>
    <col min="6907" max="6907" width="11.5703125" customWidth="1"/>
    <col min="6908" max="6908" width="12.140625" customWidth="1"/>
    <col min="6909" max="6910" width="13" customWidth="1"/>
    <col min="6911" max="6911" width="11.85546875" customWidth="1"/>
    <col min="6912" max="6912" width="14.5703125" customWidth="1"/>
    <col min="6913" max="6913" width="13.7109375" customWidth="1"/>
    <col min="6914" max="6915" width="11.7109375" bestFit="1" customWidth="1"/>
    <col min="6916" max="6916" width="9.7109375" bestFit="1" customWidth="1"/>
    <col min="6917" max="6917" width="11.7109375" bestFit="1" customWidth="1"/>
    <col min="7160" max="7160" width="21.7109375" customWidth="1"/>
    <col min="7161" max="7161" width="16.85546875" customWidth="1"/>
    <col min="7162" max="7162" width="12" customWidth="1"/>
    <col min="7163" max="7163" width="11.5703125" customWidth="1"/>
    <col min="7164" max="7164" width="12.140625" customWidth="1"/>
    <col min="7165" max="7166" width="13" customWidth="1"/>
    <col min="7167" max="7167" width="11.85546875" customWidth="1"/>
    <col min="7168" max="7168" width="14.5703125" customWidth="1"/>
    <col min="7169" max="7169" width="13.7109375" customWidth="1"/>
    <col min="7170" max="7171" width="11.7109375" bestFit="1" customWidth="1"/>
    <col min="7172" max="7172" width="9.7109375" bestFit="1" customWidth="1"/>
    <col min="7173" max="7173" width="11.7109375" bestFit="1" customWidth="1"/>
    <col min="7416" max="7416" width="21.7109375" customWidth="1"/>
    <col min="7417" max="7417" width="16.85546875" customWidth="1"/>
    <col min="7418" max="7418" width="12" customWidth="1"/>
    <col min="7419" max="7419" width="11.5703125" customWidth="1"/>
    <col min="7420" max="7420" width="12.140625" customWidth="1"/>
    <col min="7421" max="7422" width="13" customWidth="1"/>
    <col min="7423" max="7423" width="11.85546875" customWidth="1"/>
    <col min="7424" max="7424" width="14.5703125" customWidth="1"/>
    <col min="7425" max="7425" width="13.7109375" customWidth="1"/>
    <col min="7426" max="7427" width="11.7109375" bestFit="1" customWidth="1"/>
    <col min="7428" max="7428" width="9.7109375" bestFit="1" customWidth="1"/>
    <col min="7429" max="7429" width="11.7109375" bestFit="1" customWidth="1"/>
    <col min="7672" max="7672" width="21.7109375" customWidth="1"/>
    <col min="7673" max="7673" width="16.85546875" customWidth="1"/>
    <col min="7674" max="7674" width="12" customWidth="1"/>
    <col min="7675" max="7675" width="11.5703125" customWidth="1"/>
    <col min="7676" max="7676" width="12.140625" customWidth="1"/>
    <col min="7677" max="7678" width="13" customWidth="1"/>
    <col min="7679" max="7679" width="11.85546875" customWidth="1"/>
    <col min="7680" max="7680" width="14.5703125" customWidth="1"/>
    <col min="7681" max="7681" width="13.7109375" customWidth="1"/>
    <col min="7682" max="7683" width="11.7109375" bestFit="1" customWidth="1"/>
    <col min="7684" max="7684" width="9.7109375" bestFit="1" customWidth="1"/>
    <col min="7685" max="7685" width="11.7109375" bestFit="1" customWidth="1"/>
    <col min="7928" max="7928" width="21.7109375" customWidth="1"/>
    <col min="7929" max="7929" width="16.85546875" customWidth="1"/>
    <col min="7930" max="7930" width="12" customWidth="1"/>
    <col min="7931" max="7931" width="11.5703125" customWidth="1"/>
    <col min="7932" max="7932" width="12.140625" customWidth="1"/>
    <col min="7933" max="7934" width="13" customWidth="1"/>
    <col min="7935" max="7935" width="11.85546875" customWidth="1"/>
    <col min="7936" max="7936" width="14.5703125" customWidth="1"/>
    <col min="7937" max="7937" width="13.7109375" customWidth="1"/>
    <col min="7938" max="7939" width="11.7109375" bestFit="1" customWidth="1"/>
    <col min="7940" max="7940" width="9.7109375" bestFit="1" customWidth="1"/>
    <col min="7941" max="7941" width="11.7109375" bestFit="1" customWidth="1"/>
    <col min="8184" max="8184" width="21.7109375" customWidth="1"/>
    <col min="8185" max="8185" width="16.85546875" customWidth="1"/>
    <col min="8186" max="8186" width="12" customWidth="1"/>
    <col min="8187" max="8187" width="11.5703125" customWidth="1"/>
    <col min="8188" max="8188" width="12.140625" customWidth="1"/>
    <col min="8189" max="8190" width="13" customWidth="1"/>
    <col min="8191" max="8191" width="11.85546875" customWidth="1"/>
    <col min="8192" max="8192" width="14.5703125" customWidth="1"/>
    <col min="8193" max="8193" width="13.7109375" customWidth="1"/>
    <col min="8194" max="8195" width="11.7109375" bestFit="1" customWidth="1"/>
    <col min="8196" max="8196" width="9.7109375" bestFit="1" customWidth="1"/>
    <col min="8197" max="8197" width="11.7109375" bestFit="1" customWidth="1"/>
    <col min="8440" max="8440" width="21.7109375" customWidth="1"/>
    <col min="8441" max="8441" width="16.85546875" customWidth="1"/>
    <col min="8442" max="8442" width="12" customWidth="1"/>
    <col min="8443" max="8443" width="11.5703125" customWidth="1"/>
    <col min="8444" max="8444" width="12.140625" customWidth="1"/>
    <col min="8445" max="8446" width="13" customWidth="1"/>
    <col min="8447" max="8447" width="11.85546875" customWidth="1"/>
    <col min="8448" max="8448" width="14.5703125" customWidth="1"/>
    <col min="8449" max="8449" width="13.7109375" customWidth="1"/>
    <col min="8450" max="8451" width="11.7109375" bestFit="1" customWidth="1"/>
    <col min="8452" max="8452" width="9.7109375" bestFit="1" customWidth="1"/>
    <col min="8453" max="8453" width="11.7109375" bestFit="1" customWidth="1"/>
    <col min="8696" max="8696" width="21.7109375" customWidth="1"/>
    <col min="8697" max="8697" width="16.85546875" customWidth="1"/>
    <col min="8698" max="8698" width="12" customWidth="1"/>
    <col min="8699" max="8699" width="11.5703125" customWidth="1"/>
    <col min="8700" max="8700" width="12.140625" customWidth="1"/>
    <col min="8701" max="8702" width="13" customWidth="1"/>
    <col min="8703" max="8703" width="11.85546875" customWidth="1"/>
    <col min="8704" max="8704" width="14.5703125" customWidth="1"/>
    <col min="8705" max="8705" width="13.7109375" customWidth="1"/>
    <col min="8706" max="8707" width="11.7109375" bestFit="1" customWidth="1"/>
    <col min="8708" max="8708" width="9.7109375" bestFit="1" customWidth="1"/>
    <col min="8709" max="8709" width="11.7109375" bestFit="1" customWidth="1"/>
    <col min="8952" max="8952" width="21.7109375" customWidth="1"/>
    <col min="8953" max="8953" width="16.85546875" customWidth="1"/>
    <col min="8954" max="8954" width="12" customWidth="1"/>
    <col min="8955" max="8955" width="11.5703125" customWidth="1"/>
    <col min="8956" max="8956" width="12.140625" customWidth="1"/>
    <col min="8957" max="8958" width="13" customWidth="1"/>
    <col min="8959" max="8959" width="11.85546875" customWidth="1"/>
    <col min="8960" max="8960" width="14.5703125" customWidth="1"/>
    <col min="8961" max="8961" width="13.7109375" customWidth="1"/>
    <col min="8962" max="8963" width="11.7109375" bestFit="1" customWidth="1"/>
    <col min="8964" max="8964" width="9.7109375" bestFit="1" customWidth="1"/>
    <col min="8965" max="8965" width="11.7109375" bestFit="1" customWidth="1"/>
    <col min="9208" max="9208" width="21.7109375" customWidth="1"/>
    <col min="9209" max="9209" width="16.85546875" customWidth="1"/>
    <col min="9210" max="9210" width="12" customWidth="1"/>
    <col min="9211" max="9211" width="11.5703125" customWidth="1"/>
    <col min="9212" max="9212" width="12.140625" customWidth="1"/>
    <col min="9213" max="9214" width="13" customWidth="1"/>
    <col min="9215" max="9215" width="11.85546875" customWidth="1"/>
    <col min="9216" max="9216" width="14.5703125" customWidth="1"/>
    <col min="9217" max="9217" width="13.7109375" customWidth="1"/>
    <col min="9218" max="9219" width="11.7109375" bestFit="1" customWidth="1"/>
    <col min="9220" max="9220" width="9.7109375" bestFit="1" customWidth="1"/>
    <col min="9221" max="9221" width="11.7109375" bestFit="1" customWidth="1"/>
    <col min="9464" max="9464" width="21.7109375" customWidth="1"/>
    <col min="9465" max="9465" width="16.85546875" customWidth="1"/>
    <col min="9466" max="9466" width="12" customWidth="1"/>
    <col min="9467" max="9467" width="11.5703125" customWidth="1"/>
    <col min="9468" max="9468" width="12.140625" customWidth="1"/>
    <col min="9469" max="9470" width="13" customWidth="1"/>
    <col min="9471" max="9471" width="11.85546875" customWidth="1"/>
    <col min="9472" max="9472" width="14.5703125" customWidth="1"/>
    <col min="9473" max="9473" width="13.7109375" customWidth="1"/>
    <col min="9474" max="9475" width="11.7109375" bestFit="1" customWidth="1"/>
    <col min="9476" max="9476" width="9.7109375" bestFit="1" customWidth="1"/>
    <col min="9477" max="9477" width="11.7109375" bestFit="1" customWidth="1"/>
    <col min="9720" max="9720" width="21.7109375" customWidth="1"/>
    <col min="9721" max="9721" width="16.85546875" customWidth="1"/>
    <col min="9722" max="9722" width="12" customWidth="1"/>
    <col min="9723" max="9723" width="11.5703125" customWidth="1"/>
    <col min="9724" max="9724" width="12.140625" customWidth="1"/>
    <col min="9725" max="9726" width="13" customWidth="1"/>
    <col min="9727" max="9727" width="11.85546875" customWidth="1"/>
    <col min="9728" max="9728" width="14.5703125" customWidth="1"/>
    <col min="9729" max="9729" width="13.7109375" customWidth="1"/>
    <col min="9730" max="9731" width="11.7109375" bestFit="1" customWidth="1"/>
    <col min="9732" max="9732" width="9.7109375" bestFit="1" customWidth="1"/>
    <col min="9733" max="9733" width="11.7109375" bestFit="1" customWidth="1"/>
    <col min="9976" max="9976" width="21.7109375" customWidth="1"/>
    <col min="9977" max="9977" width="16.85546875" customWidth="1"/>
    <col min="9978" max="9978" width="12" customWidth="1"/>
    <col min="9979" max="9979" width="11.5703125" customWidth="1"/>
    <col min="9980" max="9980" width="12.140625" customWidth="1"/>
    <col min="9981" max="9982" width="13" customWidth="1"/>
    <col min="9983" max="9983" width="11.85546875" customWidth="1"/>
    <col min="9984" max="9984" width="14.5703125" customWidth="1"/>
    <col min="9985" max="9985" width="13.7109375" customWidth="1"/>
    <col min="9986" max="9987" width="11.7109375" bestFit="1" customWidth="1"/>
    <col min="9988" max="9988" width="9.7109375" bestFit="1" customWidth="1"/>
    <col min="9989" max="9989" width="11.7109375" bestFit="1" customWidth="1"/>
    <col min="10232" max="10232" width="21.7109375" customWidth="1"/>
    <col min="10233" max="10233" width="16.85546875" customWidth="1"/>
    <col min="10234" max="10234" width="12" customWidth="1"/>
    <col min="10235" max="10235" width="11.5703125" customWidth="1"/>
    <col min="10236" max="10236" width="12.140625" customWidth="1"/>
    <col min="10237" max="10238" width="13" customWidth="1"/>
    <col min="10239" max="10239" width="11.85546875" customWidth="1"/>
    <col min="10240" max="10240" width="14.5703125" customWidth="1"/>
    <col min="10241" max="10241" width="13.7109375" customWidth="1"/>
    <col min="10242" max="10243" width="11.7109375" bestFit="1" customWidth="1"/>
    <col min="10244" max="10244" width="9.7109375" bestFit="1" customWidth="1"/>
    <col min="10245" max="10245" width="11.7109375" bestFit="1" customWidth="1"/>
    <col min="10488" max="10488" width="21.7109375" customWidth="1"/>
    <col min="10489" max="10489" width="16.85546875" customWidth="1"/>
    <col min="10490" max="10490" width="12" customWidth="1"/>
    <col min="10491" max="10491" width="11.5703125" customWidth="1"/>
    <col min="10492" max="10492" width="12.140625" customWidth="1"/>
    <col min="10493" max="10494" width="13" customWidth="1"/>
    <col min="10495" max="10495" width="11.85546875" customWidth="1"/>
    <col min="10496" max="10496" width="14.5703125" customWidth="1"/>
    <col min="10497" max="10497" width="13.7109375" customWidth="1"/>
    <col min="10498" max="10499" width="11.7109375" bestFit="1" customWidth="1"/>
    <col min="10500" max="10500" width="9.7109375" bestFit="1" customWidth="1"/>
    <col min="10501" max="10501" width="11.7109375" bestFit="1" customWidth="1"/>
    <col min="10744" max="10744" width="21.7109375" customWidth="1"/>
    <col min="10745" max="10745" width="16.85546875" customWidth="1"/>
    <col min="10746" max="10746" width="12" customWidth="1"/>
    <col min="10747" max="10747" width="11.5703125" customWidth="1"/>
    <col min="10748" max="10748" width="12.140625" customWidth="1"/>
    <col min="10749" max="10750" width="13" customWidth="1"/>
    <col min="10751" max="10751" width="11.85546875" customWidth="1"/>
    <col min="10752" max="10752" width="14.5703125" customWidth="1"/>
    <col min="10753" max="10753" width="13.7109375" customWidth="1"/>
    <col min="10754" max="10755" width="11.7109375" bestFit="1" customWidth="1"/>
    <col min="10756" max="10756" width="9.7109375" bestFit="1" customWidth="1"/>
    <col min="10757" max="10757" width="11.7109375" bestFit="1" customWidth="1"/>
    <col min="11000" max="11000" width="21.7109375" customWidth="1"/>
    <col min="11001" max="11001" width="16.85546875" customWidth="1"/>
    <col min="11002" max="11002" width="12" customWidth="1"/>
    <col min="11003" max="11003" width="11.5703125" customWidth="1"/>
    <col min="11004" max="11004" width="12.140625" customWidth="1"/>
    <col min="11005" max="11006" width="13" customWidth="1"/>
    <col min="11007" max="11007" width="11.85546875" customWidth="1"/>
    <col min="11008" max="11008" width="14.5703125" customWidth="1"/>
    <col min="11009" max="11009" width="13.7109375" customWidth="1"/>
    <col min="11010" max="11011" width="11.7109375" bestFit="1" customWidth="1"/>
    <col min="11012" max="11012" width="9.7109375" bestFit="1" customWidth="1"/>
    <col min="11013" max="11013" width="11.7109375" bestFit="1" customWidth="1"/>
    <col min="11256" max="11256" width="21.7109375" customWidth="1"/>
    <col min="11257" max="11257" width="16.85546875" customWidth="1"/>
    <col min="11258" max="11258" width="12" customWidth="1"/>
    <col min="11259" max="11259" width="11.5703125" customWidth="1"/>
    <col min="11260" max="11260" width="12.140625" customWidth="1"/>
    <col min="11261" max="11262" width="13" customWidth="1"/>
    <col min="11263" max="11263" width="11.85546875" customWidth="1"/>
    <col min="11264" max="11264" width="14.5703125" customWidth="1"/>
    <col min="11265" max="11265" width="13.7109375" customWidth="1"/>
    <col min="11266" max="11267" width="11.7109375" bestFit="1" customWidth="1"/>
    <col min="11268" max="11268" width="9.7109375" bestFit="1" customWidth="1"/>
    <col min="11269" max="11269" width="11.7109375" bestFit="1" customWidth="1"/>
    <col min="11512" max="11512" width="21.7109375" customWidth="1"/>
    <col min="11513" max="11513" width="16.85546875" customWidth="1"/>
    <col min="11514" max="11514" width="12" customWidth="1"/>
    <col min="11515" max="11515" width="11.5703125" customWidth="1"/>
    <col min="11516" max="11516" width="12.140625" customWidth="1"/>
    <col min="11517" max="11518" width="13" customWidth="1"/>
    <col min="11519" max="11519" width="11.85546875" customWidth="1"/>
    <col min="11520" max="11520" width="14.5703125" customWidth="1"/>
    <col min="11521" max="11521" width="13.7109375" customWidth="1"/>
    <col min="11522" max="11523" width="11.7109375" bestFit="1" customWidth="1"/>
    <col min="11524" max="11524" width="9.7109375" bestFit="1" customWidth="1"/>
    <col min="11525" max="11525" width="11.7109375" bestFit="1" customWidth="1"/>
    <col min="11768" max="11768" width="21.7109375" customWidth="1"/>
    <col min="11769" max="11769" width="16.85546875" customWidth="1"/>
    <col min="11770" max="11770" width="12" customWidth="1"/>
    <col min="11771" max="11771" width="11.5703125" customWidth="1"/>
    <col min="11772" max="11772" width="12.140625" customWidth="1"/>
    <col min="11773" max="11774" width="13" customWidth="1"/>
    <col min="11775" max="11775" width="11.85546875" customWidth="1"/>
    <col min="11776" max="11776" width="14.5703125" customWidth="1"/>
    <col min="11777" max="11777" width="13.7109375" customWidth="1"/>
    <col min="11778" max="11779" width="11.7109375" bestFit="1" customWidth="1"/>
    <col min="11780" max="11780" width="9.7109375" bestFit="1" customWidth="1"/>
    <col min="11781" max="11781" width="11.7109375" bestFit="1" customWidth="1"/>
    <col min="12024" max="12024" width="21.7109375" customWidth="1"/>
    <col min="12025" max="12025" width="16.85546875" customWidth="1"/>
    <col min="12026" max="12026" width="12" customWidth="1"/>
    <col min="12027" max="12027" width="11.5703125" customWidth="1"/>
    <col min="12028" max="12028" width="12.140625" customWidth="1"/>
    <col min="12029" max="12030" width="13" customWidth="1"/>
    <col min="12031" max="12031" width="11.85546875" customWidth="1"/>
    <col min="12032" max="12032" width="14.5703125" customWidth="1"/>
    <col min="12033" max="12033" width="13.7109375" customWidth="1"/>
    <col min="12034" max="12035" width="11.7109375" bestFit="1" customWidth="1"/>
    <col min="12036" max="12036" width="9.7109375" bestFit="1" customWidth="1"/>
    <col min="12037" max="12037" width="11.7109375" bestFit="1" customWidth="1"/>
    <col min="12280" max="12280" width="21.7109375" customWidth="1"/>
    <col min="12281" max="12281" width="16.85546875" customWidth="1"/>
    <col min="12282" max="12282" width="12" customWidth="1"/>
    <col min="12283" max="12283" width="11.5703125" customWidth="1"/>
    <col min="12284" max="12284" width="12.140625" customWidth="1"/>
    <col min="12285" max="12286" width="13" customWidth="1"/>
    <col min="12287" max="12287" width="11.85546875" customWidth="1"/>
    <col min="12288" max="12288" width="14.5703125" customWidth="1"/>
    <col min="12289" max="12289" width="13.7109375" customWidth="1"/>
    <col min="12290" max="12291" width="11.7109375" bestFit="1" customWidth="1"/>
    <col min="12292" max="12292" width="9.7109375" bestFit="1" customWidth="1"/>
    <col min="12293" max="12293" width="11.7109375" bestFit="1" customWidth="1"/>
    <col min="12536" max="12536" width="21.7109375" customWidth="1"/>
    <col min="12537" max="12537" width="16.85546875" customWidth="1"/>
    <col min="12538" max="12538" width="12" customWidth="1"/>
    <col min="12539" max="12539" width="11.5703125" customWidth="1"/>
    <col min="12540" max="12540" width="12.140625" customWidth="1"/>
    <col min="12541" max="12542" width="13" customWidth="1"/>
    <col min="12543" max="12543" width="11.85546875" customWidth="1"/>
    <col min="12544" max="12544" width="14.5703125" customWidth="1"/>
    <col min="12545" max="12545" width="13.7109375" customWidth="1"/>
    <col min="12546" max="12547" width="11.7109375" bestFit="1" customWidth="1"/>
    <col min="12548" max="12548" width="9.7109375" bestFit="1" customWidth="1"/>
    <col min="12549" max="12549" width="11.7109375" bestFit="1" customWidth="1"/>
    <col min="12792" max="12792" width="21.7109375" customWidth="1"/>
    <col min="12793" max="12793" width="16.85546875" customWidth="1"/>
    <col min="12794" max="12794" width="12" customWidth="1"/>
    <col min="12795" max="12795" width="11.5703125" customWidth="1"/>
    <col min="12796" max="12796" width="12.140625" customWidth="1"/>
    <col min="12797" max="12798" width="13" customWidth="1"/>
    <col min="12799" max="12799" width="11.85546875" customWidth="1"/>
    <col min="12800" max="12800" width="14.5703125" customWidth="1"/>
    <col min="12801" max="12801" width="13.7109375" customWidth="1"/>
    <col min="12802" max="12803" width="11.7109375" bestFit="1" customWidth="1"/>
    <col min="12804" max="12804" width="9.7109375" bestFit="1" customWidth="1"/>
    <col min="12805" max="12805" width="11.7109375" bestFit="1" customWidth="1"/>
    <col min="13048" max="13048" width="21.7109375" customWidth="1"/>
    <col min="13049" max="13049" width="16.85546875" customWidth="1"/>
    <col min="13050" max="13050" width="12" customWidth="1"/>
    <col min="13051" max="13051" width="11.5703125" customWidth="1"/>
    <col min="13052" max="13052" width="12.140625" customWidth="1"/>
    <col min="13053" max="13054" width="13" customWidth="1"/>
    <col min="13055" max="13055" width="11.85546875" customWidth="1"/>
    <col min="13056" max="13056" width="14.5703125" customWidth="1"/>
    <col min="13057" max="13057" width="13.7109375" customWidth="1"/>
    <col min="13058" max="13059" width="11.7109375" bestFit="1" customWidth="1"/>
    <col min="13060" max="13060" width="9.7109375" bestFit="1" customWidth="1"/>
    <col min="13061" max="13061" width="11.7109375" bestFit="1" customWidth="1"/>
    <col min="13304" max="13304" width="21.7109375" customWidth="1"/>
    <col min="13305" max="13305" width="16.85546875" customWidth="1"/>
    <col min="13306" max="13306" width="12" customWidth="1"/>
    <col min="13307" max="13307" width="11.5703125" customWidth="1"/>
    <col min="13308" max="13308" width="12.140625" customWidth="1"/>
    <col min="13309" max="13310" width="13" customWidth="1"/>
    <col min="13311" max="13311" width="11.85546875" customWidth="1"/>
    <col min="13312" max="13312" width="14.5703125" customWidth="1"/>
    <col min="13313" max="13313" width="13.7109375" customWidth="1"/>
    <col min="13314" max="13315" width="11.7109375" bestFit="1" customWidth="1"/>
    <col min="13316" max="13316" width="9.7109375" bestFit="1" customWidth="1"/>
    <col min="13317" max="13317" width="11.7109375" bestFit="1" customWidth="1"/>
    <col min="13560" max="13560" width="21.7109375" customWidth="1"/>
    <col min="13561" max="13561" width="16.85546875" customWidth="1"/>
    <col min="13562" max="13562" width="12" customWidth="1"/>
    <col min="13563" max="13563" width="11.5703125" customWidth="1"/>
    <col min="13564" max="13564" width="12.140625" customWidth="1"/>
    <col min="13565" max="13566" width="13" customWidth="1"/>
    <col min="13567" max="13567" width="11.85546875" customWidth="1"/>
    <col min="13568" max="13568" width="14.5703125" customWidth="1"/>
    <col min="13569" max="13569" width="13.7109375" customWidth="1"/>
    <col min="13570" max="13571" width="11.7109375" bestFit="1" customWidth="1"/>
    <col min="13572" max="13572" width="9.7109375" bestFit="1" customWidth="1"/>
    <col min="13573" max="13573" width="11.7109375" bestFit="1" customWidth="1"/>
    <col min="13816" max="13816" width="21.7109375" customWidth="1"/>
    <col min="13817" max="13817" width="16.85546875" customWidth="1"/>
    <col min="13818" max="13818" width="12" customWidth="1"/>
    <col min="13819" max="13819" width="11.5703125" customWidth="1"/>
    <col min="13820" max="13820" width="12.140625" customWidth="1"/>
    <col min="13821" max="13822" width="13" customWidth="1"/>
    <col min="13823" max="13823" width="11.85546875" customWidth="1"/>
    <col min="13824" max="13824" width="14.5703125" customWidth="1"/>
    <col min="13825" max="13825" width="13.7109375" customWidth="1"/>
    <col min="13826" max="13827" width="11.7109375" bestFit="1" customWidth="1"/>
    <col min="13828" max="13828" width="9.7109375" bestFit="1" customWidth="1"/>
    <col min="13829" max="13829" width="11.7109375" bestFit="1" customWidth="1"/>
    <col min="14072" max="14072" width="21.7109375" customWidth="1"/>
    <col min="14073" max="14073" width="16.85546875" customWidth="1"/>
    <col min="14074" max="14074" width="12" customWidth="1"/>
    <col min="14075" max="14075" width="11.5703125" customWidth="1"/>
    <col min="14076" max="14076" width="12.140625" customWidth="1"/>
    <col min="14077" max="14078" width="13" customWidth="1"/>
    <col min="14079" max="14079" width="11.85546875" customWidth="1"/>
    <col min="14080" max="14080" width="14.5703125" customWidth="1"/>
    <col min="14081" max="14081" width="13.7109375" customWidth="1"/>
    <col min="14082" max="14083" width="11.7109375" bestFit="1" customWidth="1"/>
    <col min="14084" max="14084" width="9.7109375" bestFit="1" customWidth="1"/>
    <col min="14085" max="14085" width="11.7109375" bestFit="1" customWidth="1"/>
    <col min="14328" max="14328" width="21.7109375" customWidth="1"/>
    <col min="14329" max="14329" width="16.85546875" customWidth="1"/>
    <col min="14330" max="14330" width="12" customWidth="1"/>
    <col min="14331" max="14331" width="11.5703125" customWidth="1"/>
    <col min="14332" max="14332" width="12.140625" customWidth="1"/>
    <col min="14333" max="14334" width="13" customWidth="1"/>
    <col min="14335" max="14335" width="11.85546875" customWidth="1"/>
    <col min="14336" max="14336" width="14.5703125" customWidth="1"/>
    <col min="14337" max="14337" width="13.7109375" customWidth="1"/>
    <col min="14338" max="14339" width="11.7109375" bestFit="1" customWidth="1"/>
    <col min="14340" max="14340" width="9.7109375" bestFit="1" customWidth="1"/>
    <col min="14341" max="14341" width="11.7109375" bestFit="1" customWidth="1"/>
    <col min="14584" max="14584" width="21.7109375" customWidth="1"/>
    <col min="14585" max="14585" width="16.85546875" customWidth="1"/>
    <col min="14586" max="14586" width="12" customWidth="1"/>
    <col min="14587" max="14587" width="11.5703125" customWidth="1"/>
    <col min="14588" max="14588" width="12.140625" customWidth="1"/>
    <col min="14589" max="14590" width="13" customWidth="1"/>
    <col min="14591" max="14591" width="11.85546875" customWidth="1"/>
    <col min="14592" max="14592" width="14.5703125" customWidth="1"/>
    <col min="14593" max="14593" width="13.7109375" customWidth="1"/>
    <col min="14594" max="14595" width="11.7109375" bestFit="1" customWidth="1"/>
    <col min="14596" max="14596" width="9.7109375" bestFit="1" customWidth="1"/>
    <col min="14597" max="14597" width="11.7109375" bestFit="1" customWidth="1"/>
    <col min="14840" max="14840" width="21.7109375" customWidth="1"/>
    <col min="14841" max="14841" width="16.85546875" customWidth="1"/>
    <col min="14842" max="14842" width="12" customWidth="1"/>
    <col min="14843" max="14843" width="11.5703125" customWidth="1"/>
    <col min="14844" max="14844" width="12.140625" customWidth="1"/>
    <col min="14845" max="14846" width="13" customWidth="1"/>
    <col min="14847" max="14847" width="11.85546875" customWidth="1"/>
    <col min="14848" max="14848" width="14.5703125" customWidth="1"/>
    <col min="14849" max="14849" width="13.7109375" customWidth="1"/>
    <col min="14850" max="14851" width="11.7109375" bestFit="1" customWidth="1"/>
    <col min="14852" max="14852" width="9.7109375" bestFit="1" customWidth="1"/>
    <col min="14853" max="14853" width="11.7109375" bestFit="1" customWidth="1"/>
    <col min="15096" max="15096" width="21.7109375" customWidth="1"/>
    <col min="15097" max="15097" width="16.85546875" customWidth="1"/>
    <col min="15098" max="15098" width="12" customWidth="1"/>
    <col min="15099" max="15099" width="11.5703125" customWidth="1"/>
    <col min="15100" max="15100" width="12.140625" customWidth="1"/>
    <col min="15101" max="15102" width="13" customWidth="1"/>
    <col min="15103" max="15103" width="11.85546875" customWidth="1"/>
    <col min="15104" max="15104" width="14.5703125" customWidth="1"/>
    <col min="15105" max="15105" width="13.7109375" customWidth="1"/>
    <col min="15106" max="15107" width="11.7109375" bestFit="1" customWidth="1"/>
    <col min="15108" max="15108" width="9.7109375" bestFit="1" customWidth="1"/>
    <col min="15109" max="15109" width="11.7109375" bestFit="1" customWidth="1"/>
    <col min="15352" max="15352" width="21.7109375" customWidth="1"/>
    <col min="15353" max="15353" width="16.85546875" customWidth="1"/>
    <col min="15354" max="15354" width="12" customWidth="1"/>
    <col min="15355" max="15355" width="11.5703125" customWidth="1"/>
    <col min="15356" max="15356" width="12.140625" customWidth="1"/>
    <col min="15357" max="15358" width="13" customWidth="1"/>
    <col min="15359" max="15359" width="11.85546875" customWidth="1"/>
    <col min="15360" max="15360" width="14.5703125" customWidth="1"/>
    <col min="15361" max="15361" width="13.7109375" customWidth="1"/>
    <col min="15362" max="15363" width="11.7109375" bestFit="1" customWidth="1"/>
    <col min="15364" max="15364" width="9.7109375" bestFit="1" customWidth="1"/>
    <col min="15365" max="15365" width="11.7109375" bestFit="1" customWidth="1"/>
    <col min="15608" max="15608" width="21.7109375" customWidth="1"/>
    <col min="15609" max="15609" width="16.85546875" customWidth="1"/>
    <col min="15610" max="15610" width="12" customWidth="1"/>
    <col min="15611" max="15611" width="11.5703125" customWidth="1"/>
    <col min="15612" max="15612" width="12.140625" customWidth="1"/>
    <col min="15613" max="15614" width="13" customWidth="1"/>
    <col min="15615" max="15615" width="11.85546875" customWidth="1"/>
    <col min="15616" max="15616" width="14.5703125" customWidth="1"/>
    <col min="15617" max="15617" width="13.7109375" customWidth="1"/>
    <col min="15618" max="15619" width="11.7109375" bestFit="1" customWidth="1"/>
    <col min="15620" max="15620" width="9.7109375" bestFit="1" customWidth="1"/>
    <col min="15621" max="15621" width="11.7109375" bestFit="1" customWidth="1"/>
    <col min="15864" max="15864" width="21.7109375" customWidth="1"/>
    <col min="15865" max="15865" width="16.85546875" customWidth="1"/>
    <col min="15866" max="15866" width="12" customWidth="1"/>
    <col min="15867" max="15867" width="11.5703125" customWidth="1"/>
    <col min="15868" max="15868" width="12.140625" customWidth="1"/>
    <col min="15869" max="15870" width="13" customWidth="1"/>
    <col min="15871" max="15871" width="11.85546875" customWidth="1"/>
    <col min="15872" max="15872" width="14.5703125" customWidth="1"/>
    <col min="15873" max="15873" width="13.7109375" customWidth="1"/>
    <col min="15874" max="15875" width="11.7109375" bestFit="1" customWidth="1"/>
    <col min="15876" max="15876" width="9.7109375" bestFit="1" customWidth="1"/>
    <col min="15877" max="15877" width="11.7109375" bestFit="1" customWidth="1"/>
    <col min="16120" max="16120" width="21.7109375" customWidth="1"/>
    <col min="16121" max="16121" width="16.85546875" customWidth="1"/>
    <col min="16122" max="16122" width="12" customWidth="1"/>
    <col min="16123" max="16123" width="11.5703125" customWidth="1"/>
    <col min="16124" max="16124" width="12.140625" customWidth="1"/>
    <col min="16125" max="16126" width="13" customWidth="1"/>
    <col min="16127" max="16127" width="11.85546875" customWidth="1"/>
    <col min="16128" max="16128" width="14.5703125" customWidth="1"/>
    <col min="16129" max="16129" width="13.7109375" customWidth="1"/>
    <col min="16130" max="16131" width="11.7109375" bestFit="1" customWidth="1"/>
    <col min="16132" max="16132" width="9.7109375" bestFit="1" customWidth="1"/>
    <col min="16133" max="16133" width="11.7109375" bestFit="1" customWidth="1"/>
  </cols>
  <sheetData>
    <row r="1" spans="1:12" x14ac:dyDescent="0.25">
      <c r="A1" s="22" t="s">
        <v>18</v>
      </c>
      <c r="F1" s="20"/>
      <c r="G1" s="20"/>
      <c r="H1" s="20"/>
      <c r="I1" s="23"/>
      <c r="J1" s="24"/>
    </row>
    <row r="2" spans="1:12" ht="24.75" customHeight="1" x14ac:dyDescent="0.25">
      <c r="F2" s="705" t="s">
        <v>52</v>
      </c>
      <c r="G2" s="705"/>
      <c r="H2" s="189"/>
      <c r="I2" s="26"/>
      <c r="J2" s="26"/>
      <c r="K2" s="189"/>
      <c r="L2" s="189"/>
    </row>
    <row r="3" spans="1:12" ht="15.75" thickBot="1" x14ac:dyDescent="0.3">
      <c r="B3" s="705"/>
      <c r="C3" s="705"/>
      <c r="D3" s="705"/>
      <c r="E3" s="705"/>
      <c r="F3" s="705"/>
      <c r="G3" s="705"/>
      <c r="H3" s="705"/>
      <c r="I3" s="705"/>
      <c r="J3" s="705"/>
      <c r="K3" s="20"/>
      <c r="L3" s="20"/>
    </row>
    <row r="4" spans="1:12" ht="30.75" thickBot="1" x14ac:dyDescent="0.3">
      <c r="A4" s="500" t="s">
        <v>135</v>
      </c>
      <c r="B4" s="95"/>
      <c r="C4" s="95" t="s">
        <v>17</v>
      </c>
      <c r="D4" s="724"/>
      <c r="E4" s="725"/>
      <c r="F4" s="724" t="s">
        <v>15</v>
      </c>
      <c r="G4" s="725"/>
      <c r="H4" s="724" t="s">
        <v>41</v>
      </c>
      <c r="I4" s="725"/>
      <c r="J4" s="95"/>
      <c r="K4" s="501" t="s">
        <v>20</v>
      </c>
      <c r="L4" s="63"/>
    </row>
    <row r="5" spans="1:12" x14ac:dyDescent="0.25">
      <c r="A5" s="497">
        <v>44562</v>
      </c>
      <c r="B5" s="478"/>
      <c r="C5" s="480">
        <f>'nefrol slatina'!C6+'nefrol caracal'!C6+'sp slatina'!C4</f>
        <v>1225224</v>
      </c>
      <c r="D5" s="480"/>
      <c r="E5" s="480"/>
      <c r="F5" s="480"/>
      <c r="G5" s="480">
        <f>'nefrol slatina'!E6+'sp slatina'!E4</f>
        <v>29880</v>
      </c>
      <c r="H5" s="480"/>
      <c r="I5" s="480">
        <f>'nefrol slatina'!G6+'nefrol caracal'!G6</f>
        <v>181896</v>
      </c>
      <c r="J5" s="498"/>
      <c r="K5" s="478">
        <f>C5+G5+H5+I5</f>
        <v>1437000</v>
      </c>
      <c r="L5" s="189"/>
    </row>
    <row r="6" spans="1:12" x14ac:dyDescent="0.25">
      <c r="A6" s="475">
        <v>44593</v>
      </c>
      <c r="B6" s="32"/>
      <c r="C6" s="480">
        <f>'nefrol slatina'!C7+'nefrol caracal'!C7+'sp slatina'!C5</f>
        <v>1225224</v>
      </c>
      <c r="D6" s="33"/>
      <c r="E6" s="33"/>
      <c r="F6" s="33"/>
      <c r="G6" s="33">
        <f>'nefrol slatina'!E7+'sp slatina'!E5</f>
        <v>29880</v>
      </c>
      <c r="H6" s="33"/>
      <c r="I6" s="33">
        <f>'nefrol slatina'!G7+'nefrol caracal'!G7</f>
        <v>181896</v>
      </c>
      <c r="J6" s="495"/>
      <c r="K6" s="32">
        <f>C6+G6+H6+I6</f>
        <v>1437000</v>
      </c>
      <c r="L6" s="189"/>
    </row>
    <row r="7" spans="1:12" ht="15.75" customHeight="1" x14ac:dyDescent="0.25">
      <c r="A7" s="475">
        <v>44621</v>
      </c>
      <c r="B7" s="32"/>
      <c r="C7" s="480">
        <f>'nefrol slatina'!C8+'nefrol caracal'!C8+'sp slatina'!C6</f>
        <v>1217931</v>
      </c>
      <c r="D7" s="33"/>
      <c r="E7" s="33"/>
      <c r="F7" s="33"/>
      <c r="G7" s="33">
        <f>'nefrol slatina'!E8+'sp slatina'!E6</f>
        <v>9173</v>
      </c>
      <c r="H7" s="33"/>
      <c r="I7" s="33">
        <f>'nefrol slatina'!G8+'nefrol caracal'!G8</f>
        <v>181896</v>
      </c>
      <c r="J7" s="495"/>
      <c r="K7" s="32">
        <f>C7+G7+H7+I7</f>
        <v>1409000</v>
      </c>
      <c r="L7" s="189"/>
    </row>
    <row r="8" spans="1:12" s="12" customFormat="1" ht="15.75" customHeight="1" x14ac:dyDescent="0.25">
      <c r="A8" s="476" t="s">
        <v>97</v>
      </c>
      <c r="B8" s="32"/>
      <c r="C8" s="32">
        <f>SUM(C5:C7)</f>
        <v>3668379</v>
      </c>
      <c r="D8" s="32"/>
      <c r="E8" s="496"/>
      <c r="F8" s="32"/>
      <c r="G8" s="32">
        <f>SUM(G5:G7)</f>
        <v>68933</v>
      </c>
      <c r="H8" s="32"/>
      <c r="I8" s="496">
        <f>SUM(I5:I7)</f>
        <v>545688</v>
      </c>
      <c r="J8" s="495"/>
      <c r="K8" s="32">
        <f>K5+K6+K7</f>
        <v>4283000</v>
      </c>
      <c r="L8" s="189"/>
    </row>
    <row r="9" spans="1:12" s="12" customFormat="1" ht="15.75" customHeight="1" x14ac:dyDescent="0.25">
      <c r="A9" s="477">
        <v>44652</v>
      </c>
      <c r="B9" s="32"/>
      <c r="C9" s="33">
        <f>'nefrol slatina'!C10+'nefrol caracal'!C10+'sp slatina'!C8</f>
        <v>1449942</v>
      </c>
      <c r="D9" s="32"/>
      <c r="E9" s="32"/>
      <c r="F9" s="32"/>
      <c r="G9" s="33">
        <f>'nefrol slatina'!E10+'sp slatina'!E8</f>
        <v>10686</v>
      </c>
      <c r="H9" s="32"/>
      <c r="I9" s="496">
        <f>'nefrol slatina'!G10+'nefrol caracal'!G10</f>
        <v>223392</v>
      </c>
      <c r="J9" s="495"/>
      <c r="K9" s="32">
        <f>C9+G9+H9+I9</f>
        <v>1684020</v>
      </c>
      <c r="L9" s="189"/>
    </row>
    <row r="10" spans="1:12" s="12" customFormat="1" ht="15.75" customHeight="1" x14ac:dyDescent="0.25">
      <c r="A10" s="476" t="s">
        <v>20</v>
      </c>
      <c r="B10" s="32"/>
      <c r="C10" s="32">
        <f>'nefrol slatina'!C11+'nefrol caracal'!C11+'sp slatina'!C9</f>
        <v>5118321</v>
      </c>
      <c r="D10" s="32"/>
      <c r="E10" s="32"/>
      <c r="F10" s="32"/>
      <c r="G10" s="32">
        <f>'sp slatina'!E9+'nefrol slatina'!E11</f>
        <v>79619</v>
      </c>
      <c r="H10" s="32"/>
      <c r="I10" s="496">
        <f>I8+I9</f>
        <v>769080</v>
      </c>
      <c r="J10" s="495"/>
      <c r="K10" s="32">
        <f>C10+G10+H10+I10</f>
        <v>5967020</v>
      </c>
      <c r="L10" s="245"/>
    </row>
    <row r="11" spans="1:12" s="12" customFormat="1" ht="15.75" customHeight="1" x14ac:dyDescent="0.25">
      <c r="A11" s="477" t="s">
        <v>143</v>
      </c>
      <c r="B11" s="32"/>
      <c r="C11" s="33">
        <f>'nefrol slatina'!C12+'nefrol caracal'!C12+'sp slatina'!C10</f>
        <v>10149594</v>
      </c>
      <c r="D11" s="32"/>
      <c r="E11" s="32"/>
      <c r="F11" s="32"/>
      <c r="G11" s="32">
        <f>'sp slatina'!E10+'nefrol slatina'!E12</f>
        <v>85461.34</v>
      </c>
      <c r="H11" s="32"/>
      <c r="I11" s="496">
        <f>'nefrol slatina'!G12+'nefrol caracal'!G12</f>
        <v>1563744</v>
      </c>
      <c r="J11" s="495"/>
      <c r="K11" s="32">
        <f>C11+G11+H11+I11</f>
        <v>11798799.34</v>
      </c>
      <c r="L11" s="245"/>
    </row>
    <row r="12" spans="1:12" s="12" customFormat="1" ht="15.75" customHeight="1" thickBot="1" x14ac:dyDescent="0.3">
      <c r="A12" s="544" t="s">
        <v>144</v>
      </c>
      <c r="B12" s="240"/>
      <c r="C12" s="240">
        <f>C10+C11</f>
        <v>15267915</v>
      </c>
      <c r="D12" s="240"/>
      <c r="E12" s="240"/>
      <c r="F12" s="240"/>
      <c r="G12" s="240">
        <f>G10+G11</f>
        <v>165080.34</v>
      </c>
      <c r="H12" s="240"/>
      <c r="I12" s="545">
        <f>I10+I11</f>
        <v>2332824</v>
      </c>
      <c r="J12" s="546"/>
      <c r="K12" s="240">
        <f>C12+G12+H12+I12</f>
        <v>17765819.34</v>
      </c>
      <c r="L12" s="246"/>
    </row>
    <row r="13" spans="1:12" s="12" customFormat="1" ht="15.75" customHeight="1" thickBot="1" x14ac:dyDescent="0.3">
      <c r="A13" s="547" t="s">
        <v>149</v>
      </c>
      <c r="B13" s="530"/>
      <c r="C13" s="531">
        <f>'nefrol slatina'!C14+'nefrol caracal'!C14+'sp slatina'!C12</f>
        <v>0</v>
      </c>
      <c r="D13" s="541"/>
      <c r="E13" s="548"/>
      <c r="F13" s="530"/>
      <c r="G13" s="531">
        <v>0</v>
      </c>
      <c r="H13" s="530"/>
      <c r="I13" s="549">
        <v>0</v>
      </c>
      <c r="J13" s="550"/>
      <c r="K13" s="551">
        <f>C13+G13+I13</f>
        <v>0</v>
      </c>
      <c r="L13" s="529"/>
    </row>
    <row r="14" spans="1:12" s="12" customFormat="1" ht="15.75" customHeight="1" thickBot="1" x14ac:dyDescent="0.3">
      <c r="A14" s="547" t="s">
        <v>140</v>
      </c>
      <c r="B14" s="690"/>
      <c r="C14" s="691">
        <f>C12+C13</f>
        <v>15267915</v>
      </c>
      <c r="D14" s="541"/>
      <c r="E14" s="548"/>
      <c r="F14" s="548"/>
      <c r="G14" s="541">
        <f>G12+G13</f>
        <v>165080.34</v>
      </c>
      <c r="H14" s="548"/>
      <c r="I14" s="553">
        <f>I12+I13</f>
        <v>2332824</v>
      </c>
      <c r="J14" s="642"/>
      <c r="K14" s="541">
        <f>K12+K13</f>
        <v>17765819.34</v>
      </c>
      <c r="L14" s="529"/>
    </row>
    <row r="15" spans="1:12" s="12" customFormat="1" ht="15.75" customHeight="1" thickBot="1" x14ac:dyDescent="0.3">
      <c r="A15" s="697" t="s">
        <v>156</v>
      </c>
      <c r="B15" s="694"/>
      <c r="C15" s="625">
        <f>'nefrol slatina'!C16+'nefrol caracal'!C16+'sp slatina'!C14</f>
        <v>183967</v>
      </c>
      <c r="D15" s="695"/>
      <c r="E15" s="478"/>
      <c r="F15" s="486"/>
      <c r="G15" s="675">
        <f>'nefrol slatina'!E16+'sp slatina'!E14</f>
        <v>1</v>
      </c>
      <c r="H15" s="625"/>
      <c r="I15" s="644">
        <f>'nefrol slatina'!G16++'nefrol slatina'!G16</f>
        <v>51552</v>
      </c>
      <c r="J15" s="643"/>
      <c r="K15" s="641">
        <f>C15+G15+I15</f>
        <v>235520</v>
      </c>
      <c r="L15" s="612"/>
    </row>
    <row r="16" spans="1:12" s="12" customFormat="1" ht="15.75" customHeight="1" thickBot="1" x14ac:dyDescent="0.3">
      <c r="A16" s="698" t="s">
        <v>140</v>
      </c>
      <c r="B16" s="692"/>
      <c r="C16" s="548">
        <f>C14+C15</f>
        <v>15451882</v>
      </c>
      <c r="D16" s="686"/>
      <c r="E16" s="32"/>
      <c r="F16" s="212"/>
      <c r="G16" s="677">
        <f>G14+G15</f>
        <v>165081.34</v>
      </c>
      <c r="H16" s="548"/>
      <c r="I16" s="553">
        <f>I14+I15</f>
        <v>2384376</v>
      </c>
      <c r="J16" s="642"/>
      <c r="K16" s="541">
        <f>C16+G16+I16</f>
        <v>18001339.34</v>
      </c>
      <c r="L16" s="612"/>
    </row>
    <row r="17" spans="1:12" s="12" customFormat="1" ht="15.75" customHeight="1" thickBot="1" x14ac:dyDescent="0.3">
      <c r="A17" s="699" t="s">
        <v>158</v>
      </c>
      <c r="B17" s="693"/>
      <c r="C17" s="625">
        <f>'nefrol slatina'!C18+'nefrol caracal'!C18+'sp slatina'!C16</f>
        <v>653820</v>
      </c>
      <c r="D17" s="686"/>
      <c r="E17" s="32"/>
      <c r="F17" s="212"/>
      <c r="G17" s="675">
        <f>'nefrol slatina'!E18+'sp slatina'!E16</f>
        <v>-4</v>
      </c>
      <c r="H17" s="625"/>
      <c r="I17" s="644">
        <f>'nefrol slatina'!G18+'nefrol caracal'!G18</f>
        <v>103104</v>
      </c>
      <c r="J17" s="643"/>
      <c r="K17" s="641">
        <f>C17+G17+I17</f>
        <v>756920</v>
      </c>
      <c r="L17" s="630"/>
    </row>
    <row r="18" spans="1:12" s="12" customFormat="1" ht="15.75" customHeight="1" thickBot="1" x14ac:dyDescent="0.3">
      <c r="A18" s="681" t="s">
        <v>140</v>
      </c>
      <c r="B18" s="693"/>
      <c r="C18" s="625">
        <f>C16+C17</f>
        <v>16105702</v>
      </c>
      <c r="D18" s="686"/>
      <c r="E18" s="32"/>
      <c r="F18" s="212"/>
      <c r="G18" s="675">
        <f>G16+G17</f>
        <v>165077.34</v>
      </c>
      <c r="H18" s="625"/>
      <c r="I18" s="644">
        <f>I16+I17</f>
        <v>2487480</v>
      </c>
      <c r="J18" s="643"/>
      <c r="K18" s="641">
        <f>K16+K17</f>
        <v>18758259.34</v>
      </c>
      <c r="L18" s="630"/>
    </row>
    <row r="19" spans="1:12" s="12" customFormat="1" ht="15.75" customHeight="1" thickBot="1" x14ac:dyDescent="0.3">
      <c r="A19" s="700" t="s">
        <v>164</v>
      </c>
      <c r="B19" s="693"/>
      <c r="C19" s="548">
        <f>'nefrol slatina'!C20+'nefrol caracal'!C20+'sp slatina'!C18</f>
        <v>-382677</v>
      </c>
      <c r="D19" s="686"/>
      <c r="E19" s="32"/>
      <c r="F19" s="212"/>
      <c r="G19" s="677">
        <f>'nefrol slatina'!E20+'sp slatina'!E18</f>
        <v>-65676.34</v>
      </c>
      <c r="H19" s="625"/>
      <c r="I19" s="553">
        <f>'nefrol slatina'!G20+'nefrol caracal'!G20</f>
        <v>-104536</v>
      </c>
      <c r="J19" s="643"/>
      <c r="K19" s="541">
        <f>C19+G19+I19</f>
        <v>-552889.34</v>
      </c>
      <c r="L19" s="670"/>
    </row>
    <row r="20" spans="1:12" s="12" customFormat="1" ht="15.75" customHeight="1" thickBot="1" x14ac:dyDescent="0.3">
      <c r="A20" s="700" t="s">
        <v>131</v>
      </c>
      <c r="B20" s="696"/>
      <c r="C20" s="625">
        <f>'nefrol slatina'!C21+'nefrol caracal'!C21+'sp slatina'!C19</f>
        <v>15723025</v>
      </c>
      <c r="D20" s="687"/>
      <c r="E20" s="688"/>
      <c r="F20" s="689"/>
      <c r="G20" s="675">
        <f>'nefrol slatina'!E21+'sp slatina'!E19</f>
        <v>99401</v>
      </c>
      <c r="H20" s="625"/>
      <c r="I20" s="644">
        <f>'nefrol slatina'!G21+'nefrol caracal'!G21</f>
        <v>2382944</v>
      </c>
      <c r="J20" s="643"/>
      <c r="K20" s="641">
        <f>C20+G20+I20</f>
        <v>18205370</v>
      </c>
      <c r="L20" s="670"/>
    </row>
    <row r="21" spans="1:12" ht="30.75" thickBot="1" x14ac:dyDescent="0.3">
      <c r="A21" s="552" t="s">
        <v>136</v>
      </c>
      <c r="B21" s="719" t="s">
        <v>17</v>
      </c>
      <c r="C21" s="720"/>
      <c r="D21" s="721" t="s">
        <v>41</v>
      </c>
      <c r="E21" s="722"/>
      <c r="F21" s="719" t="s">
        <v>15</v>
      </c>
      <c r="G21" s="720"/>
      <c r="H21" s="719" t="s">
        <v>16</v>
      </c>
      <c r="I21" s="720"/>
      <c r="J21" s="719" t="s">
        <v>20</v>
      </c>
      <c r="K21" s="723"/>
      <c r="L21" s="507" t="s">
        <v>94</v>
      </c>
    </row>
    <row r="22" spans="1:12" x14ac:dyDescent="0.25">
      <c r="B22" s="27" t="s">
        <v>21</v>
      </c>
      <c r="C22" s="27" t="s">
        <v>22</v>
      </c>
      <c r="D22" s="27" t="s">
        <v>21</v>
      </c>
      <c r="E22" s="27" t="s">
        <v>22</v>
      </c>
      <c r="F22" s="27" t="s">
        <v>21</v>
      </c>
      <c r="G22" s="27" t="s">
        <v>22</v>
      </c>
      <c r="H22" s="27" t="s">
        <v>21</v>
      </c>
      <c r="I22" s="27" t="s">
        <v>22</v>
      </c>
      <c r="J22" s="27" t="s">
        <v>21</v>
      </c>
      <c r="K22" s="79" t="s">
        <v>22</v>
      </c>
      <c r="L22" s="508"/>
    </row>
    <row r="23" spans="1:12" x14ac:dyDescent="0.25">
      <c r="A23" s="28" t="s">
        <v>23</v>
      </c>
      <c r="B23" s="21"/>
      <c r="C23" s="21">
        <f>'nefrol slatina'!C24+'nefrol caracal'!C24+'sp slatina'!C22</f>
        <v>1188759</v>
      </c>
      <c r="D23" s="21"/>
      <c r="E23" s="21">
        <f>'nefrol slatina'!G24+'nefrol caracal'!F24</f>
        <v>177444</v>
      </c>
      <c r="F23" s="21"/>
      <c r="G23" s="21">
        <f>'nefrol slatina'!E24+'sp slatina'!E22</f>
        <v>9664</v>
      </c>
      <c r="H23" s="21"/>
      <c r="I23" s="21"/>
      <c r="J23" s="33"/>
      <c r="K23" s="81">
        <f>C23+E23+G23+I23</f>
        <v>1375867</v>
      </c>
      <c r="L23" s="192">
        <f>'nefrol slatina'!J24+'nefrol caracal'!J24+'sp slatina'!J22</f>
        <v>1424902</v>
      </c>
    </row>
    <row r="24" spans="1:12" x14ac:dyDescent="0.25">
      <c r="A24" s="28" t="s">
        <v>24</v>
      </c>
      <c r="B24" s="21"/>
      <c r="C24" s="21">
        <f>'nefrol slatina'!C25+'nefrol caracal'!C25+'sp slatina'!C23</f>
        <v>1083291</v>
      </c>
      <c r="D24" s="21"/>
      <c r="E24" s="21">
        <f>'nefrol slatina'!G25+'nefrol caracal'!F25</f>
        <v>161544</v>
      </c>
      <c r="F24" s="21"/>
      <c r="G24" s="21">
        <f>'nefrol slatina'!E25+'sp slatina'!E23</f>
        <v>9664</v>
      </c>
      <c r="H24" s="21"/>
      <c r="I24" s="21"/>
      <c r="J24" s="33"/>
      <c r="K24" s="81">
        <f>C24+E24+G24+I24</f>
        <v>1254499</v>
      </c>
      <c r="L24" s="192">
        <f>'nefrol slatina'!J25+'nefrol caracal'!J25+'sp slatina'!J23</f>
        <v>1375867</v>
      </c>
    </row>
    <row r="25" spans="1:12" x14ac:dyDescent="0.25">
      <c r="A25" s="28" t="s">
        <v>25</v>
      </c>
      <c r="B25" s="21"/>
      <c r="C25" s="21">
        <f>'nefrol slatina'!C26+'nefrol caracal'!C26+'sp slatina'!C24</f>
        <v>1211199</v>
      </c>
      <c r="D25" s="21"/>
      <c r="E25" s="21">
        <f>'nefrol slatina'!G26+'nefrol caracal'!F26</f>
        <v>180624</v>
      </c>
      <c r="F25" s="21"/>
      <c r="G25" s="21">
        <f>'nefrol slatina'!E26+'sp slatina'!E24</f>
        <v>9664</v>
      </c>
      <c r="H25" s="21"/>
      <c r="I25" s="21"/>
      <c r="J25" s="33"/>
      <c r="K25" s="81">
        <f>C25+E25+G25+I25</f>
        <v>1401487</v>
      </c>
      <c r="L25" s="192">
        <f>'nefrol slatina'!J26+'nefrol caracal'!J26+'sp slatina'!J24</f>
        <v>1254499</v>
      </c>
    </row>
    <row r="26" spans="1:12" x14ac:dyDescent="0.25">
      <c r="A26" s="30" t="s">
        <v>27</v>
      </c>
      <c r="B26" s="31"/>
      <c r="C26" s="31">
        <f t="shared" ref="C26:K26" si="0">SUM(C23:C25)</f>
        <v>3483249</v>
      </c>
      <c r="D26" s="31"/>
      <c r="E26" s="31">
        <f t="shared" si="0"/>
        <v>519612</v>
      </c>
      <c r="F26" s="31"/>
      <c r="G26" s="31">
        <f t="shared" si="0"/>
        <v>28992</v>
      </c>
      <c r="H26" s="31"/>
      <c r="I26" s="31"/>
      <c r="J26" s="31"/>
      <c r="K26" s="81">
        <f t="shared" si="0"/>
        <v>4031853</v>
      </c>
      <c r="L26" s="509">
        <f>SUM(L23:L25)</f>
        <v>4055268</v>
      </c>
    </row>
    <row r="27" spans="1:12" s="52" customFormat="1" x14ac:dyDescent="0.25">
      <c r="A27" s="50" t="s">
        <v>26</v>
      </c>
      <c r="B27" s="51"/>
      <c r="C27" s="51">
        <f>'nefrol slatina'!C28+'nefrol caracal'!C28+'sp slatina'!C26</f>
        <v>0</v>
      </c>
      <c r="D27" s="51"/>
      <c r="E27" s="51">
        <f>'[1]nefrol caracal'!G17</f>
        <v>0</v>
      </c>
      <c r="F27" s="51"/>
      <c r="G27" s="51">
        <v>0</v>
      </c>
      <c r="H27" s="51"/>
      <c r="I27" s="51"/>
      <c r="J27" s="49"/>
      <c r="K27" s="502">
        <f>C27</f>
        <v>0</v>
      </c>
      <c r="L27" s="195">
        <v>0</v>
      </c>
    </row>
    <row r="28" spans="1:12" s="171" customFormat="1" x14ac:dyDescent="0.25">
      <c r="A28" s="169" t="s">
        <v>20</v>
      </c>
      <c r="B28" s="170"/>
      <c r="C28" s="170">
        <f>C26+C27</f>
        <v>3483249</v>
      </c>
      <c r="D28" s="170"/>
      <c r="E28" s="170">
        <f>E26+E27</f>
        <v>519612</v>
      </c>
      <c r="F28" s="170"/>
      <c r="G28" s="170">
        <f>G26+G27</f>
        <v>28992</v>
      </c>
      <c r="H28" s="170"/>
      <c r="I28" s="170"/>
      <c r="J28" s="159"/>
      <c r="K28" s="164">
        <f>C28+E28+G28+I28</f>
        <v>4031853</v>
      </c>
      <c r="L28" s="205">
        <v>0</v>
      </c>
    </row>
    <row r="29" spans="1:12" s="55" customFormat="1" x14ac:dyDescent="0.25">
      <c r="A29" s="190" t="s">
        <v>28</v>
      </c>
      <c r="B29" s="60"/>
      <c r="C29" s="47">
        <f>'nefrol slatina'!C30+'nefrol caracal'!C30+'sp slatina'!C28</f>
        <v>1328152</v>
      </c>
      <c r="D29" s="47"/>
      <c r="E29" s="21">
        <f>'nefrol slatina'!G30+'nefrol caracal'!F30</f>
        <v>204776</v>
      </c>
      <c r="F29" s="47"/>
      <c r="G29" s="47">
        <f>'nefrol slatina'!E30+'sp slatina'!E28</f>
        <v>10682.66</v>
      </c>
      <c r="H29" s="47"/>
      <c r="I29" s="47"/>
      <c r="J29" s="33"/>
      <c r="K29" s="80">
        <f>C29+E29+G29+I29</f>
        <v>1543610.66</v>
      </c>
      <c r="L29" s="192">
        <f>'nefrol slatina'!J30+'nefrol caracal'!J30+'sp slatina'!J28</f>
        <v>1401487</v>
      </c>
    </row>
    <row r="30" spans="1:12" s="55" customFormat="1" x14ac:dyDescent="0.25">
      <c r="A30" s="190" t="s">
        <v>29</v>
      </c>
      <c r="B30" s="60"/>
      <c r="C30" s="47">
        <f>'nefrol slatina'!C31+'nefrol caracal'!C31+'sp slatina'!C29</f>
        <v>1333921</v>
      </c>
      <c r="D30" s="47"/>
      <c r="E30" s="21">
        <f>'nefrol slatina'!G31+'nefrol caracal'!F31</f>
        <v>201196</v>
      </c>
      <c r="F30" s="47"/>
      <c r="G30" s="47">
        <f>'nefrol slatina'!E31+'sp slatina'!E29</f>
        <v>10682.66</v>
      </c>
      <c r="H30" s="47"/>
      <c r="I30" s="47"/>
      <c r="J30" s="33"/>
      <c r="K30" s="555">
        <f>C30+E30+G30+I30</f>
        <v>1545799.66</v>
      </c>
      <c r="L30" s="263">
        <f>'nefrol slatina'!J31+'nefrol caracal'!J31+'sp slatina'!J29</f>
        <v>1543610.6600000001</v>
      </c>
    </row>
    <row r="31" spans="1:12" s="55" customFormat="1" x14ac:dyDescent="0.25">
      <c r="A31" s="190" t="s">
        <v>30</v>
      </c>
      <c r="B31" s="60"/>
      <c r="C31" s="47">
        <f>'nefrol slatina'!C32+'nefrol caracal'!C32+'sp slatina'!C30</f>
        <v>1338408</v>
      </c>
      <c r="D31" s="47"/>
      <c r="E31" s="21">
        <f>'nefrol slatina'!G32+'nefrol caracal'!F32</f>
        <v>201912</v>
      </c>
      <c r="F31" s="47"/>
      <c r="G31" s="47">
        <f>'nefrol slatina'!E32+'sp slatina'!E30</f>
        <v>10682.66</v>
      </c>
      <c r="H31" s="47"/>
      <c r="I31" s="47"/>
      <c r="J31" s="33"/>
      <c r="K31" s="556">
        <f>C31+E31+G31+I31</f>
        <v>1551002.66</v>
      </c>
      <c r="L31" s="263">
        <f>'nefrol slatina'!J32+'nefrol caracal'!J32+'sp slatina'!J30</f>
        <v>1545799.6600000001</v>
      </c>
    </row>
    <row r="32" spans="1:12" s="12" customFormat="1" x14ac:dyDescent="0.25">
      <c r="A32" s="84" t="s">
        <v>31</v>
      </c>
      <c r="B32" s="165"/>
      <c r="C32" s="165">
        <f>SUM(C29:C31)</f>
        <v>4000481</v>
      </c>
      <c r="D32" s="85"/>
      <c r="E32" s="85">
        <f>SUM(E29:E31)</f>
        <v>607884</v>
      </c>
      <c r="F32" s="165"/>
      <c r="G32" s="165">
        <f>SUM(G29:G31)</f>
        <v>32047.98</v>
      </c>
      <c r="H32" s="165"/>
      <c r="I32" s="165"/>
      <c r="J32" s="85"/>
      <c r="K32" s="164">
        <f>SUM(K29:K31)</f>
        <v>4640412.9799999995</v>
      </c>
      <c r="L32" s="509">
        <f>SUM(L29:L31)</f>
        <v>4490897.32</v>
      </c>
    </row>
    <row r="33" spans="1:14" s="12" customFormat="1" x14ac:dyDescent="0.25">
      <c r="A33" s="156" t="s">
        <v>50</v>
      </c>
      <c r="B33" s="157"/>
      <c r="C33" s="157"/>
      <c r="D33" s="157"/>
      <c r="E33" s="157"/>
      <c r="F33" s="157"/>
      <c r="G33" s="157">
        <f>'[1]nefrol caracal'!E23+'[1]sp slatina'!E21</f>
        <v>0</v>
      </c>
      <c r="H33" s="157"/>
      <c r="I33" s="157"/>
      <c r="J33" s="157"/>
      <c r="K33" s="503">
        <f>C33+E33</f>
        <v>0</v>
      </c>
      <c r="L33" s="198"/>
    </row>
    <row r="34" spans="1:14" s="52" customFormat="1" x14ac:dyDescent="0.25">
      <c r="A34" s="156" t="s">
        <v>20</v>
      </c>
      <c r="B34" s="157"/>
      <c r="C34" s="157">
        <f>C28+C32+C33</f>
        <v>7483730</v>
      </c>
      <c r="D34" s="157"/>
      <c r="E34" s="157">
        <f>E28+E32+E33</f>
        <v>1127496</v>
      </c>
      <c r="F34" s="157"/>
      <c r="G34" s="157">
        <f>G28+G32</f>
        <v>61039.979999999996</v>
      </c>
      <c r="H34" s="157"/>
      <c r="I34" s="157"/>
      <c r="J34" s="157"/>
      <c r="K34" s="503">
        <f>K28+K32+K33</f>
        <v>8672265.9800000004</v>
      </c>
      <c r="L34" s="198">
        <f>L26+L32</f>
        <v>8546165.3200000003</v>
      </c>
      <c r="M34" s="53"/>
    </row>
    <row r="35" spans="1:14" s="55" customFormat="1" x14ac:dyDescent="0.25">
      <c r="A35" s="190" t="s">
        <v>32</v>
      </c>
      <c r="B35" s="47"/>
      <c r="C35" s="47">
        <f>'nefrol slatina'!C35+'nefrol caracal'!C36+'sp slatina'!C34</f>
        <v>1318537</v>
      </c>
      <c r="D35" s="47"/>
      <c r="E35" s="47">
        <f>'nefrol slatina'!G35+'nefrol caracal'!F36</f>
        <v>210504</v>
      </c>
      <c r="F35" s="47"/>
      <c r="G35" s="47">
        <f>'nefrol slatina'!E35+'sp slatina'!E34</f>
        <v>10682.66</v>
      </c>
      <c r="H35" s="47"/>
      <c r="I35" s="47"/>
      <c r="J35" s="47"/>
      <c r="K35" s="82">
        <f>'nefrol slatina'!I35+'nefrol caracal'!I36+'sp slatina'!I34</f>
        <v>1539723.6600000001</v>
      </c>
      <c r="L35" s="194">
        <f>'nefrol slatina'!J35+'nefrol caracal'!J36+'sp slatina'!J34</f>
        <v>1551002.6600000001</v>
      </c>
      <c r="N35" s="54"/>
    </row>
    <row r="36" spans="1:14" s="55" customFormat="1" x14ac:dyDescent="0.25">
      <c r="A36" s="190" t="s">
        <v>33</v>
      </c>
      <c r="B36" s="47"/>
      <c r="C36" s="47">
        <f>'nefrol slatina'!C36+'nefrol caracal'!C37+'sp slatina'!C35</f>
        <v>1381996</v>
      </c>
      <c r="D36" s="47"/>
      <c r="E36" s="47">
        <f>'nefrol slatina'!G36+'nefrol caracal'!F37</f>
        <v>221244</v>
      </c>
      <c r="F36" s="47"/>
      <c r="G36" s="47">
        <f>'nefrol slatina'!E36+'sp slatina'!E35</f>
        <v>5341.33</v>
      </c>
      <c r="H36" s="47"/>
      <c r="I36" s="47"/>
      <c r="J36" s="47"/>
      <c r="K36" s="82">
        <f>'nefrol slatina'!I36+'nefrol caracal'!I37+'sp slatina'!I35</f>
        <v>1608581.33</v>
      </c>
      <c r="L36" s="194">
        <f>'nefrol slatina'!J36+'nefrol caracal'!J37+'sp slatina'!J35</f>
        <v>1539723.6600000001</v>
      </c>
    </row>
    <row r="37" spans="1:14" s="55" customFormat="1" x14ac:dyDescent="0.25">
      <c r="A37" s="190" t="s">
        <v>34</v>
      </c>
      <c r="B37" s="47"/>
      <c r="C37" s="47">
        <f>'nefrol slatina'!C37+'nefrol caracal'!C38+'sp slatina'!C36</f>
        <v>1334562</v>
      </c>
      <c r="D37" s="47"/>
      <c r="E37" s="47">
        <f>'nefrol slatina'!G37+'nefrol caracal'!F38</f>
        <v>203344</v>
      </c>
      <c r="F37" s="47"/>
      <c r="G37" s="47">
        <f>'nefrol slatina'!E37+'sp slatina'!E36</f>
        <v>5341.33</v>
      </c>
      <c r="H37" s="47"/>
      <c r="I37" s="47"/>
      <c r="J37" s="47"/>
      <c r="K37" s="82">
        <f>'nefrol slatina'!I37+'nefrol caracal'!I38+'sp slatina'!I36</f>
        <v>1543247.33</v>
      </c>
      <c r="L37" s="194">
        <f>'nefrol slatina'!J37+'nefrol caracal'!J38+'sp slatina'!J36</f>
        <v>1608581.33</v>
      </c>
    </row>
    <row r="38" spans="1:14" x14ac:dyDescent="0.25">
      <c r="A38" s="84" t="s">
        <v>35</v>
      </c>
      <c r="B38" s="85"/>
      <c r="C38" s="85">
        <f t="shared" ref="C38:L38" si="1">SUM(C35:C37)</f>
        <v>4035095</v>
      </c>
      <c r="D38" s="85"/>
      <c r="E38" s="85">
        <f t="shared" si="1"/>
        <v>635092</v>
      </c>
      <c r="F38" s="85"/>
      <c r="G38" s="85">
        <f t="shared" si="1"/>
        <v>21365.32</v>
      </c>
      <c r="H38" s="85"/>
      <c r="I38" s="85"/>
      <c r="J38" s="85"/>
      <c r="K38" s="499">
        <f t="shared" si="1"/>
        <v>4691552.32</v>
      </c>
      <c r="L38" s="197">
        <f t="shared" si="1"/>
        <v>4699307.6500000004</v>
      </c>
    </row>
    <row r="39" spans="1:14" x14ac:dyDescent="0.25">
      <c r="A39" s="156" t="s">
        <v>58</v>
      </c>
      <c r="B39" s="157"/>
      <c r="C39" s="157">
        <v>0</v>
      </c>
      <c r="D39" s="157"/>
      <c r="E39" s="157"/>
      <c r="F39" s="157"/>
      <c r="G39" s="157">
        <f>'[1]nefrol caracal'!E29+'[1]sp slatina'!E27</f>
        <v>0</v>
      </c>
      <c r="H39" s="157"/>
      <c r="I39" s="157"/>
      <c r="J39" s="157"/>
      <c r="K39" s="503">
        <v>0</v>
      </c>
      <c r="L39" s="198"/>
    </row>
    <row r="40" spans="1:14" s="35" customFormat="1" x14ac:dyDescent="0.25">
      <c r="A40" s="86" t="s">
        <v>55</v>
      </c>
      <c r="B40" s="87"/>
      <c r="C40" s="87">
        <f>C34+C38+C39</f>
        <v>11518825</v>
      </c>
      <c r="D40" s="87"/>
      <c r="E40" s="87">
        <f>E34+E38</f>
        <v>1762588</v>
      </c>
      <c r="F40" s="87"/>
      <c r="G40" s="87">
        <f>G34+G38</f>
        <v>82405.299999999988</v>
      </c>
      <c r="H40" s="87"/>
      <c r="I40" s="87"/>
      <c r="J40" s="87"/>
      <c r="K40" s="160">
        <f>K28+K32+K38</f>
        <v>13363818.300000001</v>
      </c>
      <c r="L40" s="198">
        <f>L26+L32+L38</f>
        <v>13245472.970000001</v>
      </c>
    </row>
    <row r="41" spans="1:14" x14ac:dyDescent="0.25">
      <c r="A41" s="28" t="s">
        <v>36</v>
      </c>
      <c r="B41" s="21"/>
      <c r="C41" s="47">
        <f>'nefrol slatina'!C41+'nefrol caracal'!C42+'sp slatina'!C40</f>
        <v>1367253</v>
      </c>
      <c r="D41" s="21"/>
      <c r="E41" s="47">
        <f>'nefrol slatina'!G41+'nefrol caracal'!F42</f>
        <v>199764</v>
      </c>
      <c r="F41" s="21"/>
      <c r="G41" s="47">
        <f>'nefrol slatina'!E41+'sp slatina'!E40</f>
        <v>5341.33</v>
      </c>
      <c r="H41" s="21"/>
      <c r="I41" s="21"/>
      <c r="J41" s="33"/>
      <c r="K41" s="82">
        <f>'nefrol slatina'!I41+'nefrol caracal'!I42+'sp slatina'!I40</f>
        <v>1572358.33</v>
      </c>
      <c r="L41" s="194">
        <f>'nefrol slatina'!J41+'nefrol caracal'!J42+'sp slatina'!J40</f>
        <v>1543247.33</v>
      </c>
    </row>
    <row r="42" spans="1:14" x14ac:dyDescent="0.25">
      <c r="A42" s="28" t="s">
        <v>37</v>
      </c>
      <c r="B42" s="21"/>
      <c r="C42" s="47">
        <f>'nefrol slatina'!C42+'nefrol caracal'!C43+'sp slatina'!C41</f>
        <v>1362125</v>
      </c>
      <c r="D42" s="21"/>
      <c r="E42" s="47">
        <f>'nefrol slatina'!G42+'nefrol caracal'!F43</f>
        <v>201196</v>
      </c>
      <c r="F42" s="21"/>
      <c r="G42" s="47">
        <f>'nefrol slatina'!E42+'sp slatina'!E41</f>
        <v>5341.33</v>
      </c>
      <c r="H42" s="21"/>
      <c r="I42" s="21"/>
      <c r="J42" s="33"/>
      <c r="K42" s="82">
        <f>'nefrol slatina'!I42+'nefrol caracal'!I43+'sp slatina'!I41</f>
        <v>1568662.33</v>
      </c>
      <c r="L42" s="194">
        <f>'nefrol slatina'!J42+'nefrol caracal'!J43+'sp slatina'!J41</f>
        <v>1572358.33</v>
      </c>
    </row>
    <row r="43" spans="1:14" x14ac:dyDescent="0.25">
      <c r="A43" s="28" t="s">
        <v>38</v>
      </c>
      <c r="B43" s="21"/>
      <c r="C43" s="47">
        <f>'nefrol slatina'!C43+'nefrol caracal'!C44+'sp slatina'!C42</f>
        <v>1383919</v>
      </c>
      <c r="D43" s="21"/>
      <c r="E43" s="47">
        <f>'nefrol slatina'!G43+'nefrol caracal'!F44</f>
        <v>210504</v>
      </c>
      <c r="F43" s="21"/>
      <c r="G43" s="47">
        <f>'nefrol slatina'!E43+'sp slatina'!E42</f>
        <v>0</v>
      </c>
      <c r="H43" s="21"/>
      <c r="I43" s="21"/>
      <c r="J43" s="33"/>
      <c r="K43" s="82">
        <f>'nefrol slatina'!I43+'nefrol caracal'!I44+'sp slatina'!I42</f>
        <v>1594423</v>
      </c>
      <c r="L43" s="194">
        <f>'nefrol slatina'!J43+'nefrol caracal'!J44+'sp slatina'!J42</f>
        <v>1568662.33</v>
      </c>
    </row>
    <row r="44" spans="1:14" ht="15.75" thickBot="1" x14ac:dyDescent="0.3">
      <c r="A44" s="74" t="s">
        <v>40</v>
      </c>
      <c r="B44" s="75"/>
      <c r="C44" s="75">
        <f>SUM(C41:C43)</f>
        <v>4113297</v>
      </c>
      <c r="D44" s="75"/>
      <c r="E44" s="21">
        <f>SUM(E41:E43)</f>
        <v>611464</v>
      </c>
      <c r="F44" s="75"/>
      <c r="G44" s="75">
        <f t="shared" ref="G44:L44" si="2">SUM(G41:G43)</f>
        <v>10682.66</v>
      </c>
      <c r="H44" s="75"/>
      <c r="I44" s="75"/>
      <c r="J44" s="240"/>
      <c r="K44" s="504">
        <f t="shared" si="2"/>
        <v>4735443.66</v>
      </c>
      <c r="L44" s="509">
        <f t="shared" si="2"/>
        <v>4684267.99</v>
      </c>
    </row>
    <row r="45" spans="1:14" ht="15.75" thickBot="1" x14ac:dyDescent="0.3">
      <c r="A45" s="77" t="s">
        <v>95</v>
      </c>
      <c r="B45" s="78"/>
      <c r="C45" s="78">
        <f>C40+C44</f>
        <v>15632122</v>
      </c>
      <c r="D45" s="78"/>
      <c r="E45" s="78">
        <f>E40+E44</f>
        <v>2374052</v>
      </c>
      <c r="F45" s="78"/>
      <c r="G45" s="78">
        <f>G40+G44</f>
        <v>93087.959999999992</v>
      </c>
      <c r="H45" s="78"/>
      <c r="I45" s="78"/>
      <c r="J45" s="78"/>
      <c r="K45" s="505">
        <f>K40+K44</f>
        <v>18099261.960000001</v>
      </c>
      <c r="L45" s="198">
        <f>L40+L44</f>
        <v>17929740.960000001</v>
      </c>
    </row>
    <row r="46" spans="1:14" s="172" customFormat="1" ht="15.75" thickBot="1" x14ac:dyDescent="0.3">
      <c r="A46" s="93" t="s">
        <v>96</v>
      </c>
      <c r="B46" s="94"/>
      <c r="C46" s="95">
        <f>'nefrol slatina'!C47+'nefrol caracal'!C48+'sp slatina'!C46</f>
        <v>15723025</v>
      </c>
      <c r="D46" s="95"/>
      <c r="E46" s="95">
        <f>'nefrol slatina'!G47+'nefrol caracal'!F48</f>
        <v>2382944</v>
      </c>
      <c r="F46" s="95"/>
      <c r="G46" s="95">
        <f>'nefrol slatina'!E47+'sp slatina'!E46</f>
        <v>99401</v>
      </c>
      <c r="H46" s="95"/>
      <c r="I46" s="95"/>
      <c r="J46" s="95"/>
      <c r="K46" s="506">
        <f>C46+E46+G46</f>
        <v>18205370</v>
      </c>
      <c r="L46" s="510">
        <v>17929750</v>
      </c>
    </row>
    <row r="47" spans="1:14" s="52" customFormat="1" ht="15.75" thickBot="1" x14ac:dyDescent="0.3">
      <c r="A47" s="235" t="s">
        <v>142</v>
      </c>
      <c r="B47" s="236"/>
      <c r="C47" s="237">
        <f>C46-C45</f>
        <v>90903</v>
      </c>
      <c r="D47" s="237"/>
      <c r="E47" s="237">
        <f>E46-E45</f>
        <v>8892</v>
      </c>
      <c r="F47" s="237"/>
      <c r="G47" s="237">
        <f>G46-G45</f>
        <v>6313.0400000000081</v>
      </c>
      <c r="H47" s="237"/>
      <c r="I47" s="237"/>
      <c r="J47" s="237"/>
      <c r="K47" s="238">
        <f>K46-K45</f>
        <v>106108.03999999911</v>
      </c>
      <c r="L47" s="201">
        <f>L46-L45</f>
        <v>9.0399999991059303</v>
      </c>
    </row>
    <row r="48" spans="1:14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4" x14ac:dyDescent="0.25">
      <c r="B49" s="9"/>
      <c r="C49" s="20"/>
      <c r="D49" s="20"/>
      <c r="E49" s="20"/>
      <c r="F49" s="20"/>
      <c r="G49" s="20"/>
      <c r="H49" s="20"/>
      <c r="I49" s="20"/>
      <c r="J49" s="20"/>
      <c r="K49" s="20"/>
    </row>
    <row r="50" spans="1:14" s="39" customFormat="1" ht="12.75" x14ac:dyDescent="0.2">
      <c r="A50" s="45"/>
      <c r="B50" s="40"/>
      <c r="C50" s="41"/>
      <c r="D50" s="41"/>
      <c r="E50" s="41"/>
      <c r="F50" s="41"/>
      <c r="G50" s="41"/>
      <c r="H50" s="41"/>
      <c r="I50" s="41"/>
      <c r="J50" s="41"/>
      <c r="K50" s="42"/>
      <c r="L50" s="40"/>
    </row>
    <row r="51" spans="1:14" x14ac:dyDescent="0.25">
      <c r="A51" s="9"/>
      <c r="B51" s="20"/>
      <c r="C51" s="20"/>
      <c r="D51" s="20"/>
      <c r="E51" s="20"/>
      <c r="F51" s="20"/>
      <c r="G51" s="20"/>
      <c r="H51" s="20"/>
      <c r="J51" s="23"/>
      <c r="K51" s="20"/>
    </row>
    <row r="52" spans="1:14" x14ac:dyDescent="0.25">
      <c r="A52" s="9"/>
      <c r="B52" s="189"/>
      <c r="C52" s="20"/>
      <c r="D52" s="20"/>
      <c r="E52" s="20"/>
      <c r="F52" s="189"/>
      <c r="G52" s="20"/>
      <c r="H52" s="189"/>
      <c r="I52" s="23"/>
      <c r="J52" s="23"/>
      <c r="K52" s="20"/>
    </row>
    <row r="53" spans="1:14" x14ac:dyDescent="0.25">
      <c r="A53" s="9"/>
      <c r="B53" s="20"/>
      <c r="C53" s="20"/>
      <c r="D53" s="20"/>
      <c r="E53" s="20"/>
      <c r="F53" s="9"/>
      <c r="G53" s="9"/>
      <c r="H53" s="9"/>
      <c r="J53" s="23"/>
      <c r="K53" s="20"/>
      <c r="L53" s="20"/>
      <c r="N53" s="11"/>
    </row>
    <row r="54" spans="1:14" x14ac:dyDescent="0.25">
      <c r="A54" s="9"/>
      <c r="B54" s="188"/>
      <c r="G54" s="20"/>
      <c r="H54" s="20"/>
      <c r="K54" s="20"/>
      <c r="L54" s="20"/>
    </row>
    <row r="55" spans="1:14" x14ac:dyDescent="0.25">
      <c r="B55" s="36"/>
      <c r="C55" s="20"/>
      <c r="D55" s="20"/>
      <c r="E55" s="20"/>
      <c r="F55" s="20"/>
      <c r="G55" s="20"/>
      <c r="H55" s="20"/>
      <c r="K55" s="20"/>
      <c r="L55" s="20"/>
    </row>
    <row r="56" spans="1:14" x14ac:dyDescent="0.25">
      <c r="K56" s="375"/>
    </row>
  </sheetData>
  <mergeCells count="10">
    <mergeCell ref="F2:G2"/>
    <mergeCell ref="B3:J3"/>
    <mergeCell ref="B21:C21"/>
    <mergeCell ref="D21:E21"/>
    <mergeCell ref="F21:G21"/>
    <mergeCell ref="H21:I21"/>
    <mergeCell ref="J21:K21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L16" sqref="L16"/>
    </sheetView>
  </sheetViews>
  <sheetFormatPr defaultRowHeight="15" x14ac:dyDescent="0.25"/>
  <cols>
    <col min="1" max="1" width="8" customWidth="1"/>
    <col min="2" max="2" width="5.5703125" customWidth="1"/>
    <col min="3" max="3" width="36.28515625" style="378" customWidth="1"/>
    <col min="4" max="4" width="13.5703125" style="378" customWidth="1"/>
    <col min="5" max="5" width="13.85546875" style="378" customWidth="1"/>
    <col min="6" max="6" width="15.42578125" style="379" customWidth="1"/>
    <col min="7" max="7" width="14.85546875" customWidth="1"/>
    <col min="8" max="8" width="16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99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101</v>
      </c>
      <c r="B8" s="703"/>
      <c r="C8" s="703"/>
      <c r="D8" s="703"/>
      <c r="E8" s="703"/>
      <c r="F8" s="703"/>
      <c r="G8" s="703"/>
      <c r="H8" s="703"/>
      <c r="I8" s="703"/>
      <c r="J8" s="296"/>
    </row>
    <row r="9" spans="1:10" ht="15.75" thickBot="1" x14ac:dyDescent="0.3">
      <c r="A9" s="55"/>
      <c r="B9" s="4"/>
      <c r="C9" s="5"/>
      <c r="D9" s="379"/>
      <c r="E9" s="379"/>
      <c r="G9" s="55"/>
      <c r="H9" s="55"/>
      <c r="I9" s="5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100</v>
      </c>
      <c r="F10" s="292" t="s">
        <v>88</v>
      </c>
      <c r="G10" s="299" t="s">
        <v>63</v>
      </c>
      <c r="H10" s="292" t="s">
        <v>98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304">
        <v>4</v>
      </c>
      <c r="G11" s="305">
        <v>5</v>
      </c>
      <c r="H11" s="304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6"/>
      <c r="F12" s="18"/>
      <c r="G12" s="356"/>
      <c r="H12" s="18"/>
    </row>
    <row r="13" spans="1:10" x14ac:dyDescent="0.25">
      <c r="B13" s="102"/>
      <c r="C13" s="107" t="s">
        <v>6</v>
      </c>
      <c r="D13" s="8">
        <v>35</v>
      </c>
      <c r="E13" s="8">
        <f>403+403+455</f>
        <v>1261</v>
      </c>
      <c r="F13" s="19">
        <v>452166</v>
      </c>
      <c r="G13" s="67">
        <v>255255</v>
      </c>
      <c r="H13" s="19">
        <f>F13+G13</f>
        <v>707421</v>
      </c>
    </row>
    <row r="14" spans="1:10" x14ac:dyDescent="0.25">
      <c r="B14" s="102"/>
      <c r="C14" s="107" t="s">
        <v>7</v>
      </c>
      <c r="D14" s="8">
        <v>1</v>
      </c>
      <c r="E14" s="8">
        <v>1</v>
      </c>
      <c r="F14" s="19">
        <v>30768</v>
      </c>
      <c r="G14" s="67">
        <f>4832-491</f>
        <v>4341</v>
      </c>
      <c r="H14" s="19">
        <f>F14+G14</f>
        <v>35109</v>
      </c>
    </row>
    <row r="15" spans="1:10" x14ac:dyDescent="0.25">
      <c r="B15" s="102"/>
      <c r="C15" s="107" t="s">
        <v>8</v>
      </c>
      <c r="D15" s="8">
        <v>0</v>
      </c>
      <c r="E15" s="8">
        <v>0</v>
      </c>
      <c r="F15" s="19">
        <v>0</v>
      </c>
      <c r="G15" s="67">
        <v>0</v>
      </c>
      <c r="H15" s="19">
        <f>F15+G15</f>
        <v>0</v>
      </c>
    </row>
    <row r="16" spans="1:10" s="12" customFormat="1" x14ac:dyDescent="0.25">
      <c r="B16" s="110"/>
      <c r="C16" s="111" t="s">
        <v>9</v>
      </c>
      <c r="D16" s="114">
        <v>36</v>
      </c>
      <c r="E16" s="10" t="s">
        <v>14</v>
      </c>
      <c r="F16" s="255">
        <v>482934</v>
      </c>
      <c r="G16" s="115">
        <f>SUM(G13:G15)</f>
        <v>259596</v>
      </c>
      <c r="H16" s="183">
        <f>SUM(H13:H15)</f>
        <v>742530</v>
      </c>
    </row>
    <row r="17" spans="2:9" x14ac:dyDescent="0.25">
      <c r="B17" s="7" t="s">
        <v>10</v>
      </c>
      <c r="C17" s="112" t="s">
        <v>11</v>
      </c>
      <c r="D17" s="8"/>
      <c r="E17" s="8"/>
      <c r="F17" s="253"/>
      <c r="G17" s="187"/>
      <c r="H17" s="182"/>
    </row>
    <row r="18" spans="2:9" x14ac:dyDescent="0.25">
      <c r="B18" s="7"/>
      <c r="C18" s="70" t="s">
        <v>6</v>
      </c>
      <c r="D18" s="175">
        <v>73</v>
      </c>
      <c r="E18" s="175">
        <f>1001+1001+949</f>
        <v>2951</v>
      </c>
      <c r="F18" s="256">
        <v>1123122</v>
      </c>
      <c r="G18" s="67">
        <v>532389</v>
      </c>
      <c r="H18" s="19">
        <f>F18+G18</f>
        <v>1655511</v>
      </c>
    </row>
    <row r="19" spans="2:9" x14ac:dyDescent="0.25">
      <c r="B19" s="7"/>
      <c r="C19" s="70" t="s">
        <v>7</v>
      </c>
      <c r="D19" s="175">
        <v>1</v>
      </c>
      <c r="E19" s="175">
        <v>1</v>
      </c>
      <c r="F19" s="19">
        <v>28992</v>
      </c>
      <c r="G19" s="67">
        <v>4832</v>
      </c>
      <c r="H19" s="19">
        <f>F19+G19</f>
        <v>33824</v>
      </c>
    </row>
    <row r="20" spans="2:9" x14ac:dyDescent="0.25">
      <c r="B20" s="7"/>
      <c r="C20" s="70" t="s">
        <v>12</v>
      </c>
      <c r="D20" s="175">
        <v>12</v>
      </c>
      <c r="E20" s="175">
        <f>156+156+156</f>
        <v>468</v>
      </c>
      <c r="F20" s="19">
        <v>198432</v>
      </c>
      <c r="G20" s="67">
        <v>99216</v>
      </c>
      <c r="H20" s="19">
        <f>F20+G20</f>
        <v>297648</v>
      </c>
    </row>
    <row r="21" spans="2:9" s="12" customFormat="1" x14ac:dyDescent="0.25">
      <c r="B21" s="116"/>
      <c r="C21" s="113" t="s">
        <v>9</v>
      </c>
      <c r="D21" s="114">
        <f>SUM(D18:D20)</f>
        <v>86</v>
      </c>
      <c r="E21" s="114" t="s">
        <v>14</v>
      </c>
      <c r="F21" s="183">
        <v>1350546</v>
      </c>
      <c r="G21" s="115">
        <f>SUM(G18:G20)</f>
        <v>636437</v>
      </c>
      <c r="H21" s="183">
        <f>SUM(H18:H20)</f>
        <v>1986983</v>
      </c>
    </row>
    <row r="22" spans="2:9" s="12" customFormat="1" x14ac:dyDescent="0.25">
      <c r="B22" s="116" t="s">
        <v>60</v>
      </c>
      <c r="C22" s="113" t="s">
        <v>59</v>
      </c>
      <c r="D22" s="114"/>
      <c r="E22" s="114"/>
      <c r="F22" s="254"/>
      <c r="G22" s="244"/>
      <c r="H22" s="183"/>
    </row>
    <row r="23" spans="2:9" s="12" customFormat="1" x14ac:dyDescent="0.25">
      <c r="B23" s="117"/>
      <c r="C23" s="70" t="s">
        <v>6</v>
      </c>
      <c r="D23" s="8">
        <v>59</v>
      </c>
      <c r="E23" s="8">
        <f>780+780+767</f>
        <v>2327</v>
      </c>
      <c r="F23" s="355">
        <v>875160</v>
      </c>
      <c r="G23" s="67">
        <v>430287</v>
      </c>
      <c r="H23" s="182">
        <f>F23+G23</f>
        <v>1305447</v>
      </c>
    </row>
    <row r="24" spans="2:9" s="12" customFormat="1" ht="15.75" thickBot="1" x14ac:dyDescent="0.3">
      <c r="B24" s="118"/>
      <c r="C24" s="357" t="s">
        <v>12</v>
      </c>
      <c r="D24" s="257">
        <v>10</v>
      </c>
      <c r="E24" s="257">
        <f>130+130+130</f>
        <v>390</v>
      </c>
      <c r="F24" s="358">
        <v>165360</v>
      </c>
      <c r="G24" s="359">
        <v>82680</v>
      </c>
      <c r="H24" s="360">
        <f>F24+G24</f>
        <v>248040</v>
      </c>
    </row>
    <row r="25" spans="2:9" s="12" customFormat="1" ht="15.75" thickBot="1" x14ac:dyDescent="0.3">
      <c r="B25" s="351"/>
      <c r="C25" s="352" t="s">
        <v>9</v>
      </c>
      <c r="D25" s="258">
        <v>69</v>
      </c>
      <c r="E25" s="353"/>
      <c r="F25" s="260">
        <v>1040520</v>
      </c>
      <c r="G25" s="354">
        <f>SUM(G23:G24)</f>
        <v>512967</v>
      </c>
      <c r="H25" s="260">
        <f>SUM(H23:H24)</f>
        <v>1553487</v>
      </c>
    </row>
    <row r="26" spans="2:9" s="15" customFormat="1" ht="15.75" thickBot="1" x14ac:dyDescent="0.3">
      <c r="B26" s="103"/>
      <c r="C26" s="108" t="s">
        <v>13</v>
      </c>
      <c r="D26" s="258">
        <f>D16+D21+D25</f>
        <v>191</v>
      </c>
      <c r="E26" s="258" t="s">
        <v>14</v>
      </c>
      <c r="F26" s="260">
        <v>2874000</v>
      </c>
      <c r="G26" s="309">
        <f>G16+G21+G25</f>
        <v>1409000</v>
      </c>
      <c r="H26" s="310">
        <f>H16+H21+H25</f>
        <v>4283000</v>
      </c>
    </row>
    <row r="27" spans="2:9" x14ac:dyDescent="0.25">
      <c r="B27" s="16"/>
      <c r="C27" s="17"/>
    </row>
    <row r="28" spans="2:9" x14ac:dyDescent="0.25">
      <c r="D28" s="119"/>
      <c r="F28" s="83"/>
    </row>
    <row r="29" spans="2:9" x14ac:dyDescent="0.25">
      <c r="C29" s="48" t="s">
        <v>45</v>
      </c>
      <c r="F29" s="378"/>
      <c r="G29" s="1" t="s">
        <v>44</v>
      </c>
      <c r="H29" s="1"/>
      <c r="I29" s="1"/>
    </row>
    <row r="30" spans="2:9" x14ac:dyDescent="0.25">
      <c r="C30" s="378" t="s">
        <v>48</v>
      </c>
      <c r="F30" s="378"/>
      <c r="G30" s="704" t="s">
        <v>46</v>
      </c>
      <c r="H30" s="704"/>
    </row>
    <row r="31" spans="2:9" x14ac:dyDescent="0.25">
      <c r="C31"/>
      <c r="F31" s="378"/>
      <c r="G31" s="379"/>
    </row>
    <row r="32" spans="2:9" x14ac:dyDescent="0.25">
      <c r="B32" s="378"/>
      <c r="F32" s="54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I20" sqref="I20"/>
    </sheetView>
  </sheetViews>
  <sheetFormatPr defaultRowHeight="15" x14ac:dyDescent="0.25"/>
  <cols>
    <col min="1" max="1" width="8" customWidth="1"/>
    <col min="2" max="2" width="5.5703125" customWidth="1"/>
    <col min="3" max="3" width="36.28515625" style="450" customWidth="1"/>
    <col min="4" max="4" width="13.5703125" style="450" customWidth="1"/>
    <col min="5" max="5" width="12.5703125" style="450" customWidth="1"/>
    <col min="6" max="6" width="15.42578125" style="451" customWidth="1"/>
    <col min="7" max="7" width="13" customWidth="1"/>
    <col min="8" max="8" width="16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108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111</v>
      </c>
      <c r="B8" s="703"/>
      <c r="C8" s="703"/>
      <c r="D8" s="703"/>
      <c r="E8" s="703"/>
      <c r="F8" s="703"/>
      <c r="G8" s="703"/>
      <c r="H8" s="703"/>
      <c r="I8" s="703"/>
      <c r="J8" s="296"/>
    </row>
    <row r="9" spans="1:10" ht="15.75" thickBot="1" x14ac:dyDescent="0.3">
      <c r="A9" s="55"/>
      <c r="B9" s="4"/>
      <c r="C9" s="5"/>
      <c r="D9" s="451"/>
      <c r="E9" s="451"/>
      <c r="G9" s="55"/>
      <c r="H9" s="55"/>
      <c r="I9" s="5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109</v>
      </c>
      <c r="F10" s="292" t="s">
        <v>98</v>
      </c>
      <c r="G10" s="299" t="s">
        <v>63</v>
      </c>
      <c r="H10" s="292" t="s">
        <v>110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304">
        <v>4</v>
      </c>
      <c r="G11" s="305">
        <v>5</v>
      </c>
      <c r="H11" s="304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6"/>
      <c r="F12" s="18"/>
      <c r="G12" s="356"/>
      <c r="H12" s="18"/>
    </row>
    <row r="13" spans="1:10" x14ac:dyDescent="0.25">
      <c r="B13" s="102"/>
      <c r="C13" s="107" t="s">
        <v>6</v>
      </c>
      <c r="D13" s="8">
        <v>38</v>
      </c>
      <c r="E13" s="8">
        <f>403+403+455+494</f>
        <v>1755</v>
      </c>
      <c r="F13" s="19">
        <v>707421</v>
      </c>
      <c r="G13" s="380">
        <v>316654</v>
      </c>
      <c r="H13" s="19">
        <f>F13+G13</f>
        <v>1024075</v>
      </c>
    </row>
    <row r="14" spans="1:10" x14ac:dyDescent="0.25">
      <c r="B14" s="102"/>
      <c r="C14" s="107" t="s">
        <v>7</v>
      </c>
      <c r="D14" s="8">
        <v>1</v>
      </c>
      <c r="E14" s="8">
        <v>1</v>
      </c>
      <c r="F14" s="19">
        <v>35109</v>
      </c>
      <c r="G14" s="380">
        <f>5341.33+4.67-4</f>
        <v>5342</v>
      </c>
      <c r="H14" s="19">
        <f>F14+G14</f>
        <v>40451</v>
      </c>
    </row>
    <row r="15" spans="1:10" x14ac:dyDescent="0.25">
      <c r="B15" s="102"/>
      <c r="C15" s="107" t="s">
        <v>8</v>
      </c>
      <c r="D15" s="8">
        <v>0</v>
      </c>
      <c r="E15" s="8">
        <v>0</v>
      </c>
      <c r="F15" s="19">
        <v>0</v>
      </c>
      <c r="G15" s="380">
        <v>0</v>
      </c>
      <c r="H15" s="19">
        <f>F15+G15</f>
        <v>0</v>
      </c>
    </row>
    <row r="16" spans="1:10" s="12" customFormat="1" x14ac:dyDescent="0.25">
      <c r="B16" s="110"/>
      <c r="C16" s="111" t="s">
        <v>9</v>
      </c>
      <c r="D16" s="114">
        <f>SUM(D13:D15)</f>
        <v>39</v>
      </c>
      <c r="E16" s="10" t="s">
        <v>14</v>
      </c>
      <c r="F16" s="255">
        <v>742530</v>
      </c>
      <c r="G16" s="381">
        <f>SUM(G13:G15)</f>
        <v>321996</v>
      </c>
      <c r="H16" s="183">
        <f>SUM(H13:H15)</f>
        <v>1064526</v>
      </c>
      <c r="J16" s="11"/>
    </row>
    <row r="17" spans="2:10" x14ac:dyDescent="0.25">
      <c r="B17" s="7" t="s">
        <v>10</v>
      </c>
      <c r="C17" s="112" t="s">
        <v>11</v>
      </c>
      <c r="D17" s="8"/>
      <c r="E17" s="8"/>
      <c r="F17" s="253"/>
      <c r="G17" s="382"/>
      <c r="H17" s="182"/>
    </row>
    <row r="18" spans="2:10" x14ac:dyDescent="0.25">
      <c r="B18" s="7"/>
      <c r="C18" s="70" t="s">
        <v>6</v>
      </c>
      <c r="D18" s="175">
        <v>70</v>
      </c>
      <c r="E18" s="175">
        <f>1001+1001+949+910</f>
        <v>3861</v>
      </c>
      <c r="F18" s="256">
        <v>1655511</v>
      </c>
      <c r="G18" s="380">
        <v>583310</v>
      </c>
      <c r="H18" s="19">
        <f>F18+G18</f>
        <v>2238821</v>
      </c>
    </row>
    <row r="19" spans="2:10" x14ac:dyDescent="0.25">
      <c r="B19" s="7"/>
      <c r="C19" s="70" t="s">
        <v>7</v>
      </c>
      <c r="D19" s="175">
        <v>1</v>
      </c>
      <c r="E19" s="175">
        <v>1</v>
      </c>
      <c r="F19" s="19">
        <v>33824</v>
      </c>
      <c r="G19" s="380">
        <f>5341.33+2.67</f>
        <v>5344</v>
      </c>
      <c r="H19" s="19">
        <f>F19+G19</f>
        <v>39168</v>
      </c>
    </row>
    <row r="20" spans="2:10" x14ac:dyDescent="0.25">
      <c r="B20" s="7"/>
      <c r="C20" s="70" t="s">
        <v>12</v>
      </c>
      <c r="D20" s="175">
        <v>12</v>
      </c>
      <c r="E20" s="175">
        <f>156+156+156+156</f>
        <v>624</v>
      </c>
      <c r="F20" s="19">
        <v>297648</v>
      </c>
      <c r="G20" s="380">
        <v>111696</v>
      </c>
      <c r="H20" s="19">
        <f>F20+G20</f>
        <v>409344</v>
      </c>
    </row>
    <row r="21" spans="2:10" s="12" customFormat="1" x14ac:dyDescent="0.25">
      <c r="B21" s="116"/>
      <c r="C21" s="113" t="s">
        <v>9</v>
      </c>
      <c r="D21" s="114">
        <f>SUM(D18:D20)</f>
        <v>83</v>
      </c>
      <c r="E21" s="114" t="s">
        <v>14</v>
      </c>
      <c r="F21" s="183">
        <v>1986983</v>
      </c>
      <c r="G21" s="381">
        <f>SUM(G18:G20)</f>
        <v>700350</v>
      </c>
      <c r="H21" s="183">
        <f>SUM(H18:H20)</f>
        <v>2687333</v>
      </c>
      <c r="J21" s="11"/>
    </row>
    <row r="22" spans="2:10" s="12" customFormat="1" x14ac:dyDescent="0.25">
      <c r="B22" s="116" t="s">
        <v>60</v>
      </c>
      <c r="C22" s="113" t="s">
        <v>59</v>
      </c>
      <c r="D22" s="114"/>
      <c r="E22" s="114"/>
      <c r="F22" s="254"/>
      <c r="G22" s="383"/>
      <c r="H22" s="183"/>
    </row>
    <row r="23" spans="2:10" s="12" customFormat="1" x14ac:dyDescent="0.25">
      <c r="B23" s="117"/>
      <c r="C23" s="70" t="s">
        <v>6</v>
      </c>
      <c r="D23" s="8">
        <v>66</v>
      </c>
      <c r="E23" s="8">
        <f>780+780+767+858</f>
        <v>3185</v>
      </c>
      <c r="F23" s="355">
        <v>1305447</v>
      </c>
      <c r="G23" s="380">
        <v>549978</v>
      </c>
      <c r="H23" s="182">
        <f>F23+G23</f>
        <v>1855425</v>
      </c>
    </row>
    <row r="24" spans="2:10" s="12" customFormat="1" ht="15.75" thickBot="1" x14ac:dyDescent="0.3">
      <c r="B24" s="118"/>
      <c r="C24" s="357" t="s">
        <v>12</v>
      </c>
      <c r="D24" s="257">
        <v>12</v>
      </c>
      <c r="E24" s="257">
        <f>130+130+130+156</f>
        <v>546</v>
      </c>
      <c r="F24" s="358">
        <v>248040</v>
      </c>
      <c r="G24" s="384">
        <v>111696</v>
      </c>
      <c r="H24" s="360">
        <f>F24+G24</f>
        <v>359736</v>
      </c>
    </row>
    <row r="25" spans="2:10" s="12" customFormat="1" ht="15.75" thickBot="1" x14ac:dyDescent="0.3">
      <c r="B25" s="351"/>
      <c r="C25" s="352" t="s">
        <v>9</v>
      </c>
      <c r="D25" s="258">
        <f>D23+D24</f>
        <v>78</v>
      </c>
      <c r="E25" s="353"/>
      <c r="F25" s="260">
        <v>1553487</v>
      </c>
      <c r="G25" s="309">
        <f>SUM(G23:G24)</f>
        <v>661674</v>
      </c>
      <c r="H25" s="260">
        <f>SUM(H23:H24)</f>
        <v>2215161</v>
      </c>
    </row>
    <row r="26" spans="2:10" s="15" customFormat="1" ht="15.75" thickBot="1" x14ac:dyDescent="0.3">
      <c r="B26" s="103"/>
      <c r="C26" s="108" t="s">
        <v>13</v>
      </c>
      <c r="D26" s="258">
        <f>D16+D21+D25</f>
        <v>200</v>
      </c>
      <c r="E26" s="258" t="s">
        <v>14</v>
      </c>
      <c r="F26" s="260">
        <v>4283000</v>
      </c>
      <c r="G26" s="309">
        <f>G16+G21+G25</f>
        <v>1684020</v>
      </c>
      <c r="H26" s="310">
        <f>H16+H21+H25</f>
        <v>5967020</v>
      </c>
    </row>
    <row r="27" spans="2:10" x14ac:dyDescent="0.25">
      <c r="B27" s="16"/>
      <c r="C27" s="17"/>
      <c r="D27" s="119"/>
    </row>
    <row r="28" spans="2:10" x14ac:dyDescent="0.25">
      <c r="D28" s="119"/>
      <c r="F28" s="83"/>
    </row>
    <row r="29" spans="2:10" x14ac:dyDescent="0.25">
      <c r="C29" s="48" t="s">
        <v>45</v>
      </c>
      <c r="F29" s="450"/>
      <c r="G29" s="1" t="s">
        <v>44</v>
      </c>
      <c r="H29" s="1"/>
      <c r="I29" s="1"/>
    </row>
    <row r="30" spans="2:10" x14ac:dyDescent="0.25">
      <c r="C30" s="450" t="s">
        <v>48</v>
      </c>
      <c r="F30" s="450"/>
      <c r="G30" s="704" t="s">
        <v>46</v>
      </c>
      <c r="H30" s="704"/>
    </row>
    <row r="31" spans="2:10" x14ac:dyDescent="0.25">
      <c r="C31"/>
      <c r="F31" s="450"/>
      <c r="G31" s="451"/>
    </row>
    <row r="32" spans="2:10" x14ac:dyDescent="0.25">
      <c r="B32" s="450"/>
      <c r="F32" s="54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27" sqref="I27"/>
    </sheetView>
  </sheetViews>
  <sheetFormatPr defaultRowHeight="15" x14ac:dyDescent="0.25"/>
  <cols>
    <col min="1" max="1" width="8" customWidth="1"/>
    <col min="2" max="2" width="5.5703125" customWidth="1"/>
    <col min="3" max="3" width="36.28515625" style="605" customWidth="1"/>
    <col min="4" max="4" width="13.5703125" style="605" customWidth="1"/>
    <col min="5" max="5" width="12.5703125" style="605" customWidth="1"/>
    <col min="6" max="6" width="17.7109375" style="606" customWidth="1"/>
    <col min="7" max="7" width="16.42578125" customWidth="1"/>
    <col min="8" max="8" width="17.140625" customWidth="1"/>
    <col min="9" max="9" width="29" customWidth="1"/>
    <col min="10" max="10" width="12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128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145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146</v>
      </c>
      <c r="B8" s="703"/>
      <c r="C8" s="703"/>
      <c r="D8" s="703"/>
      <c r="E8" s="703"/>
      <c r="F8" s="703"/>
      <c r="G8" s="703"/>
      <c r="H8" s="703"/>
      <c r="I8" s="703"/>
      <c r="J8" s="296"/>
    </row>
    <row r="9" spans="1:10" ht="15.75" thickBot="1" x14ac:dyDescent="0.3">
      <c r="A9" s="55"/>
      <c r="B9" s="4"/>
      <c r="C9" s="5"/>
      <c r="D9" s="606"/>
      <c r="E9" s="606"/>
      <c r="G9" s="55"/>
      <c r="H9" s="55"/>
      <c r="I9" s="5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127</v>
      </c>
      <c r="F10" s="521" t="s">
        <v>147</v>
      </c>
      <c r="G10" s="407" t="s">
        <v>63</v>
      </c>
      <c r="H10" s="398" t="s">
        <v>147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408" t="s">
        <v>64</v>
      </c>
      <c r="G11" s="408">
        <v>5</v>
      </c>
      <c r="H11" s="399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513"/>
      <c r="F12" s="522"/>
      <c r="G12" s="409"/>
      <c r="H12" s="400"/>
    </row>
    <row r="13" spans="1:10" x14ac:dyDescent="0.25">
      <c r="B13" s="102"/>
      <c r="C13" s="107" t="s">
        <v>6</v>
      </c>
      <c r="D13" s="8">
        <v>38</v>
      </c>
      <c r="E13" s="514">
        <f>403+403+455+494+3458+73</f>
        <v>5286</v>
      </c>
      <c r="F13" s="410">
        <v>3240653</v>
      </c>
      <c r="G13" s="410">
        <v>40953</v>
      </c>
      <c r="H13" s="401">
        <f>F13+G13</f>
        <v>3281606</v>
      </c>
      <c r="I13" s="528"/>
      <c r="J13" s="9"/>
    </row>
    <row r="14" spans="1:10" x14ac:dyDescent="0.25">
      <c r="B14" s="102"/>
      <c r="C14" s="107" t="s">
        <v>7</v>
      </c>
      <c r="D14" s="8">
        <v>1</v>
      </c>
      <c r="E14" s="514">
        <v>1</v>
      </c>
      <c r="F14" s="410">
        <v>83181.67</v>
      </c>
      <c r="G14" s="410">
        <v>0</v>
      </c>
      <c r="H14" s="401">
        <f>F14+G14</f>
        <v>83181.67</v>
      </c>
      <c r="I14" s="528"/>
      <c r="J14" s="528"/>
    </row>
    <row r="15" spans="1:10" x14ac:dyDescent="0.25">
      <c r="B15" s="102"/>
      <c r="C15" s="107" t="s">
        <v>8</v>
      </c>
      <c r="D15" s="8">
        <v>0</v>
      </c>
      <c r="E15" s="514">
        <v>0</v>
      </c>
      <c r="F15" s="410">
        <v>0</v>
      </c>
      <c r="G15" s="410">
        <v>0</v>
      </c>
      <c r="H15" s="401">
        <f>F15+G15</f>
        <v>0</v>
      </c>
    </row>
    <row r="16" spans="1:10" s="12" customFormat="1" x14ac:dyDescent="0.25">
      <c r="B16" s="110"/>
      <c r="C16" s="111" t="s">
        <v>9</v>
      </c>
      <c r="D16" s="114">
        <f>SUM(D13:D15)</f>
        <v>39</v>
      </c>
      <c r="E16" s="515" t="s">
        <v>14</v>
      </c>
      <c r="F16" s="523">
        <v>3323834.67</v>
      </c>
      <c r="G16" s="411">
        <f>SUM(G13:G15)</f>
        <v>40953</v>
      </c>
      <c r="H16" s="402">
        <f>SUM(H13:H15)</f>
        <v>3364787.67</v>
      </c>
      <c r="I16" s="607"/>
      <c r="J16" s="11"/>
    </row>
    <row r="17" spans="2:11" x14ac:dyDescent="0.25">
      <c r="B17" s="7" t="s">
        <v>10</v>
      </c>
      <c r="C17" s="112" t="s">
        <v>11</v>
      </c>
      <c r="D17" s="8"/>
      <c r="E17" s="514"/>
      <c r="F17" s="524"/>
      <c r="G17" s="412"/>
      <c r="H17" s="403"/>
    </row>
    <row r="18" spans="2:11" x14ac:dyDescent="0.25">
      <c r="B18" s="7"/>
      <c r="C18" s="70" t="s">
        <v>6</v>
      </c>
      <c r="D18" s="175">
        <v>70</v>
      </c>
      <c r="E18" s="516">
        <f>1001+1001+949+910+6370-45</f>
        <v>10186</v>
      </c>
      <c r="F18" s="410">
        <v>6321991</v>
      </c>
      <c r="G18" s="410">
        <v>-25245</v>
      </c>
      <c r="H18" s="401">
        <f>F18+G18</f>
        <v>6296746</v>
      </c>
      <c r="I18" s="528"/>
      <c r="J18" s="9"/>
    </row>
    <row r="19" spans="2:11" x14ac:dyDescent="0.25">
      <c r="B19" s="7"/>
      <c r="C19" s="70" t="s">
        <v>7</v>
      </c>
      <c r="D19" s="175">
        <v>1</v>
      </c>
      <c r="E19" s="516">
        <v>1</v>
      </c>
      <c r="F19" s="410">
        <v>81898.67</v>
      </c>
      <c r="G19" s="410">
        <v>0</v>
      </c>
      <c r="H19" s="401">
        <f>F19+G19</f>
        <v>81898.67</v>
      </c>
      <c r="J19" s="528"/>
    </row>
    <row r="20" spans="2:11" x14ac:dyDescent="0.25">
      <c r="B20" s="7"/>
      <c r="C20" s="70" t="s">
        <v>12</v>
      </c>
      <c r="D20" s="175">
        <v>12</v>
      </c>
      <c r="E20" s="516">
        <f>156+156+156+156+1092</f>
        <v>1716</v>
      </c>
      <c r="F20" s="410">
        <v>1191216</v>
      </c>
      <c r="G20" s="410">
        <v>0</v>
      </c>
      <c r="H20" s="401">
        <f>F20+G20</f>
        <v>1191216</v>
      </c>
      <c r="J20" s="9"/>
    </row>
    <row r="21" spans="2:11" s="12" customFormat="1" x14ac:dyDescent="0.25">
      <c r="B21" s="116"/>
      <c r="C21" s="113" t="s">
        <v>9</v>
      </c>
      <c r="D21" s="114">
        <f>SUM(D18:D20)</f>
        <v>83</v>
      </c>
      <c r="E21" s="517" t="s">
        <v>14</v>
      </c>
      <c r="F21" s="523">
        <v>7595105.6699999999</v>
      </c>
      <c r="G21" s="411">
        <f>SUM(G18:G20)</f>
        <v>-25245</v>
      </c>
      <c r="H21" s="402">
        <f>SUM(H18:H20)</f>
        <v>7569860.6699999999</v>
      </c>
      <c r="I21" s="607"/>
      <c r="J21" s="11"/>
    </row>
    <row r="22" spans="2:11" s="12" customFormat="1" x14ac:dyDescent="0.25">
      <c r="B22" s="116" t="s">
        <v>60</v>
      </c>
      <c r="C22" s="113" t="s">
        <v>59</v>
      </c>
      <c r="D22" s="114"/>
      <c r="E22" s="517"/>
      <c r="F22" s="523"/>
      <c r="G22" s="413"/>
      <c r="H22" s="402"/>
    </row>
    <row r="23" spans="2:11" s="12" customFormat="1" x14ac:dyDescent="0.25">
      <c r="B23" s="117"/>
      <c r="C23" s="70" t="s">
        <v>6</v>
      </c>
      <c r="D23" s="8">
        <v>66</v>
      </c>
      <c r="E23" s="514">
        <f>780+780+767+858+6006-28</f>
        <v>9163</v>
      </c>
      <c r="F23" s="524">
        <v>5705271</v>
      </c>
      <c r="G23" s="410">
        <v>-15708</v>
      </c>
      <c r="H23" s="403">
        <f>F23+G23</f>
        <v>5689563</v>
      </c>
      <c r="I23" s="562"/>
      <c r="J23" s="563"/>
    </row>
    <row r="24" spans="2:11" s="12" customFormat="1" ht="15.75" thickBot="1" x14ac:dyDescent="0.3">
      <c r="B24" s="118"/>
      <c r="C24" s="357" t="s">
        <v>12</v>
      </c>
      <c r="D24" s="257">
        <v>12</v>
      </c>
      <c r="E24" s="518">
        <f>130+130+130+156+1092</f>
        <v>1638</v>
      </c>
      <c r="F24" s="525">
        <v>1141608</v>
      </c>
      <c r="G24" s="414">
        <v>0</v>
      </c>
      <c r="H24" s="404">
        <f>F24+G24</f>
        <v>1141608</v>
      </c>
      <c r="J24" s="261"/>
    </row>
    <row r="25" spans="2:11" s="12" customFormat="1" ht="15.75" thickBot="1" x14ac:dyDescent="0.3">
      <c r="B25" s="351"/>
      <c r="C25" s="352" t="s">
        <v>9</v>
      </c>
      <c r="D25" s="258">
        <f>D23+D24</f>
        <v>78</v>
      </c>
      <c r="E25" s="519"/>
      <c r="F25" s="526">
        <v>6846879</v>
      </c>
      <c r="G25" s="415">
        <f>SUM(G23:G24)</f>
        <v>-15708</v>
      </c>
      <c r="H25" s="405">
        <f>SUM(H23:H24)</f>
        <v>6831171</v>
      </c>
      <c r="I25" s="607"/>
      <c r="J25" s="11"/>
      <c r="K25" s="11"/>
    </row>
    <row r="26" spans="2:11" s="15" customFormat="1" ht="15.75" thickBot="1" x14ac:dyDescent="0.3">
      <c r="B26" s="103"/>
      <c r="C26" s="108" t="s">
        <v>13</v>
      </c>
      <c r="D26" s="258">
        <f>D16+D21+D25</f>
        <v>200</v>
      </c>
      <c r="E26" s="520" t="s">
        <v>14</v>
      </c>
      <c r="F26" s="527">
        <v>17765819.34</v>
      </c>
      <c r="G26" s="415">
        <f>G16+G21+G25</f>
        <v>0</v>
      </c>
      <c r="H26" s="406">
        <f>H16+H21+H25</f>
        <v>17765819.34</v>
      </c>
      <c r="I26" s="564"/>
      <c r="J26" s="348"/>
    </row>
    <row r="27" spans="2:11" x14ac:dyDescent="0.25">
      <c r="B27" s="16"/>
      <c r="C27" s="17"/>
      <c r="D27" s="119"/>
      <c r="I27" s="605"/>
    </row>
    <row r="28" spans="2:11" x14ac:dyDescent="0.25">
      <c r="D28" s="119"/>
      <c r="F28" s="83"/>
    </row>
    <row r="29" spans="2:11" x14ac:dyDescent="0.25">
      <c r="C29" s="48" t="s">
        <v>45</v>
      </c>
      <c r="F29" s="605"/>
      <c r="G29" s="1" t="s">
        <v>44</v>
      </c>
      <c r="H29" s="1"/>
      <c r="I29" s="1"/>
    </row>
    <row r="30" spans="2:11" x14ac:dyDescent="0.25">
      <c r="C30" s="605" t="s">
        <v>48</v>
      </c>
      <c r="F30" s="605"/>
      <c r="G30" s="704" t="s">
        <v>46</v>
      </c>
      <c r="H30" s="704"/>
    </row>
    <row r="31" spans="2:11" x14ac:dyDescent="0.25">
      <c r="C31"/>
      <c r="F31" s="605"/>
      <c r="G31" s="606"/>
    </row>
    <row r="32" spans="2:11" x14ac:dyDescent="0.25">
      <c r="B32" s="605"/>
      <c r="F32" s="54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A8" sqref="A8:I8"/>
    </sheetView>
  </sheetViews>
  <sheetFormatPr defaultRowHeight="15" x14ac:dyDescent="0.25"/>
  <cols>
    <col min="1" max="1" width="8" customWidth="1"/>
    <col min="2" max="2" width="5.5703125" customWidth="1"/>
    <col min="3" max="3" width="36.28515625" style="511" customWidth="1"/>
    <col min="4" max="4" width="13.5703125" style="511" customWidth="1"/>
    <col min="5" max="5" width="12.5703125" style="511" customWidth="1"/>
    <col min="6" max="6" width="15.42578125" style="512" customWidth="1"/>
    <col min="7" max="7" width="16.42578125" customWidth="1"/>
    <col min="8" max="8" width="17.140625" customWidth="1"/>
    <col min="9" max="9" width="29" customWidth="1"/>
    <col min="10" max="10" width="11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128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112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113</v>
      </c>
      <c r="B8" s="703"/>
      <c r="C8" s="703"/>
      <c r="D8" s="703"/>
      <c r="E8" s="703"/>
      <c r="F8" s="703"/>
      <c r="G8" s="703"/>
      <c r="H8" s="703"/>
      <c r="I8" s="703"/>
      <c r="J8" s="296"/>
    </row>
    <row r="9" spans="1:10" ht="15.75" thickBot="1" x14ac:dyDescent="0.3">
      <c r="A9" s="55"/>
      <c r="B9" s="4"/>
      <c r="C9" s="5"/>
      <c r="D9" s="512"/>
      <c r="E9" s="512"/>
      <c r="G9" s="55"/>
      <c r="H9" s="55"/>
      <c r="I9" s="5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127</v>
      </c>
      <c r="F10" s="268" t="s">
        <v>114</v>
      </c>
      <c r="G10" s="407" t="s">
        <v>63</v>
      </c>
      <c r="H10" s="398" t="s">
        <v>115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315">
        <v>4</v>
      </c>
      <c r="G11" s="408">
        <v>5</v>
      </c>
      <c r="H11" s="399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6"/>
      <c r="F12" s="388"/>
      <c r="G12" s="409"/>
      <c r="H12" s="400"/>
    </row>
    <row r="13" spans="1:10" x14ac:dyDescent="0.25">
      <c r="B13" s="102"/>
      <c r="C13" s="107" t="s">
        <v>6</v>
      </c>
      <c r="D13" s="8">
        <v>38</v>
      </c>
      <c r="E13" s="8">
        <f>403+403+455+494+3458</f>
        <v>5213</v>
      </c>
      <c r="F13" s="389">
        <v>1024075</v>
      </c>
      <c r="G13" s="410">
        <f>3458*641</f>
        <v>2216578</v>
      </c>
      <c r="H13" s="401">
        <f>F13+G13</f>
        <v>3240653</v>
      </c>
    </row>
    <row r="14" spans="1:10" x14ac:dyDescent="0.25">
      <c r="B14" s="102"/>
      <c r="C14" s="107" t="s">
        <v>7</v>
      </c>
      <c r="D14" s="8">
        <v>1</v>
      </c>
      <c r="E14" s="8">
        <v>1</v>
      </c>
      <c r="F14" s="389">
        <v>40451</v>
      </c>
      <c r="G14" s="410">
        <v>42730.67</v>
      </c>
      <c r="H14" s="401">
        <f>F14+G14</f>
        <v>83181.67</v>
      </c>
    </row>
    <row r="15" spans="1:10" x14ac:dyDescent="0.25">
      <c r="B15" s="102"/>
      <c r="C15" s="107" t="s">
        <v>8</v>
      </c>
      <c r="D15" s="8">
        <v>0</v>
      </c>
      <c r="E15" s="8">
        <v>0</v>
      </c>
      <c r="F15" s="389">
        <v>0</v>
      </c>
      <c r="G15" s="410">
        <v>0</v>
      </c>
      <c r="H15" s="401">
        <f>F15+G15</f>
        <v>0</v>
      </c>
    </row>
    <row r="16" spans="1:10" s="12" customFormat="1" x14ac:dyDescent="0.25">
      <c r="B16" s="110"/>
      <c r="C16" s="111" t="s">
        <v>9</v>
      </c>
      <c r="D16" s="114">
        <f>SUM(D13:D15)</f>
        <v>39</v>
      </c>
      <c r="E16" s="10" t="s">
        <v>14</v>
      </c>
      <c r="F16" s="390">
        <v>1064526</v>
      </c>
      <c r="G16" s="411">
        <f>SUM(G13:G15)</f>
        <v>2259308.67</v>
      </c>
      <c r="H16" s="402">
        <f>SUM(H13:H15)</f>
        <v>3323834.67</v>
      </c>
      <c r="I16" s="9"/>
      <c r="J16" s="11"/>
    </row>
    <row r="17" spans="2:11" x14ac:dyDescent="0.25">
      <c r="B17" s="7" t="s">
        <v>10</v>
      </c>
      <c r="C17" s="112" t="s">
        <v>11</v>
      </c>
      <c r="D17" s="8"/>
      <c r="E17" s="8"/>
      <c r="F17" s="391"/>
      <c r="G17" s="412"/>
      <c r="H17" s="403"/>
    </row>
    <row r="18" spans="2:11" x14ac:dyDescent="0.25">
      <c r="B18" s="7"/>
      <c r="C18" s="70" t="s">
        <v>6</v>
      </c>
      <c r="D18" s="175">
        <v>70</v>
      </c>
      <c r="E18" s="175">
        <f>1001+1001+949+910+6370</f>
        <v>10231</v>
      </c>
      <c r="F18" s="392">
        <v>2238821</v>
      </c>
      <c r="G18" s="410">
        <f>6370*641</f>
        <v>4083170</v>
      </c>
      <c r="H18" s="401">
        <f>F18+G18</f>
        <v>6321991</v>
      </c>
    </row>
    <row r="19" spans="2:11" x14ac:dyDescent="0.25">
      <c r="B19" s="7"/>
      <c r="C19" s="70" t="s">
        <v>7</v>
      </c>
      <c r="D19" s="175">
        <v>1</v>
      </c>
      <c r="E19" s="175">
        <v>1</v>
      </c>
      <c r="F19" s="389">
        <v>39168</v>
      </c>
      <c r="G19" s="410">
        <v>42730.67</v>
      </c>
      <c r="H19" s="401">
        <f>F19+G19</f>
        <v>81898.67</v>
      </c>
    </row>
    <row r="20" spans="2:11" x14ac:dyDescent="0.25">
      <c r="B20" s="7"/>
      <c r="C20" s="70" t="s">
        <v>12</v>
      </c>
      <c r="D20" s="175">
        <v>12</v>
      </c>
      <c r="E20" s="175">
        <f>156+156+156+156+1092</f>
        <v>1716</v>
      </c>
      <c r="F20" s="389">
        <v>409344</v>
      </c>
      <c r="G20" s="410">
        <f>1092*716</f>
        <v>781872</v>
      </c>
      <c r="H20" s="401">
        <f>F20+G20</f>
        <v>1191216</v>
      </c>
    </row>
    <row r="21" spans="2:11" s="12" customFormat="1" x14ac:dyDescent="0.25">
      <c r="B21" s="116"/>
      <c r="C21" s="113" t="s">
        <v>9</v>
      </c>
      <c r="D21" s="114">
        <f>SUM(D18:D20)</f>
        <v>83</v>
      </c>
      <c r="E21" s="114" t="s">
        <v>14</v>
      </c>
      <c r="F21" s="393">
        <v>2687333</v>
      </c>
      <c r="G21" s="411">
        <f>SUM(G18:G20)</f>
        <v>4907772.67</v>
      </c>
      <c r="H21" s="402">
        <f>SUM(H18:H20)</f>
        <v>7595105.6699999999</v>
      </c>
      <c r="I21" s="9"/>
      <c r="J21" s="11"/>
    </row>
    <row r="22" spans="2:11" s="12" customFormat="1" x14ac:dyDescent="0.25">
      <c r="B22" s="116" t="s">
        <v>60</v>
      </c>
      <c r="C22" s="113" t="s">
        <v>59</v>
      </c>
      <c r="D22" s="114"/>
      <c r="E22" s="114"/>
      <c r="F22" s="394"/>
      <c r="G22" s="413"/>
      <c r="H22" s="402"/>
    </row>
    <row r="23" spans="2:11" s="12" customFormat="1" x14ac:dyDescent="0.25">
      <c r="B23" s="117"/>
      <c r="C23" s="70" t="s">
        <v>6</v>
      </c>
      <c r="D23" s="8">
        <v>66</v>
      </c>
      <c r="E23" s="8">
        <f>780+780+767+858+6006</f>
        <v>9191</v>
      </c>
      <c r="F23" s="395">
        <v>1855425</v>
      </c>
      <c r="G23" s="410">
        <f>6006*641</f>
        <v>3849846</v>
      </c>
      <c r="H23" s="403">
        <f>F23+G23</f>
        <v>5705271</v>
      </c>
    </row>
    <row r="24" spans="2:11" s="12" customFormat="1" ht="15.75" thickBot="1" x14ac:dyDescent="0.3">
      <c r="B24" s="118"/>
      <c r="C24" s="357" t="s">
        <v>12</v>
      </c>
      <c r="D24" s="257">
        <v>12</v>
      </c>
      <c r="E24" s="257">
        <f>130+130+130+156+1092</f>
        <v>1638</v>
      </c>
      <c r="F24" s="396">
        <v>359736</v>
      </c>
      <c r="G24" s="414">
        <f>1092*716</f>
        <v>781872</v>
      </c>
      <c r="H24" s="404">
        <f>F24+G24</f>
        <v>1141608</v>
      </c>
    </row>
    <row r="25" spans="2:11" s="12" customFormat="1" ht="15.75" thickBot="1" x14ac:dyDescent="0.3">
      <c r="B25" s="351"/>
      <c r="C25" s="352" t="s">
        <v>9</v>
      </c>
      <c r="D25" s="258">
        <f>D23+D24</f>
        <v>78</v>
      </c>
      <c r="E25" s="353"/>
      <c r="F25" s="397">
        <v>2215161</v>
      </c>
      <c r="G25" s="415">
        <f>SUM(G23:G24)</f>
        <v>4631718</v>
      </c>
      <c r="H25" s="405">
        <f>SUM(H23:H24)</f>
        <v>6846879</v>
      </c>
      <c r="I25" s="9"/>
      <c r="J25" s="11"/>
      <c r="K25" s="11"/>
    </row>
    <row r="26" spans="2:11" s="15" customFormat="1" ht="15.75" thickBot="1" x14ac:dyDescent="0.3">
      <c r="B26" s="103"/>
      <c r="C26" s="108" t="s">
        <v>13</v>
      </c>
      <c r="D26" s="258">
        <f>D16+D21+D25</f>
        <v>200</v>
      </c>
      <c r="E26" s="258" t="s">
        <v>14</v>
      </c>
      <c r="F26" s="397">
        <v>5967020</v>
      </c>
      <c r="G26" s="415">
        <f>G16+G21+G25</f>
        <v>11798799.34</v>
      </c>
      <c r="H26" s="406">
        <f>H16+H21+H25</f>
        <v>17765819.34</v>
      </c>
    </row>
    <row r="27" spans="2:11" x14ac:dyDescent="0.25">
      <c r="B27" s="16"/>
      <c r="C27" s="17"/>
      <c r="D27" s="119"/>
    </row>
    <row r="28" spans="2:11" x14ac:dyDescent="0.25">
      <c r="D28" s="119"/>
      <c r="F28" s="83"/>
    </row>
    <row r="29" spans="2:11" x14ac:dyDescent="0.25">
      <c r="C29" s="48" t="s">
        <v>45</v>
      </c>
      <c r="F29" s="511"/>
      <c r="G29" s="1" t="s">
        <v>44</v>
      </c>
      <c r="H29" s="1"/>
      <c r="I29" s="1"/>
    </row>
    <row r="30" spans="2:11" x14ac:dyDescent="0.25">
      <c r="C30" s="511" t="s">
        <v>48</v>
      </c>
      <c r="F30" s="511"/>
      <c r="G30" s="704" t="s">
        <v>46</v>
      </c>
      <c r="H30" s="704"/>
    </row>
    <row r="31" spans="2:11" x14ac:dyDescent="0.25">
      <c r="C31"/>
      <c r="F31" s="511"/>
      <c r="G31" s="512"/>
    </row>
    <row r="32" spans="2:11" x14ac:dyDescent="0.25">
      <c r="B32" s="511"/>
      <c r="F32" s="54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I12" sqref="I12:J26"/>
    </sheetView>
  </sheetViews>
  <sheetFormatPr defaultRowHeight="15" x14ac:dyDescent="0.25"/>
  <cols>
    <col min="1" max="1" width="8" customWidth="1"/>
    <col min="2" max="2" width="5.5703125" customWidth="1"/>
    <col min="3" max="3" width="36.28515625" style="627" customWidth="1"/>
    <col min="4" max="4" width="13.5703125" style="627" customWidth="1"/>
    <col min="5" max="5" width="12.5703125" style="627" customWidth="1"/>
    <col min="6" max="6" width="17.7109375" style="628" customWidth="1"/>
    <col min="7" max="7" width="16.42578125" customWidth="1"/>
    <col min="8" max="8" width="17.140625" customWidth="1"/>
    <col min="9" max="9" width="29" customWidth="1"/>
    <col min="10" max="10" width="12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128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145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153</v>
      </c>
      <c r="B8" s="703"/>
      <c r="C8" s="703"/>
      <c r="D8" s="703"/>
      <c r="E8" s="703"/>
      <c r="F8" s="703"/>
      <c r="G8" s="703"/>
      <c r="H8" s="703"/>
      <c r="I8" s="703"/>
      <c r="J8" s="296"/>
    </row>
    <row r="9" spans="1:10" ht="15.75" thickBot="1" x14ac:dyDescent="0.3">
      <c r="A9" s="55"/>
      <c r="B9" s="4"/>
      <c r="C9" s="5"/>
      <c r="D9" s="628"/>
      <c r="E9" s="628"/>
      <c r="G9" s="55"/>
      <c r="H9" s="55"/>
      <c r="I9" s="5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127</v>
      </c>
      <c r="F10" s="521" t="s">
        <v>147</v>
      </c>
      <c r="G10" s="407" t="s">
        <v>63</v>
      </c>
      <c r="H10" s="398" t="s">
        <v>147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408" t="s">
        <v>64</v>
      </c>
      <c r="G11" s="408">
        <v>5</v>
      </c>
      <c r="H11" s="399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513"/>
      <c r="F12" s="522"/>
      <c r="G12" s="409"/>
      <c r="H12" s="400"/>
    </row>
    <row r="13" spans="1:10" x14ac:dyDescent="0.25">
      <c r="B13" s="102"/>
      <c r="C13" s="107" t="s">
        <v>6</v>
      </c>
      <c r="D13" s="8">
        <v>38</v>
      </c>
      <c r="E13" s="514">
        <f>403+403+455+494+3458+73+203</f>
        <v>5489</v>
      </c>
      <c r="F13" s="410">
        <v>3281606</v>
      </c>
      <c r="G13" s="410">
        <v>130123</v>
      </c>
      <c r="H13" s="401">
        <f>F13+G13</f>
        <v>3411729</v>
      </c>
      <c r="I13" s="528"/>
      <c r="J13" s="9"/>
    </row>
    <row r="14" spans="1:10" x14ac:dyDescent="0.25">
      <c r="B14" s="102"/>
      <c r="C14" s="107" t="s">
        <v>7</v>
      </c>
      <c r="D14" s="8">
        <v>1</v>
      </c>
      <c r="E14" s="514">
        <v>1</v>
      </c>
      <c r="F14" s="410">
        <v>83181.67</v>
      </c>
      <c r="G14" s="410">
        <v>1</v>
      </c>
      <c r="H14" s="401">
        <f>F14+G14</f>
        <v>83182.67</v>
      </c>
      <c r="I14" s="528"/>
      <c r="J14" s="528"/>
    </row>
    <row r="15" spans="1:10" x14ac:dyDescent="0.25">
      <c r="B15" s="102"/>
      <c r="C15" s="107" t="s">
        <v>8</v>
      </c>
      <c r="D15" s="8">
        <v>0</v>
      </c>
      <c r="E15" s="514">
        <v>0</v>
      </c>
      <c r="F15" s="410">
        <v>0</v>
      </c>
      <c r="G15" s="410">
        <v>0</v>
      </c>
      <c r="H15" s="401">
        <f>F15+G15</f>
        <v>0</v>
      </c>
    </row>
    <row r="16" spans="1:10" s="12" customFormat="1" x14ac:dyDescent="0.25">
      <c r="B16" s="110"/>
      <c r="C16" s="111" t="s">
        <v>9</v>
      </c>
      <c r="D16" s="114">
        <f>SUM(D13:D15)</f>
        <v>39</v>
      </c>
      <c r="E16" s="515" t="s">
        <v>14</v>
      </c>
      <c r="F16" s="523">
        <v>3364787.67</v>
      </c>
      <c r="G16" s="411">
        <f>SUM(G13:G15)</f>
        <v>130124</v>
      </c>
      <c r="H16" s="402">
        <f>SUM(H13:H15)</f>
        <v>3494911.67</v>
      </c>
      <c r="I16" s="629"/>
      <c r="J16" s="11"/>
    </row>
    <row r="17" spans="2:11" x14ac:dyDescent="0.25">
      <c r="B17" s="7" t="s">
        <v>10</v>
      </c>
      <c r="C17" s="112" t="s">
        <v>11</v>
      </c>
      <c r="D17" s="8"/>
      <c r="E17" s="514"/>
      <c r="F17" s="524"/>
      <c r="G17" s="412"/>
      <c r="H17" s="403"/>
    </row>
    <row r="18" spans="2:11" x14ac:dyDescent="0.25">
      <c r="B18" s="7"/>
      <c r="C18" s="70" t="s">
        <v>6</v>
      </c>
      <c r="D18" s="175">
        <v>70</v>
      </c>
      <c r="E18" s="516">
        <f>1001+1001+949+910+6370-45+152</f>
        <v>10338</v>
      </c>
      <c r="F18" s="410">
        <v>6296746</v>
      </c>
      <c r="G18" s="410">
        <v>97432</v>
      </c>
      <c r="H18" s="401">
        <f>F18+G18</f>
        <v>6394178</v>
      </c>
      <c r="I18" s="528"/>
      <c r="J18" s="9"/>
    </row>
    <row r="19" spans="2:11" x14ac:dyDescent="0.25">
      <c r="B19" s="7"/>
      <c r="C19" s="70" t="s">
        <v>7</v>
      </c>
      <c r="D19" s="175">
        <v>1</v>
      </c>
      <c r="E19" s="516">
        <v>1</v>
      </c>
      <c r="F19" s="410">
        <v>81898.67</v>
      </c>
      <c r="G19" s="410">
        <v>0</v>
      </c>
      <c r="H19" s="401">
        <f>F19+G19</f>
        <v>81898.67</v>
      </c>
      <c r="J19" s="528"/>
    </row>
    <row r="20" spans="2:11" x14ac:dyDescent="0.25">
      <c r="B20" s="7"/>
      <c r="C20" s="70" t="s">
        <v>12</v>
      </c>
      <c r="D20" s="175">
        <v>12</v>
      </c>
      <c r="E20" s="516">
        <f>156+156+156+156+1092+36</f>
        <v>1752</v>
      </c>
      <c r="F20" s="410">
        <v>1191216</v>
      </c>
      <c r="G20" s="410">
        <v>25776</v>
      </c>
      <c r="H20" s="401">
        <f>F20+G20</f>
        <v>1216992</v>
      </c>
      <c r="J20" s="9"/>
    </row>
    <row r="21" spans="2:11" s="12" customFormat="1" x14ac:dyDescent="0.25">
      <c r="B21" s="116"/>
      <c r="C21" s="113" t="s">
        <v>9</v>
      </c>
      <c r="D21" s="114">
        <f>SUM(D18:D20)</f>
        <v>83</v>
      </c>
      <c r="E21" s="517" t="s">
        <v>14</v>
      </c>
      <c r="F21" s="523">
        <v>7569860.6699999999</v>
      </c>
      <c r="G21" s="411">
        <f>SUM(G18:G20)</f>
        <v>123208</v>
      </c>
      <c r="H21" s="402">
        <f>SUM(H18:H20)</f>
        <v>7693068.6699999999</v>
      </c>
      <c r="I21" s="629"/>
      <c r="J21" s="11"/>
    </row>
    <row r="22" spans="2:11" s="12" customFormat="1" x14ac:dyDescent="0.25">
      <c r="B22" s="116" t="s">
        <v>60</v>
      </c>
      <c r="C22" s="113" t="s">
        <v>59</v>
      </c>
      <c r="D22" s="114"/>
      <c r="E22" s="517"/>
      <c r="F22" s="523"/>
      <c r="G22" s="413"/>
      <c r="H22" s="402"/>
    </row>
    <row r="23" spans="2:11" s="12" customFormat="1" x14ac:dyDescent="0.25">
      <c r="B23" s="117"/>
      <c r="C23" s="70" t="s">
        <v>6</v>
      </c>
      <c r="D23" s="8">
        <v>62</v>
      </c>
      <c r="E23" s="514">
        <f>780+780+767+858+6006-28-68</f>
        <v>9095</v>
      </c>
      <c r="F23" s="524">
        <v>5689563</v>
      </c>
      <c r="G23" s="410">
        <v>-43588</v>
      </c>
      <c r="H23" s="403">
        <f>F23+G23</f>
        <v>5645975</v>
      </c>
      <c r="I23" s="562"/>
      <c r="J23" s="563"/>
    </row>
    <row r="24" spans="2:11" s="12" customFormat="1" ht="15.75" thickBot="1" x14ac:dyDescent="0.3">
      <c r="B24" s="118"/>
      <c r="C24" s="357" t="s">
        <v>12</v>
      </c>
      <c r="D24" s="257">
        <v>12</v>
      </c>
      <c r="E24" s="518">
        <f>130+130+130+156+1092+36</f>
        <v>1674</v>
      </c>
      <c r="F24" s="525">
        <v>1141608</v>
      </c>
      <c r="G24" s="414">
        <v>25776</v>
      </c>
      <c r="H24" s="404">
        <f>F24+G24</f>
        <v>1167384</v>
      </c>
      <c r="J24" s="261"/>
    </row>
    <row r="25" spans="2:11" s="12" customFormat="1" ht="15.75" thickBot="1" x14ac:dyDescent="0.3">
      <c r="B25" s="351"/>
      <c r="C25" s="352" t="s">
        <v>9</v>
      </c>
      <c r="D25" s="258">
        <f>D23+D24</f>
        <v>74</v>
      </c>
      <c r="E25" s="519"/>
      <c r="F25" s="526">
        <v>6831171</v>
      </c>
      <c r="G25" s="415">
        <f>SUM(G23:G24)</f>
        <v>-17812</v>
      </c>
      <c r="H25" s="405">
        <f>SUM(H23:H24)</f>
        <v>6813359</v>
      </c>
      <c r="I25" s="629"/>
      <c r="J25" s="11"/>
      <c r="K25" s="11"/>
    </row>
    <row r="26" spans="2:11" s="15" customFormat="1" ht="15.75" thickBot="1" x14ac:dyDescent="0.3">
      <c r="B26" s="103"/>
      <c r="C26" s="108" t="s">
        <v>13</v>
      </c>
      <c r="D26" s="258">
        <f>D16+D21+D25</f>
        <v>196</v>
      </c>
      <c r="E26" s="520" t="s">
        <v>14</v>
      </c>
      <c r="F26" s="527">
        <v>17765819.34</v>
      </c>
      <c r="G26" s="415">
        <f>G16+G21+G25</f>
        <v>235520</v>
      </c>
      <c r="H26" s="406">
        <f>H16+H21+H25</f>
        <v>18001339.34</v>
      </c>
      <c r="I26" s="564"/>
      <c r="J26" s="348"/>
    </row>
    <row r="27" spans="2:11" x14ac:dyDescent="0.25">
      <c r="B27" s="16"/>
      <c r="C27" s="17"/>
      <c r="D27" s="119"/>
      <c r="G27" s="9"/>
      <c r="I27" s="627"/>
    </row>
    <row r="28" spans="2:11" x14ac:dyDescent="0.25">
      <c r="D28" s="119"/>
      <c r="F28" s="83"/>
      <c r="G28" s="9"/>
    </row>
    <row r="29" spans="2:11" x14ac:dyDescent="0.25">
      <c r="C29" s="48" t="s">
        <v>45</v>
      </c>
      <c r="F29" s="627"/>
      <c r="G29" s="1" t="s">
        <v>44</v>
      </c>
      <c r="H29" s="1"/>
      <c r="I29" s="1"/>
    </row>
    <row r="30" spans="2:11" x14ac:dyDescent="0.25">
      <c r="C30" s="627" t="s">
        <v>48</v>
      </c>
      <c r="F30" s="627"/>
      <c r="G30" s="704" t="s">
        <v>46</v>
      </c>
      <c r="H30" s="704"/>
    </row>
    <row r="31" spans="2:11" x14ac:dyDescent="0.25">
      <c r="C31"/>
      <c r="F31" s="627"/>
      <c r="G31" s="628"/>
    </row>
    <row r="32" spans="2:11" x14ac:dyDescent="0.25">
      <c r="B32" s="627"/>
      <c r="F32" s="54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J13" sqref="J13"/>
    </sheetView>
  </sheetViews>
  <sheetFormatPr defaultRowHeight="15" x14ac:dyDescent="0.25"/>
  <cols>
    <col min="1" max="1" width="8" customWidth="1"/>
    <col min="2" max="2" width="5.5703125" customWidth="1"/>
    <col min="3" max="3" width="36.28515625" style="651" customWidth="1"/>
    <col min="4" max="4" width="13.5703125" style="651" customWidth="1"/>
    <col min="5" max="5" width="12.5703125" style="651" customWidth="1"/>
    <col min="6" max="6" width="17.7109375" style="652" customWidth="1"/>
    <col min="7" max="7" width="16.42578125" customWidth="1"/>
    <col min="8" max="8" width="17.140625" customWidth="1"/>
    <col min="9" max="9" width="29" customWidth="1"/>
    <col min="10" max="10" width="12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128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145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157</v>
      </c>
      <c r="B8" s="703"/>
      <c r="C8" s="703"/>
      <c r="D8" s="703"/>
      <c r="E8" s="703"/>
      <c r="F8" s="703"/>
      <c r="G8" s="703"/>
      <c r="H8" s="703"/>
      <c r="I8" s="296"/>
      <c r="J8" s="296"/>
    </row>
    <row r="9" spans="1:10" ht="15.75" thickBot="1" x14ac:dyDescent="0.3">
      <c r="A9" s="55"/>
      <c r="B9" s="4"/>
      <c r="C9" s="5"/>
      <c r="D9" s="652"/>
      <c r="E9" s="652"/>
      <c r="G9" s="55"/>
      <c r="H9" s="55"/>
      <c r="I9" s="5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127</v>
      </c>
      <c r="F10" s="521" t="s">
        <v>147</v>
      </c>
      <c r="G10" s="407" t="s">
        <v>63</v>
      </c>
      <c r="H10" s="398" t="s">
        <v>147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408" t="s">
        <v>64</v>
      </c>
      <c r="G11" s="408">
        <v>5</v>
      </c>
      <c r="H11" s="399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513"/>
      <c r="F12" s="522"/>
      <c r="G12" s="409"/>
      <c r="H12" s="400"/>
    </row>
    <row r="13" spans="1:10" x14ac:dyDescent="0.25">
      <c r="B13" s="102"/>
      <c r="C13" s="107" t="s">
        <v>6</v>
      </c>
      <c r="D13" s="8">
        <v>38</v>
      </c>
      <c r="E13" s="514">
        <f>403+403+455+494+3458+73+203+228</f>
        <v>5717</v>
      </c>
      <c r="F13" s="410">
        <v>3411729</v>
      </c>
      <c r="G13" s="410">
        <v>146148</v>
      </c>
      <c r="H13" s="401">
        <f>F13+G13</f>
        <v>3557877</v>
      </c>
      <c r="I13" s="528"/>
      <c r="J13" s="9"/>
    </row>
    <row r="14" spans="1:10" x14ac:dyDescent="0.25">
      <c r="B14" s="102"/>
      <c r="C14" s="107" t="s">
        <v>7</v>
      </c>
      <c r="D14" s="8">
        <v>1</v>
      </c>
      <c r="E14" s="514">
        <v>1</v>
      </c>
      <c r="F14" s="410">
        <v>83182.67</v>
      </c>
      <c r="G14" s="410">
        <v>-4</v>
      </c>
      <c r="H14" s="401">
        <f>F14+G14</f>
        <v>83178.67</v>
      </c>
      <c r="I14" s="528"/>
      <c r="J14" s="528"/>
    </row>
    <row r="15" spans="1:10" x14ac:dyDescent="0.25">
      <c r="B15" s="102"/>
      <c r="C15" s="107" t="s">
        <v>8</v>
      </c>
      <c r="D15" s="8">
        <v>0</v>
      </c>
      <c r="E15" s="514">
        <v>0</v>
      </c>
      <c r="F15" s="410">
        <v>0</v>
      </c>
      <c r="G15" s="410">
        <v>0</v>
      </c>
      <c r="H15" s="401">
        <f>F15+G15</f>
        <v>0</v>
      </c>
    </row>
    <row r="16" spans="1:10" s="12" customFormat="1" x14ac:dyDescent="0.25">
      <c r="B16" s="110"/>
      <c r="C16" s="111" t="s">
        <v>9</v>
      </c>
      <c r="D16" s="114">
        <f>SUM(D13:D15)</f>
        <v>39</v>
      </c>
      <c r="E16" s="515" t="s">
        <v>14</v>
      </c>
      <c r="F16" s="523">
        <v>3494911.67</v>
      </c>
      <c r="G16" s="411">
        <f>SUM(G13:G15)</f>
        <v>146144</v>
      </c>
      <c r="H16" s="402">
        <f>SUM(H13:H15)</f>
        <v>3641055.67</v>
      </c>
      <c r="I16" s="653"/>
      <c r="J16" s="11"/>
    </row>
    <row r="17" spans="2:11" x14ac:dyDescent="0.25">
      <c r="B17" s="7" t="s">
        <v>10</v>
      </c>
      <c r="C17" s="112" t="s">
        <v>11</v>
      </c>
      <c r="D17" s="8"/>
      <c r="E17" s="514"/>
      <c r="F17" s="524"/>
      <c r="G17" s="412"/>
      <c r="H17" s="403"/>
    </row>
    <row r="18" spans="2:11" x14ac:dyDescent="0.25">
      <c r="B18" s="7"/>
      <c r="C18" s="70" t="s">
        <v>6</v>
      </c>
      <c r="D18" s="175">
        <v>70</v>
      </c>
      <c r="E18" s="516">
        <f>1001+1001+949+910+6370-45+152+420</f>
        <v>10758</v>
      </c>
      <c r="F18" s="410">
        <v>6394178</v>
      </c>
      <c r="G18" s="410">
        <v>269220</v>
      </c>
      <c r="H18" s="401">
        <f>F18+G18</f>
        <v>6663398</v>
      </c>
      <c r="I18" s="528"/>
      <c r="J18" s="9"/>
    </row>
    <row r="19" spans="2:11" x14ac:dyDescent="0.25">
      <c r="B19" s="7"/>
      <c r="C19" s="70" t="s">
        <v>7</v>
      </c>
      <c r="D19" s="175">
        <v>1</v>
      </c>
      <c r="E19" s="516">
        <v>1</v>
      </c>
      <c r="F19" s="410">
        <v>81898.67</v>
      </c>
      <c r="G19" s="410">
        <v>0</v>
      </c>
      <c r="H19" s="401">
        <f>F19+G19</f>
        <v>81898.67</v>
      </c>
      <c r="J19" s="528"/>
    </row>
    <row r="20" spans="2:11" x14ac:dyDescent="0.25">
      <c r="B20" s="7"/>
      <c r="C20" s="70" t="s">
        <v>12</v>
      </c>
      <c r="D20" s="175">
        <v>12</v>
      </c>
      <c r="E20" s="516">
        <f>156+156+156+156+1092+36+72</f>
        <v>1824</v>
      </c>
      <c r="F20" s="410">
        <v>1216992</v>
      </c>
      <c r="G20" s="410">
        <v>51552</v>
      </c>
      <c r="H20" s="401">
        <f>F20+G20</f>
        <v>1268544</v>
      </c>
      <c r="J20" s="9"/>
    </row>
    <row r="21" spans="2:11" s="12" customFormat="1" x14ac:dyDescent="0.25">
      <c r="B21" s="116"/>
      <c r="C21" s="113" t="s">
        <v>9</v>
      </c>
      <c r="D21" s="114">
        <f>SUM(D18:D20)</f>
        <v>83</v>
      </c>
      <c r="E21" s="517" t="s">
        <v>14</v>
      </c>
      <c r="F21" s="523">
        <v>7693068.6699999999</v>
      </c>
      <c r="G21" s="411">
        <f>SUM(G18:G20)</f>
        <v>320772</v>
      </c>
      <c r="H21" s="402">
        <f>SUM(H18:H20)</f>
        <v>8013840.6699999999</v>
      </c>
      <c r="I21" s="653"/>
      <c r="J21" s="11"/>
    </row>
    <row r="22" spans="2:11" s="12" customFormat="1" x14ac:dyDescent="0.25">
      <c r="B22" s="116" t="s">
        <v>60</v>
      </c>
      <c r="C22" s="113" t="s">
        <v>59</v>
      </c>
      <c r="D22" s="114"/>
      <c r="E22" s="517"/>
      <c r="F22" s="523"/>
      <c r="G22" s="413"/>
      <c r="H22" s="402"/>
    </row>
    <row r="23" spans="2:11" s="12" customFormat="1" x14ac:dyDescent="0.25">
      <c r="B23" s="117"/>
      <c r="C23" s="70" t="s">
        <v>6</v>
      </c>
      <c r="D23" s="8">
        <v>62</v>
      </c>
      <c r="E23" s="514">
        <f>780+780+767+858+6006-28-68+372</f>
        <v>9467</v>
      </c>
      <c r="F23" s="524">
        <v>5645975</v>
      </c>
      <c r="G23" s="410">
        <v>238452</v>
      </c>
      <c r="H23" s="403">
        <f>F23+G23</f>
        <v>5884427</v>
      </c>
      <c r="I23" s="562"/>
      <c r="J23" s="563"/>
    </row>
    <row r="24" spans="2:11" s="12" customFormat="1" ht="15.75" thickBot="1" x14ac:dyDescent="0.3">
      <c r="B24" s="118"/>
      <c r="C24" s="357" t="s">
        <v>12</v>
      </c>
      <c r="D24" s="257">
        <v>12</v>
      </c>
      <c r="E24" s="518">
        <f>130+130+130+156+1092+36+72</f>
        <v>1746</v>
      </c>
      <c r="F24" s="525">
        <v>1167384</v>
      </c>
      <c r="G24" s="414">
        <v>51552</v>
      </c>
      <c r="H24" s="404">
        <f>F24+G24</f>
        <v>1218936</v>
      </c>
      <c r="J24" s="261"/>
    </row>
    <row r="25" spans="2:11" s="12" customFormat="1" ht="15.75" thickBot="1" x14ac:dyDescent="0.3">
      <c r="B25" s="351"/>
      <c r="C25" s="352" t="s">
        <v>9</v>
      </c>
      <c r="D25" s="258">
        <f>D23+D24</f>
        <v>74</v>
      </c>
      <c r="E25" s="519"/>
      <c r="F25" s="526">
        <v>6813359</v>
      </c>
      <c r="G25" s="415">
        <f>SUM(G23:G24)</f>
        <v>290004</v>
      </c>
      <c r="H25" s="405">
        <f>SUM(H23:H24)</f>
        <v>7103363</v>
      </c>
      <c r="I25" s="653"/>
      <c r="J25" s="11"/>
      <c r="K25" s="11"/>
    </row>
    <row r="26" spans="2:11" s="15" customFormat="1" ht="15.75" thickBot="1" x14ac:dyDescent="0.3">
      <c r="B26" s="103"/>
      <c r="C26" s="108" t="s">
        <v>13</v>
      </c>
      <c r="D26" s="258">
        <f>D16+D21+D25</f>
        <v>196</v>
      </c>
      <c r="E26" s="520" t="s">
        <v>14</v>
      </c>
      <c r="F26" s="527">
        <v>18001339.34</v>
      </c>
      <c r="G26" s="415">
        <f>G16+G21+G25</f>
        <v>756920</v>
      </c>
      <c r="H26" s="406">
        <f>H16+H21+H25</f>
        <v>18758259.34</v>
      </c>
      <c r="I26" s="564"/>
      <c r="J26" s="348"/>
    </row>
    <row r="27" spans="2:11" x14ac:dyDescent="0.25">
      <c r="B27" s="16"/>
      <c r="C27" s="17"/>
      <c r="D27" s="119"/>
      <c r="G27" s="9"/>
      <c r="H27" s="11">
        <v>18812400</v>
      </c>
      <c r="I27" s="651"/>
    </row>
    <row r="28" spans="2:11" x14ac:dyDescent="0.25">
      <c r="D28" s="119"/>
      <c r="F28" s="83"/>
      <c r="G28" s="9"/>
      <c r="H28" s="11">
        <f>H27-H26</f>
        <v>54140.660000000149</v>
      </c>
    </row>
    <row r="29" spans="2:11" x14ac:dyDescent="0.25">
      <c r="C29" s="48" t="s">
        <v>45</v>
      </c>
      <c r="F29" s="651"/>
      <c r="G29" s="1" t="s">
        <v>44</v>
      </c>
      <c r="H29" s="1"/>
      <c r="I29" s="1"/>
    </row>
    <row r="30" spans="2:11" x14ac:dyDescent="0.25">
      <c r="C30" s="651" t="s">
        <v>48</v>
      </c>
      <c r="F30" s="651"/>
      <c r="G30" s="704" t="s">
        <v>46</v>
      </c>
      <c r="H30" s="704"/>
    </row>
    <row r="31" spans="2:11" x14ac:dyDescent="0.25">
      <c r="C31"/>
      <c r="F31" s="651"/>
      <c r="G31" s="652"/>
    </row>
    <row r="32" spans="2:11" x14ac:dyDescent="0.25">
      <c r="B32" s="651"/>
      <c r="F32" s="54"/>
    </row>
  </sheetData>
  <mergeCells count="4">
    <mergeCell ref="A6:H6"/>
    <mergeCell ref="A7:H7"/>
    <mergeCell ref="A8:H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I20" sqref="I20"/>
    </sheetView>
  </sheetViews>
  <sheetFormatPr defaultRowHeight="15" x14ac:dyDescent="0.25"/>
  <cols>
    <col min="1" max="1" width="8" customWidth="1"/>
    <col min="2" max="2" width="5.5703125" customWidth="1"/>
    <col min="3" max="3" width="36.28515625" style="340" customWidth="1"/>
    <col min="4" max="4" width="13.5703125" style="340" customWidth="1"/>
    <col min="5" max="5" width="12.5703125" style="340" customWidth="1"/>
    <col min="6" max="6" width="17.7109375" style="341" customWidth="1"/>
    <col min="7" max="7" width="16.42578125" customWidth="1"/>
    <col min="8" max="8" width="17.140625" customWidth="1"/>
    <col min="9" max="9" width="29" customWidth="1"/>
    <col min="10" max="10" width="12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8" t="s">
        <v>0</v>
      </c>
      <c r="C1"/>
      <c r="D1" s="1"/>
      <c r="E1" s="1"/>
      <c r="F1" s="68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701" t="s">
        <v>128</v>
      </c>
      <c r="B6" s="701"/>
      <c r="C6" s="701"/>
      <c r="D6" s="701"/>
      <c r="E6" s="701"/>
      <c r="F6" s="701"/>
      <c r="G6" s="701"/>
      <c r="H6" s="701"/>
    </row>
    <row r="7" spans="1:10" x14ac:dyDescent="0.25">
      <c r="A7" s="702" t="s">
        <v>145</v>
      </c>
      <c r="B7" s="702"/>
      <c r="C7" s="702"/>
      <c r="D7" s="702"/>
      <c r="E7" s="702"/>
      <c r="F7" s="702"/>
      <c r="G7" s="702"/>
      <c r="H7" s="702"/>
    </row>
    <row r="8" spans="1:10" s="35" customFormat="1" x14ac:dyDescent="0.25">
      <c r="A8" s="703" t="s">
        <v>162</v>
      </c>
      <c r="B8" s="703"/>
      <c r="C8" s="703"/>
      <c r="D8" s="703"/>
      <c r="E8" s="703"/>
      <c r="F8" s="703"/>
      <c r="G8" s="703"/>
      <c r="H8" s="703"/>
      <c r="I8" s="296"/>
      <c r="J8" s="296"/>
    </row>
    <row r="9" spans="1:10" ht="15.75" thickBot="1" x14ac:dyDescent="0.3">
      <c r="A9" s="55"/>
      <c r="B9" s="4"/>
      <c r="C9" s="5"/>
      <c r="D9" s="372"/>
      <c r="E9" s="372"/>
      <c r="F9" s="372"/>
      <c r="G9" s="55"/>
      <c r="H9" s="55"/>
      <c r="I9" s="55"/>
    </row>
    <row r="10" spans="1:10" ht="38.25" customHeight="1" thickBot="1" x14ac:dyDescent="0.3">
      <c r="B10" s="297" t="s">
        <v>2</v>
      </c>
      <c r="C10" s="298" t="s">
        <v>3</v>
      </c>
      <c r="D10" s="267" t="s">
        <v>75</v>
      </c>
      <c r="E10" s="268" t="s">
        <v>127</v>
      </c>
      <c r="F10" s="521" t="s">
        <v>147</v>
      </c>
      <c r="G10" s="407" t="s">
        <v>63</v>
      </c>
      <c r="H10" s="398" t="s">
        <v>147</v>
      </c>
    </row>
    <row r="11" spans="1:10" s="3" customFormat="1" ht="12" thickBot="1" x14ac:dyDescent="0.25">
      <c r="B11" s="300">
        <v>0</v>
      </c>
      <c r="C11" s="301">
        <v>1</v>
      </c>
      <c r="D11" s="302">
        <v>2</v>
      </c>
      <c r="E11" s="303">
        <v>3</v>
      </c>
      <c r="F11" s="408" t="s">
        <v>64</v>
      </c>
      <c r="G11" s="408">
        <v>5</v>
      </c>
      <c r="H11" s="399" t="s">
        <v>64</v>
      </c>
    </row>
    <row r="12" spans="1:10" s="3" customFormat="1" ht="12.75" x14ac:dyDescent="0.2">
      <c r="B12" s="101" t="s">
        <v>4</v>
      </c>
      <c r="C12" s="106" t="s">
        <v>5</v>
      </c>
      <c r="D12" s="6"/>
      <c r="E12" s="513"/>
      <c r="F12" s="522"/>
      <c r="G12" s="409"/>
      <c r="H12" s="400"/>
    </row>
    <row r="13" spans="1:10" x14ac:dyDescent="0.25">
      <c r="B13" s="102"/>
      <c r="C13" s="107" t="s">
        <v>6</v>
      </c>
      <c r="D13" s="8">
        <v>38</v>
      </c>
      <c r="E13" s="514">
        <f>403+403+455+494+3458+73+203+228+407</f>
        <v>6124</v>
      </c>
      <c r="F13" s="410">
        <v>3557877</v>
      </c>
      <c r="G13" s="410">
        <f>407*641</f>
        <v>260887</v>
      </c>
      <c r="H13" s="401">
        <f>F13+G13</f>
        <v>3818764</v>
      </c>
      <c r="I13" s="528"/>
      <c r="J13" s="9"/>
    </row>
    <row r="14" spans="1:10" x14ac:dyDescent="0.25">
      <c r="B14" s="102"/>
      <c r="C14" s="107" t="s">
        <v>7</v>
      </c>
      <c r="D14" s="8">
        <v>1</v>
      </c>
      <c r="E14" s="514">
        <v>1</v>
      </c>
      <c r="F14" s="410">
        <v>83178.67</v>
      </c>
      <c r="G14" s="410">
        <f>-47000.67-625.68+641+616+14.71</f>
        <v>-46354.64</v>
      </c>
      <c r="H14" s="401">
        <f>F14+G14</f>
        <v>36824.03</v>
      </c>
      <c r="I14" s="528"/>
      <c r="J14" s="528"/>
    </row>
    <row r="15" spans="1:10" x14ac:dyDescent="0.25">
      <c r="B15" s="102"/>
      <c r="C15" s="107" t="s">
        <v>8</v>
      </c>
      <c r="D15" s="8">
        <v>0</v>
      </c>
      <c r="E15" s="514">
        <v>0</v>
      </c>
      <c r="F15" s="410">
        <v>0</v>
      </c>
      <c r="G15" s="410">
        <v>0</v>
      </c>
      <c r="H15" s="401">
        <f>F15+G15</f>
        <v>0</v>
      </c>
    </row>
    <row r="16" spans="1:10" s="12" customFormat="1" x14ac:dyDescent="0.25">
      <c r="B16" s="110"/>
      <c r="C16" s="111" t="s">
        <v>9</v>
      </c>
      <c r="D16" s="114">
        <f>SUM(D13:D15)</f>
        <v>39</v>
      </c>
      <c r="E16" s="515" t="s">
        <v>14</v>
      </c>
      <c r="F16" s="523">
        <v>3641055.67</v>
      </c>
      <c r="G16" s="411">
        <f>SUM(G13:G15)</f>
        <v>214532.36</v>
      </c>
      <c r="H16" s="402">
        <f>SUM(H13:H15)</f>
        <v>3855588.03</v>
      </c>
      <c r="I16" s="561"/>
      <c r="J16" s="11"/>
    </row>
    <row r="17" spans="2:12" x14ac:dyDescent="0.25">
      <c r="B17" s="7" t="s">
        <v>10</v>
      </c>
      <c r="C17" s="112" t="s">
        <v>11</v>
      </c>
      <c r="D17" s="8"/>
      <c r="E17" s="514"/>
      <c r="F17" s="524"/>
      <c r="G17" s="412"/>
      <c r="H17" s="403"/>
    </row>
    <row r="18" spans="2:12" x14ac:dyDescent="0.25">
      <c r="B18" s="7"/>
      <c r="C18" s="70" t="s">
        <v>6</v>
      </c>
      <c r="D18" s="175">
        <v>70</v>
      </c>
      <c r="E18" s="516">
        <f>1001+1001+949+910+6370-45+152+420-557</f>
        <v>10201</v>
      </c>
      <c r="F18" s="410">
        <v>6663398</v>
      </c>
      <c r="G18" s="410">
        <f>-557*641</f>
        <v>-357037</v>
      </c>
      <c r="H18" s="401">
        <f>F18+G18</f>
        <v>6306361</v>
      </c>
      <c r="I18" s="528"/>
      <c r="J18" s="9"/>
    </row>
    <row r="19" spans="2:12" x14ac:dyDescent="0.25">
      <c r="B19" s="7"/>
      <c r="C19" s="70" t="s">
        <v>7</v>
      </c>
      <c r="D19" s="175">
        <v>1</v>
      </c>
      <c r="E19" s="516">
        <v>1</v>
      </c>
      <c r="F19" s="410">
        <v>81898.67</v>
      </c>
      <c r="G19" s="410">
        <v>-19321.7</v>
      </c>
      <c r="H19" s="401">
        <f>F19+G19</f>
        <v>62576.97</v>
      </c>
      <c r="J19" s="528"/>
    </row>
    <row r="20" spans="2:12" x14ac:dyDescent="0.25">
      <c r="B20" s="7"/>
      <c r="C20" s="70" t="s">
        <v>12</v>
      </c>
      <c r="D20" s="175">
        <v>12</v>
      </c>
      <c r="E20" s="516">
        <f>156+156+156+156+1092+36+72+49</f>
        <v>1873</v>
      </c>
      <c r="F20" s="410">
        <v>1268544</v>
      </c>
      <c r="G20" s="410">
        <f>49*716</f>
        <v>35084</v>
      </c>
      <c r="H20" s="401">
        <f>F20+G20</f>
        <v>1303628</v>
      </c>
      <c r="J20" s="9"/>
    </row>
    <row r="21" spans="2:12" s="12" customFormat="1" x14ac:dyDescent="0.25">
      <c r="B21" s="116"/>
      <c r="C21" s="113" t="s">
        <v>9</v>
      </c>
      <c r="D21" s="114">
        <f>SUM(D18:D20)</f>
        <v>83</v>
      </c>
      <c r="E21" s="517" t="s">
        <v>14</v>
      </c>
      <c r="F21" s="523">
        <v>8013840.6699999999</v>
      </c>
      <c r="G21" s="411">
        <f>SUM(G18:G20)</f>
        <v>-341274.7</v>
      </c>
      <c r="H21" s="402">
        <f>SUM(H18:H20)</f>
        <v>7672565.9699999997</v>
      </c>
      <c r="I21" s="561"/>
      <c r="J21" s="11"/>
    </row>
    <row r="22" spans="2:12" s="12" customFormat="1" x14ac:dyDescent="0.25">
      <c r="B22" s="116" t="s">
        <v>60</v>
      </c>
      <c r="C22" s="113" t="s">
        <v>59</v>
      </c>
      <c r="D22" s="114"/>
      <c r="E22" s="517"/>
      <c r="F22" s="523"/>
      <c r="G22" s="413"/>
      <c r="H22" s="402"/>
    </row>
    <row r="23" spans="2:12" s="12" customFormat="1" x14ac:dyDescent="0.25">
      <c r="B23" s="117"/>
      <c r="C23" s="70" t="s">
        <v>6</v>
      </c>
      <c r="D23" s="8">
        <v>62</v>
      </c>
      <c r="E23" s="514">
        <f>780+780+767+858+6006-28-68+372-447</f>
        <v>9020</v>
      </c>
      <c r="F23" s="524">
        <v>5884427</v>
      </c>
      <c r="G23" s="410">
        <f>-447*641</f>
        <v>-286527</v>
      </c>
      <c r="H23" s="403">
        <f>F23+G23</f>
        <v>5597900</v>
      </c>
      <c r="I23" s="562"/>
      <c r="J23" s="563"/>
      <c r="L23" s="41"/>
    </row>
    <row r="24" spans="2:12" s="12" customFormat="1" ht="15.75" thickBot="1" x14ac:dyDescent="0.3">
      <c r="B24" s="118"/>
      <c r="C24" s="357" t="s">
        <v>12</v>
      </c>
      <c r="D24" s="257">
        <v>12</v>
      </c>
      <c r="E24" s="518">
        <f>130+130+130+156+1092+36+72-195</f>
        <v>1551</v>
      </c>
      <c r="F24" s="525">
        <v>1218936</v>
      </c>
      <c r="G24" s="414">
        <f>-195*716</f>
        <v>-139620</v>
      </c>
      <c r="H24" s="404">
        <f>F24+G24</f>
        <v>1079316</v>
      </c>
      <c r="J24" s="261"/>
    </row>
    <row r="25" spans="2:12" s="12" customFormat="1" ht="15.75" thickBot="1" x14ac:dyDescent="0.3">
      <c r="B25" s="351"/>
      <c r="C25" s="352" t="s">
        <v>9</v>
      </c>
      <c r="D25" s="258">
        <f>D23+D24</f>
        <v>74</v>
      </c>
      <c r="E25" s="519"/>
      <c r="F25" s="526">
        <v>7103363</v>
      </c>
      <c r="G25" s="415">
        <f>SUM(G23:G24)</f>
        <v>-426147</v>
      </c>
      <c r="H25" s="405">
        <f>SUM(H23:H24)</f>
        <v>6677216</v>
      </c>
      <c r="I25" s="561"/>
      <c r="J25" s="11"/>
      <c r="K25" s="11"/>
    </row>
    <row r="26" spans="2:12" s="15" customFormat="1" ht="15.75" thickBot="1" x14ac:dyDescent="0.3">
      <c r="B26" s="103"/>
      <c r="C26" s="665" t="s">
        <v>13</v>
      </c>
      <c r="D26" s="327">
        <f>D16+D21+D25</f>
        <v>196</v>
      </c>
      <c r="E26" s="330" t="s">
        <v>14</v>
      </c>
      <c r="F26" s="657">
        <v>18758259.34</v>
      </c>
      <c r="G26" s="658">
        <f>G16+G21+G25</f>
        <v>-552889.34000000008</v>
      </c>
      <c r="H26" s="659">
        <f>H16+H21+H25</f>
        <v>18205370</v>
      </c>
      <c r="I26" s="564"/>
      <c r="J26" s="348"/>
    </row>
    <row r="27" spans="2:12" ht="15.75" thickBot="1" x14ac:dyDescent="0.3">
      <c r="B27" s="654"/>
      <c r="C27" s="666" t="s">
        <v>163</v>
      </c>
      <c r="D27" s="655"/>
      <c r="E27" s="656"/>
      <c r="F27" s="669">
        <v>18812400</v>
      </c>
      <c r="G27" s="667">
        <v>-607030.00100000005</v>
      </c>
      <c r="H27" s="668">
        <f>F27+G27</f>
        <v>18205369.999000002</v>
      </c>
      <c r="I27" s="560"/>
    </row>
    <row r="28" spans="2:12" x14ac:dyDescent="0.25">
      <c r="D28" s="119"/>
      <c r="F28" s="83"/>
      <c r="G28" s="9"/>
      <c r="H28" s="11"/>
      <c r="I28" s="9"/>
    </row>
    <row r="29" spans="2:12" x14ac:dyDescent="0.25">
      <c r="F29" s="340"/>
      <c r="G29" s="704"/>
      <c r="H29" s="704"/>
      <c r="I29" s="9"/>
    </row>
    <row r="30" spans="2:12" x14ac:dyDescent="0.25">
      <c r="C30" s="48" t="s">
        <v>45</v>
      </c>
      <c r="D30" s="663"/>
      <c r="E30" s="663"/>
      <c r="F30" s="663"/>
      <c r="G30" s="1" t="s">
        <v>44</v>
      </c>
      <c r="H30" s="1"/>
      <c r="I30" s="9"/>
    </row>
    <row r="31" spans="2:12" x14ac:dyDescent="0.25">
      <c r="B31" s="340"/>
      <c r="C31" s="663" t="s">
        <v>48</v>
      </c>
      <c r="D31" s="663"/>
      <c r="E31" s="663"/>
      <c r="F31" s="663"/>
      <c r="G31" s="704" t="s">
        <v>46</v>
      </c>
      <c r="H31" s="704"/>
      <c r="I31" s="9"/>
    </row>
    <row r="32" spans="2:12" x14ac:dyDescent="0.25">
      <c r="C32"/>
      <c r="D32" s="663"/>
      <c r="E32" s="663"/>
      <c r="F32" s="663"/>
      <c r="G32" s="664"/>
    </row>
  </sheetData>
  <mergeCells count="5">
    <mergeCell ref="A6:H6"/>
    <mergeCell ref="G29:H29"/>
    <mergeCell ref="A7:H7"/>
    <mergeCell ref="A8:H8"/>
    <mergeCell ref="G31:H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IAN 2022</vt:lpstr>
      <vt:lpstr>FEB 2022</vt:lpstr>
      <vt:lpstr>MAR 2022 </vt:lpstr>
      <vt:lpstr>APR 2022</vt:lpstr>
      <vt:lpstr>MODIF IAN -APR 2022</vt:lpstr>
      <vt:lpstr>MAI  - DEC 2022 </vt:lpstr>
      <vt:lpstr>REG II SI MAJO 2022</vt:lpstr>
      <vt:lpstr>REG III SI MAJO 2022</vt:lpstr>
      <vt:lpstr>An 2022 </vt:lpstr>
      <vt:lpstr>REPARTIZARE CB IAN 2022 </vt:lpstr>
      <vt:lpstr>REPARTIZARE CB FEB 2022</vt:lpstr>
      <vt:lpstr>REPARTIZARE CB MAR 2022</vt:lpstr>
      <vt:lpstr>REPARTIZARE CB TRIM I 2022 </vt:lpstr>
      <vt:lpstr>REPARTIZARE CB TRIM I-IV 20</vt:lpstr>
      <vt:lpstr>REPARTIZARE CB AN 2022</vt:lpstr>
      <vt:lpstr>REPARTIZARE CB  TR IV 2022</vt:lpstr>
      <vt:lpstr>REPARTIZARE CB  TR IV 1 2022</vt:lpstr>
      <vt:lpstr>REPARTIZARE CB NOIEMBRIE 2022</vt:lpstr>
      <vt:lpstr>REPARTIZARE CB DECEMBRIE 2022</vt:lpstr>
      <vt:lpstr>REPARTIZARE CB I DECEMBRIE 2022</vt:lpstr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2023-01-05T13:53:55Z</dcterms:modified>
</cp:coreProperties>
</file>