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08"/>
  </bookViews>
  <sheets>
    <sheet name="VENITURI" sheetId="1" r:id="rId1"/>
    <sheet name="CHELTUIELI" sheetId="2" r:id="rId2"/>
  </sheets>
  <definedNames>
    <definedName name="Database">#REF!</definedName>
  </definedNames>
  <calcPr calcId="144525"/>
</workbook>
</file>

<file path=xl/sharedStrings.xml><?xml version="1.0" encoding="utf-8"?>
<sst xmlns="http://schemas.openxmlformats.org/spreadsheetml/2006/main" count="558" uniqueCount="502">
  <si>
    <t>CASA DE ASIGURARI DE SANATATE SALAJ</t>
  </si>
  <si>
    <t>CONT DE EXECUTIE VENITURI  NOIEMBRIE 2020</t>
  </si>
  <si>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</si>
  <si>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</si>
  <si>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</si>
  <si>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</si>
  <si>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</si>
  <si>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</si>
  <si>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</si>
  <si>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</si>
  <si>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</si>
  <si>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</si>
  <si>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</si>
  <si>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</si>
  <si>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</si>
  <si>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</si>
  <si>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</si>
  <si>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</si>
  <si>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</si>
  <si>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</si>
  <si>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</si>
  <si>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</si>
  <si>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</si>
  <si>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</si>
  <si>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</si>
  <si>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</si>
  <si>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</si>
  <si>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</si>
  <si>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</si>
  <si>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</si>
  <si>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</si>
  <si>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</si>
  <si>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</si>
  <si>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</si>
  <si>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</si>
  <si>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</si>
  <si>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</si>
  <si>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</si>
  <si>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</si>
  <si>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</si>
  <si>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</si>
  <si>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</si>
  <si>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</si>
  <si>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</si>
  <si>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</si>
  <si>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</si>
  <si>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</si>
  <si>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</si>
  <si>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</si>
  <si>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</si>
  <si>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</si>
  <si>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</si>
  <si>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</si>
  <si>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</si>
  <si>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</si>
  <si>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</si>
  <si>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</si>
  <si>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</si>
  <si>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</si>
  <si>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</si>
  <si>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</si>
  <si>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</si>
  <si>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</si>
  <si>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</si>
  <si>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</si>
  <si>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</si>
  <si>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</si>
  <si>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</si>
  <si>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</si>
  <si>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</si>
  <si>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</si>
  <si>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</si>
  <si>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</si>
  <si>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</si>
  <si>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</si>
  <si>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</si>
  <si>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</si>
  <si>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</si>
  <si>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</si>
  <si>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</si>
  <si>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</si>
  <si>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</si>
  <si>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</si>
  <si>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</si>
  <si>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</si>
  <si>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</si>
  <si>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</si>
  <si>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</si>
  <si>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</si>
  <si>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</si>
  <si>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</si>
  <si>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</si>
  <si>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</si>
  <si>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</si>
  <si>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</si>
  <si>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</si>
  <si>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</si>
  <si>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</si>
  <si>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</si>
  <si>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</si>
  <si>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</si>
  <si>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</si>
  <si>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</si>
  <si>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</si>
  <si>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</si>
  <si>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</si>
  <si>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</si>
  <si>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</si>
  <si>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</si>
  <si>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</si>
  <si>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</si>
  <si>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</si>
  <si>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</si>
  <si>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</si>
  <si>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</si>
  <si>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</si>
  <si>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</si>
  <si>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</si>
  <si>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</si>
  <si>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</si>
  <si>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</si>
  <si>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</si>
  <si>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</si>
  <si>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</si>
  <si>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</si>
  <si>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</si>
  <si>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</si>
  <si>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</si>
  <si>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</si>
  <si>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</si>
  <si>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</si>
  <si>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</si>
  <si>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</si>
  <si>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</si>
  <si>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</si>
  <si>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</si>
  <si>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</si>
  <si>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</si>
  <si>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</si>
  <si>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</si>
  <si>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</si>
  <si>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</si>
  <si>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</si>
  <si>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</si>
  <si>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</si>
  <si>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</si>
  <si>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</si>
  <si>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</si>
  <si>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</si>
  <si>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</si>
  <si>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</si>
  <si>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</si>
  <si>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</si>
  <si>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</si>
  <si>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</si>
  <si>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</si>
  <si>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</si>
  <si>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</si>
  <si>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</si>
  <si>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</si>
  <si>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</si>
  <si>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</si>
  <si>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</si>
  <si>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</si>
  <si>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</si>
  <si>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</si>
  <si>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</si>
  <si>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</si>
  <si>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</si>
  <si>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</si>
  <si>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</si>
  <si>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</si>
  <si>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</si>
  <si>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</si>
  <si>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</si>
  <si>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</si>
  <si>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48.05</t>
  </si>
  <si>
    <t>48.05.02</t>
  </si>
  <si>
    <t>48.05.02.01</t>
  </si>
  <si>
    <t>Sume primite in contul platilor efectuate in anul curent</t>
  </si>
  <si>
    <t>08</t>
  </si>
  <si>
    <t>FONDURI EXTERNE NERAMBURSABILE
TOTAL VENITURI</t>
  </si>
  <si>
    <t>48.08</t>
  </si>
  <si>
    <t>48.08.15</t>
  </si>
  <si>
    <t>Alte programe comunitare finantate in perioada 2014-2020 (APC)</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</si>
  <si>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</si>
  <si>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</si>
  <si>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</si>
  <si>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</si>
  <si>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</si>
  <si>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</si>
  <si>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</si>
  <si>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</si>
  <si>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</si>
  <si>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</si>
  <si>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</si>
  <si>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DIRECTOR GENERAL</t>
  </si>
  <si>
    <t>SEF SERV. BFC</t>
  </si>
  <si>
    <t>Cordea Daniela Otilia</t>
  </si>
  <si>
    <t>Pop Neviana</t>
  </si>
  <si>
    <t>CONT DE EXECUTIE CHELTUIELI NOIEMBRIE  2020</t>
  </si>
  <si>
    <t>lei</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</si>
  <si>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</si>
  <si>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</si>
  <si>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</si>
  <si>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</si>
  <si>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</si>
  <si>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</si>
  <si>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</si>
  <si>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</si>
  <si>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</si>
  <si>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</si>
  <si>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</si>
  <si>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</si>
  <si>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</si>
  <si>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</si>
  <si>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</si>
  <si>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</si>
  <si>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</si>
  <si>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</si>
  <si>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</si>
  <si>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</si>
  <si>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</si>
  <si>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</si>
  <si>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</si>
  <si>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</si>
  <si>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</si>
  <si>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</si>
  <si>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</si>
  <si>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</si>
  <si>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</si>
  <si>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</si>
  <si>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</si>
  <si>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</si>
  <si>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</si>
  <si>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</si>
  <si>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</si>
  <si>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</si>
  <si>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</si>
  <si>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</si>
  <si>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</si>
  <si>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</si>
  <si>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</si>
  <si>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</si>
  <si>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</si>
  <si>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</si>
  <si>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</si>
  <si>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</si>
  <si>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</si>
  <si>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</si>
  <si>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</si>
  <si>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</si>
  <si>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</si>
  <si>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</si>
  <si>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</si>
  <si>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</si>
  <si>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</si>
  <si>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</si>
  <si>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</si>
  <si>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</si>
  <si>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</si>
  <si>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</si>
  <si>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</si>
  <si>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</si>
  <si>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</si>
  <si>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</si>
  <si>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</si>
  <si>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</si>
  <si>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</si>
  <si>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</si>
  <si>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</si>
  <si>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</si>
  <si>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</si>
  <si>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</si>
  <si>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</si>
  <si>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66.05.10.03.08</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</si>
  <si>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</si>
  <si>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</si>
  <si>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</si>
  <si>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</si>
  <si>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</si>
  <si>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</si>
  <si>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</si>
  <si>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</si>
  <si>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</si>
  <si>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</si>
  <si>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</si>
  <si>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</si>
  <si>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</si>
  <si>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</si>
  <si>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</si>
  <si>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</si>
  <si>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</si>
  <si>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</si>
  <si>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</si>
  <si>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</si>
  <si>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</si>
  <si>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</si>
  <si>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</si>
  <si>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</si>
  <si>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</si>
  <si>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</si>
  <si>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</si>
  <si>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</si>
  <si>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</si>
  <si>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</si>
  <si>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</si>
  <si>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</si>
  <si>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</si>
  <si>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</si>
  <si>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</si>
  <si>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</si>
  <si>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</si>
  <si>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</si>
  <si>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</si>
  <si>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</si>
  <si>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</si>
  <si>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</si>
  <si>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</si>
  <si>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</si>
  <si>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</si>
  <si>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</si>
  <si>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</si>
  <si>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</si>
  <si>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</si>
  <si>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</si>
  <si>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</si>
  <si>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</si>
  <si>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</si>
  <si>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</si>
  <si>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</si>
  <si>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</si>
  <si>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</si>
  <si>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</si>
  <si>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</si>
  <si>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</si>
  <si>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</si>
  <si>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</si>
  <si>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</si>
  <si>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</si>
  <si>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</si>
  <si>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</si>
  <si>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</si>
  <si>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</si>
  <si>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</si>
  <si>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</si>
  <si>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</si>
  <si>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</si>
  <si>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</si>
  <si>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</si>
  <si>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</si>
  <si>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</si>
  <si>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</si>
  <si>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</si>
  <si>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</si>
  <si>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</si>
  <si>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</si>
  <si>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</si>
  <si>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</si>
  <si>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</si>
  <si>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</si>
  <si>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</si>
  <si>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</si>
  <si>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</si>
  <si>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</si>
  <si>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</si>
  <si>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</si>
  <si>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</si>
  <si>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</si>
  <si>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</si>
  <si>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</si>
  <si>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</si>
  <si>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</si>
  <si>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</si>
  <si>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</si>
  <si>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</si>
  <si>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</si>
  <si>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</si>
  <si>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</si>
  <si>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</si>
  <si>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</si>
  <si>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</si>
  <si>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</si>
  <si>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</si>
  <si>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</si>
  <si>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</si>
  <si>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</si>
  <si>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</si>
  <si>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</si>
  <si>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</si>
  <si>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</si>
  <si>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</si>
  <si>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</si>
  <si>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</si>
  <si>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</si>
  <si>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</si>
  <si>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</si>
  <si>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</si>
  <si>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</si>
  <si>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</si>
  <si>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</si>
  <si>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</si>
  <si>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</si>
  <si>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</si>
  <si>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</si>
  <si>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</si>
  <si>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</si>
  <si>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</si>
  <si>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</si>
  <si>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</si>
  <si>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</si>
  <si>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</si>
  <si>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</si>
  <si>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</si>
  <si>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</si>
  <si>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</si>
  <si>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</si>
  <si>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</si>
  <si>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</si>
  <si>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</si>
  <si>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rPr>
        <sz val="10"/>
        <rFont val="Palatino Linotype"/>
        <charset val="238"/>
      </rP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</si>
  <si>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</si>
  <si>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</si>
  <si>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</si>
  <si>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</si>
  <si>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</si>
  <si>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</si>
  <si>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</si>
  <si>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</si>
  <si>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</si>
  <si>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</si>
  <si>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</si>
  <si>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</si>
  <si>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</si>
  <si>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</si>
  <si>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</si>
  <si>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</si>
  <si>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</si>
  <si>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</si>
  <si>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</si>
  <si>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</si>
  <si>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</si>
  <si>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</si>
  <si>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</si>
  <si>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</si>
  <si>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</si>
  <si>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</si>
  <si>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</si>
  <si>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</si>
  <si>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</si>
  <si>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</si>
  <si>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</si>
  <si>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</si>
  <si>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</si>
  <si>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</si>
  <si>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66.05.51.01.75</t>
  </si>
  <si>
    <t>Transferuri pentru stimulentul de risc</t>
  </si>
  <si>
    <t>68.05</t>
  </si>
  <si>
    <t>ASIGURARI SI ASISTENTA SOCIALA</t>
  </si>
  <si>
    <t>68.05.01</t>
  </si>
  <si>
    <t>68.05.57.00</t>
  </si>
  <si>
    <r>
      <rPr>
        <b/>
        <sz val="10"/>
        <rFont val="Palatino Linotype"/>
        <charset val="238"/>
      </rPr>
      <t>TITLUL</t>
    </r>
    <r>
      <rPr>
        <b/>
        <i/>
        <sz val="10"/>
        <rFont val="Palatino Linotype"/>
        <charset val="238"/>
      </rPr>
      <t xml:space="preserve"> IX</t>
    </r>
    <r>
      <rPr>
        <b/>
        <sz val="10"/>
        <rFont val="Palatino Linotype"/>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</si>
  <si>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</si>
  <si>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</si>
  <si>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</si>
  <si>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</si>
  <si>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</si>
  <si>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</si>
  <si>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</si>
  <si>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</si>
  <si>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</si>
  <si>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</si>
  <si>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</si>
  <si>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</si>
  <si>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</si>
  <si>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</si>
  <si>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</si>
  <si>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</si>
  <si>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</si>
  <si>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</si>
  <si>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</si>
  <si>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</si>
  <si>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 xml:space="preserve">Alte programe comunitare finantate in perioada 2014-2020 </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</si>
  <si>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</si>
  <si>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</si>
  <si>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</si>
  <si>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</si>
  <si>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</si>
  <si>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</si>
  <si>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</si>
  <si>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</si>
  <si>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</si>
  <si>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</si>
  <si>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</si>
  <si>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</si>
  <si>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</si>
  <si>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</si>
  <si>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</si>
  <si>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</si>
  <si>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</si>
  <si>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</si>
  <si>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Pop Neviana</t>
  </si>
</sst>
</file>

<file path=xl/styles.xml><?xml version="1.0" encoding="utf-8"?>
<styleSheet xmlns="http://schemas.openxmlformats.org/spreadsheetml/2006/main">
  <numFmts count="6">
    <numFmt numFmtId="42" formatCode="_-&quot;£&quot;* #,##0_-;\-&quot;£&quot;* #,##0_-;_-&quot;£&quot;* &quot;-&quot;_-;_-@_-"/>
    <numFmt numFmtId="44" formatCode="_-&quot;£&quot;* #,##0.00_-;\-&quot;£&quot;* #,##0.00_-;_-&quot;£&quot;* &quot;-&quot;??_-;_-@_-"/>
    <numFmt numFmtId="43" formatCode="_-* #,##0.00_-;\-* #,##0.00_-;_-* &quot;-&quot;??_-;_-@_-"/>
    <numFmt numFmtId="41" formatCode="_-* #,##0_-;\-* #,##0_-;_-* &quot;-&quot;_-;_-@_-"/>
    <numFmt numFmtId="176" formatCode="#,##0.0"/>
    <numFmt numFmtId="177" formatCode="#,##0.00_ ;[Red]\-#,##0.00\ "/>
  </numFmts>
  <fonts count="36">
    <font>
      <sz val="10"/>
      <name val="Arial"/>
      <charset val="238"/>
    </font>
    <font>
      <b/>
      <sz val="10"/>
      <name val="Palatino Linotype"/>
      <charset val="238"/>
    </font>
    <font>
      <sz val="10"/>
      <name val="Palatino Linotype"/>
      <charset val="238"/>
    </font>
    <font>
      <i/>
      <sz val="10"/>
      <name val="Palatino Linotype"/>
      <charset val="238"/>
    </font>
    <font>
      <b/>
      <sz val="12"/>
      <name val="Palatino Linotype"/>
      <charset val="238"/>
    </font>
    <font>
      <b/>
      <i/>
      <sz val="12"/>
      <name val="Palatino Linotype"/>
      <charset val="238"/>
    </font>
    <font>
      <b/>
      <i/>
      <sz val="10"/>
      <name val="Palatino Linotype"/>
      <charset val="238"/>
    </font>
    <font>
      <b/>
      <sz val="11"/>
      <name val="Palatino Linotype"/>
      <charset val="238"/>
    </font>
    <font>
      <b/>
      <i/>
      <sz val="11"/>
      <name val="Palatino Linotype"/>
      <charset val="238"/>
    </font>
    <font>
      <sz val="10"/>
      <color indexed="10"/>
      <name val="Palatino Linotype"/>
      <charset val="238"/>
    </font>
    <font>
      <sz val="10"/>
      <color indexed="8"/>
      <name val="Palatino Linotype"/>
      <charset val="238"/>
    </font>
    <font>
      <b/>
      <sz val="10"/>
      <color indexed="8"/>
      <name val="Palatino Linotype"/>
      <charset val="238"/>
    </font>
    <font>
      <b/>
      <i/>
      <sz val="14"/>
      <name val="Palatino Linotype"/>
      <charset val="238"/>
    </font>
    <font>
      <b/>
      <sz val="9"/>
      <name val="Palatino Linotype"/>
      <charset val="238"/>
    </font>
    <font>
      <sz val="9"/>
      <name val="Palatino Linotype"/>
      <charset val="238"/>
    </font>
    <font>
      <sz val="11"/>
      <name val="Palatino Linotype"/>
      <charset val="238"/>
    </font>
    <font>
      <sz val="11"/>
      <color theme="1"/>
      <name val="Calibri"/>
      <charset val="134"/>
      <scheme val="minor"/>
    </font>
    <font>
      <u/>
      <sz val="11"/>
      <color rgb="FF800080"/>
      <name val="Calibri"/>
      <charset val="0"/>
      <scheme val="minor"/>
    </font>
    <font>
      <sz val="11"/>
      <color theme="0"/>
      <name val="Calibri"/>
      <charset val="0"/>
      <scheme val="minor"/>
    </font>
    <font>
      <sz val="11"/>
      <color theme="1"/>
      <name val="Calibri"/>
      <charset val="0"/>
      <scheme val="minor"/>
    </font>
    <font>
      <b/>
      <sz val="11"/>
      <color theme="1"/>
      <name val="Calibri"/>
      <charset val="0"/>
      <scheme val="minor"/>
    </font>
    <font>
      <u/>
      <sz val="11"/>
      <color rgb="FF0000FF"/>
      <name val="Calibri"/>
      <charset val="0"/>
      <scheme val="minor"/>
    </font>
    <font>
      <b/>
      <sz val="15"/>
      <color theme="3"/>
      <name val="Calibri"/>
      <charset val="134"/>
      <scheme val="minor"/>
    </font>
    <font>
      <b/>
      <sz val="11"/>
      <color rgb="FFFFFFFF"/>
      <name val="Calibri"/>
      <charset val="0"/>
      <scheme val="minor"/>
    </font>
    <font>
      <b/>
      <sz val="13"/>
      <color theme="3"/>
      <name val="Calibri"/>
      <charset val="134"/>
      <scheme val="minor"/>
    </font>
    <font>
      <b/>
      <sz val="11"/>
      <color theme="3"/>
      <name val="Calibri"/>
      <charset val="134"/>
      <scheme val="minor"/>
    </font>
    <font>
      <i/>
      <sz val="11"/>
      <color rgb="FF7F7F7F"/>
      <name val="Calibri"/>
      <charset val="0"/>
      <scheme val="minor"/>
    </font>
    <font>
      <sz val="11"/>
      <color rgb="FFFF0000"/>
      <name val="Calibri"/>
      <charset val="0"/>
      <scheme val="minor"/>
    </font>
    <font>
      <b/>
      <sz val="18"/>
      <color theme="3"/>
      <name val="Calibri"/>
      <charset val="134"/>
      <scheme val="minor"/>
    </font>
    <font>
      <b/>
      <sz val="11"/>
      <color rgb="FFFA7D00"/>
      <name val="Calibri"/>
      <charset val="0"/>
      <scheme val="minor"/>
    </font>
    <font>
      <b/>
      <sz val="11"/>
      <color rgb="FF3F3F3F"/>
      <name val="Calibri"/>
      <charset val="0"/>
      <scheme val="minor"/>
    </font>
    <font>
      <sz val="11"/>
      <color rgb="FF006100"/>
      <name val="Calibri"/>
      <charset val="0"/>
      <scheme val="minor"/>
    </font>
    <font>
      <sz val="11"/>
      <color rgb="FF3F3F76"/>
      <name val="Calibri"/>
      <charset val="0"/>
      <scheme val="minor"/>
    </font>
    <font>
      <sz val="11"/>
      <color rgb="FFFA7D00"/>
      <name val="Calibri"/>
      <charset val="0"/>
      <scheme val="minor"/>
    </font>
    <font>
      <sz val="11"/>
      <color rgb="FF9C0006"/>
      <name val="Calibri"/>
      <charset val="0"/>
      <scheme val="minor"/>
    </font>
    <font>
      <sz val="11"/>
      <color rgb="FF9C6500"/>
      <name val="Calibri"/>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9"/>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FC7CE"/>
        <bgColor indexed="64"/>
      </patternFill>
    </fill>
    <fill>
      <patternFill patternType="solid">
        <fgColor rgb="FFFFEB9C"/>
        <bgColor indexed="64"/>
      </patternFill>
    </fill>
    <fill>
      <patternFill patternType="solid">
        <fgColor theme="8"/>
        <bgColor indexed="64"/>
      </patternFill>
    </fill>
    <fill>
      <patternFill patternType="solid">
        <fgColor theme="7"/>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s>
  <borders count="10">
    <border>
      <left/>
      <right/>
      <top/>
      <bottom/>
      <diagonal/>
    </border>
    <border>
      <left style="hair">
        <color auto="1"/>
      </left>
      <right style="hair">
        <color auto="1"/>
      </right>
      <top style="hair">
        <color auto="1"/>
      </top>
      <bottom style="hair">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54">
    <xf numFmtId="0" fontId="0" fillId="0" borderId="0"/>
    <xf numFmtId="0" fontId="19" fillId="6" borderId="0" applyNumberFormat="0" applyBorder="0" applyAlignment="0" applyProtection="0">
      <alignment vertical="center"/>
    </xf>
    <xf numFmtId="43" fontId="16" fillId="0" borderId="0" applyFont="0" applyFill="0" applyBorder="0" applyAlignment="0" applyProtection="0">
      <alignment vertical="center"/>
    </xf>
    <xf numFmtId="41" fontId="16" fillId="0" borderId="0" applyFont="0" applyFill="0" applyBorder="0" applyAlignment="0" applyProtection="0">
      <alignment vertical="center"/>
    </xf>
    <xf numFmtId="42"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0" fontId="21" fillId="0" borderId="0" applyNumberFormat="0" applyFill="0" applyBorder="0" applyAlignment="0" applyProtection="0">
      <alignment vertical="center"/>
    </xf>
    <xf numFmtId="0" fontId="18" fillId="9" borderId="0" applyNumberFormat="0" applyBorder="0" applyAlignment="0" applyProtection="0">
      <alignment vertical="center"/>
    </xf>
    <xf numFmtId="0" fontId="17" fillId="0" borderId="0" applyNumberFormat="0" applyFill="0" applyBorder="0" applyAlignment="0" applyProtection="0">
      <alignment vertical="center"/>
    </xf>
    <xf numFmtId="0" fontId="23" fillId="10" borderId="5" applyNumberFormat="0" applyAlignment="0" applyProtection="0">
      <alignment vertical="center"/>
    </xf>
    <xf numFmtId="0" fontId="24" fillId="0" borderId="4" applyNumberFormat="0" applyFill="0" applyAlignment="0" applyProtection="0">
      <alignment vertical="center"/>
    </xf>
    <xf numFmtId="0" fontId="16" fillId="7" borderId="3" applyNumberFormat="0" applyFont="0" applyAlignment="0" applyProtection="0">
      <alignment vertical="center"/>
    </xf>
    <xf numFmtId="0" fontId="19" fillId="15" borderId="0" applyNumberFormat="0" applyBorder="0" applyAlignment="0" applyProtection="0">
      <alignment vertical="center"/>
    </xf>
    <xf numFmtId="0" fontId="27" fillId="0" borderId="0" applyNumberFormat="0" applyFill="0" applyBorder="0" applyAlignment="0" applyProtection="0">
      <alignment vertical="center"/>
    </xf>
    <xf numFmtId="0" fontId="19" fillId="5"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4"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32" fillId="21" borderId="6" applyNumberFormat="0" applyAlignment="0" applyProtection="0">
      <alignment vertical="center"/>
    </xf>
    <xf numFmtId="0" fontId="18" fillId="24" borderId="0" applyNumberFormat="0" applyBorder="0" applyAlignment="0" applyProtection="0">
      <alignment vertical="center"/>
    </xf>
    <xf numFmtId="0" fontId="31" fillId="20" borderId="0" applyNumberFormat="0" applyBorder="0" applyAlignment="0" applyProtection="0">
      <alignment vertical="center"/>
    </xf>
    <xf numFmtId="0" fontId="30" fillId="17" borderId="7" applyNumberFormat="0" applyAlignment="0" applyProtection="0">
      <alignment vertical="center"/>
    </xf>
    <xf numFmtId="0" fontId="19" fillId="12" borderId="0" applyNumberFormat="0" applyBorder="0" applyAlignment="0" applyProtection="0">
      <alignment vertical="center"/>
    </xf>
    <xf numFmtId="0" fontId="29" fillId="17" borderId="6" applyNumberFormat="0" applyAlignment="0" applyProtection="0">
      <alignment vertical="center"/>
    </xf>
    <xf numFmtId="0" fontId="33" fillId="0" borderId="9" applyNumberFormat="0" applyFill="0" applyAlignment="0" applyProtection="0">
      <alignment vertical="center"/>
    </xf>
    <xf numFmtId="0" fontId="20" fillId="0" borderId="2" applyNumberFormat="0" applyFill="0" applyAlignment="0" applyProtection="0">
      <alignment vertical="center"/>
    </xf>
    <xf numFmtId="0" fontId="34" fillId="27" borderId="0" applyNumberFormat="0" applyBorder="0" applyAlignment="0" applyProtection="0">
      <alignment vertical="center"/>
    </xf>
    <xf numFmtId="0" fontId="35" fillId="28"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0" fillId="0" borderId="0"/>
    <xf numFmtId="0" fontId="19" fillId="14"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0" fillId="0" borderId="0"/>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8" fillId="25" borderId="0" applyNumberFormat="0" applyBorder="0" applyAlignment="0" applyProtection="0">
      <alignment vertical="center"/>
    </xf>
    <xf numFmtId="0" fontId="18" fillId="3" borderId="0" applyNumberFormat="0" applyBorder="0" applyAlignment="0" applyProtection="0">
      <alignment vertical="center"/>
    </xf>
    <xf numFmtId="0" fontId="19" fillId="31" borderId="0" applyNumberFormat="0" applyBorder="0" applyAlignment="0" applyProtection="0">
      <alignment vertical="center"/>
    </xf>
    <xf numFmtId="0" fontId="18" fillId="30" borderId="0" applyNumberFormat="0" applyBorder="0" applyAlignment="0" applyProtection="0">
      <alignment vertical="center"/>
    </xf>
    <xf numFmtId="0" fontId="19" fillId="23" borderId="0" applyNumberFormat="0" applyBorder="0" applyAlignment="0" applyProtection="0">
      <alignment vertical="center"/>
    </xf>
    <xf numFmtId="0" fontId="19" fillId="33" borderId="0" applyNumberFormat="0" applyBorder="0" applyAlignment="0" applyProtection="0">
      <alignment vertical="center"/>
    </xf>
    <xf numFmtId="0" fontId="18" fillId="29" borderId="0" applyNumberFormat="0" applyBorder="0" applyAlignment="0" applyProtection="0">
      <alignment vertical="center"/>
    </xf>
    <xf numFmtId="0" fontId="19" fillId="32" borderId="0" applyNumberFormat="0" applyBorder="0" applyAlignment="0" applyProtection="0">
      <alignment vertical="center"/>
    </xf>
    <xf numFmtId="0" fontId="18" fillId="19" borderId="0" applyNumberFormat="0" applyBorder="0" applyAlignment="0" applyProtection="0">
      <alignment vertical="center"/>
    </xf>
    <xf numFmtId="0" fontId="18" fillId="8" borderId="0" applyNumberFormat="0" applyBorder="0" applyAlignment="0" applyProtection="0">
      <alignment vertical="center"/>
    </xf>
    <xf numFmtId="0" fontId="19" fillId="22" borderId="0" applyNumberFormat="0" applyBorder="0" applyAlignment="0" applyProtection="0">
      <alignment vertical="center"/>
    </xf>
    <xf numFmtId="0" fontId="18" fillId="18" borderId="0" applyNumberFormat="0" applyBorder="0" applyAlignment="0" applyProtection="0">
      <alignment vertical="center"/>
    </xf>
    <xf numFmtId="0" fontId="0" fillId="0" borderId="0"/>
    <xf numFmtId="0" fontId="0" fillId="0" borderId="0"/>
  </cellStyleXfs>
  <cellXfs count="124">
    <xf numFmtId="0" fontId="0" fillId="0" borderId="0" xfId="0"/>
    <xf numFmtId="0" fontId="1" fillId="0" borderId="0" xfId="0" applyFont="1" applyFill="1" applyAlignment="1"/>
    <xf numFmtId="0" fontId="2" fillId="0" borderId="0" xfId="0" applyFont="1" applyFill="1" applyAlignment="1">
      <alignment horizontal="center" vertical="center" wrapText="1"/>
    </xf>
    <xf numFmtId="0" fontId="1" fillId="0" borderId="0" xfId="0" applyFont="1" applyFill="1"/>
    <xf numFmtId="0" fontId="3" fillId="0" borderId="0" xfId="0" applyFont="1" applyFill="1"/>
    <xf numFmtId="49" fontId="2" fillId="0" borderId="0" xfId="0" applyNumberFormat="1" applyFont="1" applyFill="1" applyBorder="1" applyAlignment="1">
      <alignment vertical="top" wrapText="1"/>
    </xf>
    <xf numFmtId="3" fontId="2" fillId="0" borderId="0" xfId="0" applyNumberFormat="1" applyFont="1" applyFill="1" applyBorder="1"/>
    <xf numFmtId="3" fontId="2" fillId="2" borderId="0" xfId="0" applyNumberFormat="1" applyFont="1" applyFill="1" applyBorder="1"/>
    <xf numFmtId="0" fontId="2" fillId="0" borderId="0" xfId="0" applyFont="1" applyFill="1"/>
    <xf numFmtId="49" fontId="4" fillId="0" borderId="0" xfId="0" applyNumberFormat="1" applyFont="1" applyFill="1" applyBorder="1" applyAlignment="1">
      <alignment vertical="top"/>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1" fillId="0" borderId="0" xfId="0" applyNumberFormat="1" applyFont="1" applyFill="1" applyBorder="1" applyAlignment="1"/>
    <xf numFmtId="3" fontId="1" fillId="2" borderId="0" xfId="0" applyNumberFormat="1" applyFont="1" applyFill="1" applyBorder="1" applyAlignment="1"/>
    <xf numFmtId="4" fontId="2" fillId="0" borderId="0" xfId="0" applyNumberFormat="1" applyFont="1" applyFill="1" applyBorder="1"/>
    <xf numFmtId="4" fontId="1" fillId="0" borderId="0" xfId="0" applyNumberFormat="1" applyFont="1" applyFill="1" applyBorder="1" applyAlignment="1">
      <alignment wrapText="1"/>
    </xf>
    <xf numFmtId="3" fontId="1" fillId="0" borderId="0" xfId="0" applyNumberFormat="1" applyFont="1" applyFill="1" applyBorder="1" applyAlignment="1">
      <alignment wrapText="1"/>
    </xf>
    <xf numFmtId="176" fontId="2" fillId="2" borderId="0" xfId="0" applyNumberFormat="1" applyFont="1" applyFill="1" applyBorder="1"/>
    <xf numFmtId="3" fontId="6" fillId="2" borderId="0" xfId="0" applyNumberFormat="1" applyFont="1" applyFill="1" applyBorder="1" applyAlignment="1">
      <alignment horizontal="right" wrapText="1"/>
    </xf>
    <xf numFmtId="49"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top" wrapText="1"/>
    </xf>
    <xf numFmtId="3" fontId="1"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3" fontId="6" fillId="2" borderId="1" xfId="0" applyNumberFormat="1" applyFont="1" applyFill="1" applyBorder="1" applyAlignment="1">
      <alignment horizontal="center"/>
    </xf>
    <xf numFmtId="49" fontId="1" fillId="0" borderId="1" xfId="0" applyNumberFormat="1" applyFont="1" applyFill="1" applyBorder="1" applyAlignment="1">
      <alignment vertical="top" wrapText="1"/>
    </xf>
    <xf numFmtId="177" fontId="1" fillId="0" borderId="1" xfId="37" applyNumberFormat="1" applyFont="1" applyFill="1" applyBorder="1" applyAlignment="1" applyProtection="1">
      <alignment horizontal="left" wrapText="1"/>
    </xf>
    <xf numFmtId="4" fontId="1" fillId="0" borderId="1" xfId="32" applyNumberFormat="1" applyFont="1" applyFill="1" applyBorder="1" applyAlignment="1" applyProtection="1">
      <alignment horizontal="right" wrapText="1"/>
    </xf>
    <xf numFmtId="4" fontId="1" fillId="2" borderId="1" xfId="32" applyNumberFormat="1" applyFont="1" applyFill="1" applyBorder="1" applyAlignment="1" applyProtection="1">
      <alignment horizontal="right" wrapText="1"/>
    </xf>
    <xf numFmtId="177" fontId="1" fillId="0" borderId="1" xfId="37" applyNumberFormat="1" applyFont="1" applyFill="1" applyBorder="1" applyAlignment="1">
      <alignment wrapText="1"/>
    </xf>
    <xf numFmtId="4" fontId="1" fillId="0" borderId="1" xfId="32" applyNumberFormat="1" applyFont="1" applyFill="1" applyBorder="1" applyAlignment="1">
      <alignment horizontal="right" wrapText="1"/>
    </xf>
    <xf numFmtId="4" fontId="1" fillId="2" borderId="1" xfId="32" applyNumberFormat="1" applyFont="1" applyFill="1" applyBorder="1" applyAlignment="1">
      <alignment horizontal="right" wrapText="1"/>
    </xf>
    <xf numFmtId="49" fontId="1"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 fontId="2" fillId="0" borderId="1" xfId="37" applyNumberFormat="1" applyFont="1" applyFill="1" applyBorder="1" applyAlignment="1">
      <alignment wrapText="1"/>
    </xf>
    <xf numFmtId="4" fontId="6" fillId="0" borderId="1" xfId="0" applyNumberFormat="1" applyFont="1" applyFill="1" applyBorder="1" applyAlignment="1">
      <alignment horizontal="right"/>
    </xf>
    <xf numFmtId="4" fontId="2" fillId="0" borderId="1" xfId="32" applyNumberFormat="1" applyFont="1" applyFill="1" applyBorder="1" applyAlignment="1" applyProtection="1">
      <alignment horizontal="right" wrapText="1"/>
    </xf>
    <xf numFmtId="4" fontId="2" fillId="2" borderId="1" xfId="0" applyNumberFormat="1" applyFont="1" applyFill="1" applyBorder="1"/>
    <xf numFmtId="177" fontId="2" fillId="0" borderId="1" xfId="37" applyNumberFormat="1" applyFont="1" applyFill="1" applyBorder="1" applyAlignment="1">
      <alignment wrapText="1"/>
    </xf>
    <xf numFmtId="4" fontId="6" fillId="2" borderId="1" xfId="0" applyNumberFormat="1" applyFont="1" applyFill="1" applyBorder="1" applyAlignment="1">
      <alignment horizontal="right"/>
    </xf>
    <xf numFmtId="177" fontId="2" fillId="0" borderId="1" xfId="37" applyNumberFormat="1" applyFont="1" applyFill="1" applyBorder="1" applyAlignment="1" applyProtection="1">
      <alignment horizontal="left" vertical="center" wrapText="1"/>
    </xf>
    <xf numFmtId="4" fontId="7" fillId="0" borderId="1" xfId="32" applyNumberFormat="1" applyFont="1" applyFill="1" applyBorder="1" applyAlignment="1">
      <alignment horizontal="right" wrapText="1"/>
    </xf>
    <xf numFmtId="4" fontId="7" fillId="2" borderId="1" xfId="32" applyNumberFormat="1" applyFont="1" applyFill="1" applyBorder="1" applyAlignment="1">
      <alignment horizontal="right" wrapText="1"/>
    </xf>
    <xf numFmtId="49" fontId="3" fillId="0" borderId="1" xfId="0" applyNumberFormat="1" applyFont="1" applyFill="1" applyBorder="1" applyAlignment="1">
      <alignment vertical="top" wrapText="1"/>
    </xf>
    <xf numFmtId="177" fontId="3" fillId="0" borderId="1" xfId="37" applyNumberFormat="1" applyFont="1" applyFill="1" applyBorder="1" applyAlignment="1">
      <alignment wrapText="1"/>
    </xf>
    <xf numFmtId="4" fontId="8" fillId="0" borderId="1" xfId="0" applyNumberFormat="1" applyFont="1" applyFill="1" applyBorder="1" applyAlignment="1">
      <alignment horizontal="right"/>
    </xf>
    <xf numFmtId="4" fontId="1" fillId="0" borderId="1" xfId="32" applyNumberFormat="1" applyFont="1" applyFill="1" applyBorder="1" applyAlignment="1">
      <alignment horizontal="right"/>
    </xf>
    <xf numFmtId="4" fontId="1" fillId="2" borderId="1" xfId="32" applyNumberFormat="1" applyFont="1" applyFill="1" applyBorder="1" applyAlignment="1">
      <alignment horizontal="right"/>
    </xf>
    <xf numFmtId="4" fontId="2" fillId="2" borderId="1" xfId="0" applyNumberFormat="1" applyFont="1" applyFill="1" applyBorder="1" applyAlignment="1">
      <alignment vertical="top" wrapText="1"/>
    </xf>
    <xf numFmtId="49" fontId="2" fillId="0" borderId="1" xfId="0" applyNumberFormat="1" applyFont="1" applyFill="1" applyBorder="1" applyAlignment="1">
      <alignment horizontal="left" vertical="top" wrapText="1"/>
    </xf>
    <xf numFmtId="177" fontId="1" fillId="0" borderId="1" xfId="32" applyNumberFormat="1" applyFont="1" applyFill="1" applyBorder="1" applyAlignment="1">
      <alignment wrapText="1"/>
    </xf>
    <xf numFmtId="177" fontId="2" fillId="0" borderId="1" xfId="32" applyNumberFormat="1" applyFont="1" applyFill="1" applyBorder="1" applyAlignment="1">
      <alignment wrapText="1"/>
    </xf>
    <xf numFmtId="49" fontId="9" fillId="0" borderId="1" xfId="0" applyNumberFormat="1" applyFont="1" applyFill="1" applyBorder="1" applyAlignment="1">
      <alignment vertical="top" wrapText="1"/>
    </xf>
    <xf numFmtId="4" fontId="2" fillId="2" borderId="1" xfId="32" applyNumberFormat="1" applyFont="1" applyFill="1" applyBorder="1" applyAlignment="1" applyProtection="1">
      <alignment horizontal="right" wrapText="1"/>
    </xf>
    <xf numFmtId="4" fontId="7" fillId="0" borderId="1" xfId="32" applyNumberFormat="1" applyFont="1" applyFill="1" applyBorder="1" applyAlignment="1" applyProtection="1">
      <alignment horizontal="right" wrapText="1"/>
    </xf>
    <xf numFmtId="4" fontId="7" fillId="2" borderId="1" xfId="32" applyNumberFormat="1" applyFont="1" applyFill="1" applyBorder="1" applyAlignment="1" applyProtection="1">
      <alignment horizontal="right" wrapText="1"/>
    </xf>
    <xf numFmtId="4" fontId="1" fillId="0" borderId="1" xfId="37" applyNumberFormat="1" applyFont="1" applyFill="1" applyBorder="1" applyAlignment="1">
      <alignment wrapText="1"/>
    </xf>
    <xf numFmtId="4" fontId="2" fillId="0" borderId="1" xfId="0" applyNumberFormat="1" applyFont="1" applyFill="1" applyBorder="1" applyAlignment="1" applyProtection="1">
      <alignment wrapText="1"/>
    </xf>
    <xf numFmtId="4" fontId="2" fillId="0" borderId="1" xfId="0" applyNumberFormat="1" applyFont="1" applyFill="1" applyBorder="1" applyAlignment="1" applyProtection="1">
      <alignment horizontal="left" wrapText="1"/>
    </xf>
    <xf numFmtId="4" fontId="3" fillId="2" borderId="1" xfId="0" applyNumberFormat="1" applyFont="1" applyFill="1" applyBorder="1" applyAlignment="1">
      <alignment horizontal="right"/>
    </xf>
    <xf numFmtId="4" fontId="1" fillId="0" borderId="1" xfId="0" applyNumberFormat="1" applyFont="1" applyFill="1" applyBorder="1" applyAlignment="1" applyProtection="1">
      <alignment horizontal="left" wrapText="1"/>
    </xf>
    <xf numFmtId="177" fontId="10" fillId="0" borderId="1" xfId="37" applyNumberFormat="1" applyFont="1" applyFill="1" applyBorder="1" applyAlignment="1">
      <alignment wrapText="1"/>
    </xf>
    <xf numFmtId="4" fontId="2" fillId="0" borderId="1" xfId="37" applyNumberFormat="1" applyFont="1" applyFill="1" applyBorder="1" applyAlignment="1" applyProtection="1">
      <alignment wrapText="1"/>
    </xf>
    <xf numFmtId="4" fontId="2" fillId="2" borderId="1" xfId="0" applyNumberFormat="1" applyFont="1" applyFill="1" applyBorder="1" applyProtection="1"/>
    <xf numFmtId="177" fontId="10" fillId="0" borderId="1" xfId="37" applyNumberFormat="1" applyFont="1" applyFill="1" applyBorder="1" applyAlignment="1">
      <alignment horizontal="left" vertical="center" wrapText="1"/>
    </xf>
    <xf numFmtId="177" fontId="11" fillId="0" borderId="1" xfId="32" applyNumberFormat="1" applyFont="1" applyFill="1" applyBorder="1" applyAlignment="1">
      <alignment horizontal="left" vertical="center" wrapText="1"/>
    </xf>
    <xf numFmtId="177" fontId="10" fillId="0" borderId="1" xfId="32" applyNumberFormat="1" applyFont="1" applyFill="1" applyBorder="1" applyAlignment="1">
      <alignment horizontal="left" vertical="center" wrapText="1"/>
    </xf>
    <xf numFmtId="3" fontId="2" fillId="0" borderId="1" xfId="0" applyNumberFormat="1" applyFont="1" applyFill="1" applyBorder="1" applyAlignment="1" applyProtection="1">
      <alignment vertical="top" wrapText="1"/>
    </xf>
    <xf numFmtId="3" fontId="2" fillId="0" borderId="1" xfId="0" applyNumberFormat="1" applyFont="1" applyFill="1" applyBorder="1" applyAlignment="1" applyProtection="1">
      <alignment horizontal="center" vertical="top" wrapText="1"/>
    </xf>
    <xf numFmtId="4" fontId="2" fillId="2" borderId="1" xfId="37" applyNumberFormat="1" applyFont="1" applyFill="1" applyBorder="1" applyAlignment="1">
      <alignment wrapText="1"/>
    </xf>
    <xf numFmtId="177" fontId="1" fillId="0" borderId="1" xfId="52" applyNumberFormat="1" applyFont="1" applyFill="1" applyBorder="1" applyAlignment="1">
      <alignment vertical="top" wrapText="1"/>
    </xf>
    <xf numFmtId="177" fontId="1" fillId="0" borderId="1" xfId="53" applyNumberFormat="1" applyFont="1" applyFill="1" applyBorder="1" applyAlignment="1" applyProtection="1">
      <alignment vertical="top" wrapText="1"/>
    </xf>
    <xf numFmtId="4" fontId="2" fillId="0" borderId="1" xfId="0" applyNumberFormat="1" applyFont="1" applyFill="1" applyBorder="1" applyAlignment="1">
      <alignment horizontal="left" vertical="center" wrapText="1"/>
    </xf>
    <xf numFmtId="2" fontId="2" fillId="0" borderId="1" xfId="37" applyNumberFormat="1" applyFont="1" applyFill="1" applyBorder="1" applyAlignment="1">
      <alignment wrapText="1"/>
    </xf>
    <xf numFmtId="177" fontId="1" fillId="0" borderId="1" xfId="37" applyNumberFormat="1" applyFont="1" applyFill="1" applyBorder="1" applyAlignment="1"/>
    <xf numFmtId="177" fontId="2" fillId="0" borderId="1" xfId="37" applyNumberFormat="1" applyFont="1" applyFill="1" applyBorder="1" applyAlignment="1"/>
    <xf numFmtId="4" fontId="2" fillId="0" borderId="1" xfId="0" applyNumberFormat="1" applyFont="1" applyFill="1" applyBorder="1"/>
    <xf numFmtId="3" fontId="1" fillId="0" borderId="1" xfId="0" applyNumberFormat="1" applyFont="1" applyFill="1" applyBorder="1" applyAlignment="1">
      <alignment wrapText="1"/>
    </xf>
    <xf numFmtId="4" fontId="1" fillId="0" borderId="1" xfId="0" applyNumberFormat="1" applyFont="1" applyFill="1" applyBorder="1"/>
    <xf numFmtId="4" fontId="1" fillId="2" borderId="1" xfId="0" applyNumberFormat="1" applyFont="1" applyFill="1" applyBorder="1"/>
    <xf numFmtId="3" fontId="2" fillId="0" borderId="1" xfId="0" applyNumberFormat="1" applyFont="1" applyFill="1" applyBorder="1" applyAlignment="1">
      <alignment wrapText="1"/>
    </xf>
    <xf numFmtId="0" fontId="2" fillId="0" borderId="0" xfId="0" applyFont="1" applyFill="1" applyAlignment="1"/>
    <xf numFmtId="3" fontId="2" fillId="0" borderId="0" xfId="0" applyNumberFormat="1" applyFont="1" applyFill="1"/>
    <xf numFmtId="0" fontId="2" fillId="0" borderId="0" xfId="0" applyFont="1" applyFill="1" applyBorder="1"/>
    <xf numFmtId="0" fontId="2" fillId="0" borderId="0" xfId="0" applyFont="1" applyFill="1" applyAlignment="1">
      <alignment wrapText="1"/>
    </xf>
    <xf numFmtId="4" fontId="2" fillId="0" borderId="0" xfId="0" applyNumberFormat="1" applyFont="1" applyFill="1"/>
    <xf numFmtId="0" fontId="6" fillId="0" borderId="0" xfId="0" applyFont="1" applyFill="1" applyAlignment="1">
      <alignment horizontal="left"/>
    </xf>
    <xf numFmtId="4" fontId="12" fillId="0" borderId="0" xfId="0" applyNumberFormat="1" applyFont="1" applyFill="1" applyAlignment="1">
      <alignment horizontal="center"/>
    </xf>
    <xf numFmtId="4" fontId="2" fillId="0" borderId="0" xfId="0" applyNumberFormat="1" applyFont="1" applyFill="1" applyBorder="1" applyAlignment="1"/>
    <xf numFmtId="0" fontId="12" fillId="0" borderId="0" xfId="0" applyFont="1" applyFill="1" applyAlignment="1">
      <alignment horizontal="left"/>
    </xf>
    <xf numFmtId="0" fontId="1" fillId="0" borderId="0" xfId="0" applyFont="1" applyFill="1" applyAlignment="1">
      <alignment vertical="center" wrapText="1"/>
    </xf>
    <xf numFmtId="0" fontId="1" fillId="0" borderId="0" xfId="0" applyFont="1" applyFill="1" applyBorder="1" applyAlignment="1">
      <alignment horizontal="left"/>
    </xf>
    <xf numFmtId="0" fontId="6" fillId="0" borderId="0" xfId="0" applyFont="1" applyFill="1" applyAlignment="1">
      <alignment horizontal="right"/>
    </xf>
    <xf numFmtId="0" fontId="13" fillId="0" borderId="0" xfId="0" applyFont="1" applyFill="1" applyBorder="1" applyAlignment="1">
      <alignment horizontal="center" wrapText="1"/>
    </xf>
    <xf numFmtId="4" fontId="1" fillId="0" borderId="0" xfId="0" applyNumberFormat="1" applyFont="1" applyFill="1" applyBorder="1" applyAlignment="1">
      <alignment horizontal="center" vertical="center" wrapText="1"/>
    </xf>
    <xf numFmtId="3" fontId="1" fillId="0" borderId="1" xfId="0" applyNumberFormat="1" applyFont="1" applyFill="1" applyBorder="1" applyAlignment="1">
      <alignment horizontal="center" wrapText="1"/>
    </xf>
    <xf numFmtId="3" fontId="1" fillId="0" borderId="0" xfId="0" applyNumberFormat="1" applyFont="1" applyFill="1" applyBorder="1" applyAlignment="1">
      <alignment horizontal="center"/>
    </xf>
    <xf numFmtId="49" fontId="13" fillId="0" borderId="1" xfId="0" applyNumberFormat="1" applyFont="1" applyFill="1" applyBorder="1" applyAlignment="1">
      <alignment horizontal="left"/>
    </xf>
    <xf numFmtId="4" fontId="1" fillId="0" borderId="1" xfId="0" applyNumberFormat="1" applyFont="1" applyFill="1" applyBorder="1" applyAlignment="1">
      <alignment wrapText="1"/>
    </xf>
    <xf numFmtId="4" fontId="1" fillId="0" borderId="0" xfId="0" applyNumberFormat="1" applyFont="1" applyFill="1" applyBorder="1"/>
    <xf numFmtId="49" fontId="14" fillId="0" borderId="1" xfId="0" applyNumberFormat="1" applyFont="1" applyFill="1" applyBorder="1" applyAlignment="1">
      <alignment horizontal="left"/>
    </xf>
    <xf numFmtId="4" fontId="2" fillId="0" borderId="1" xfId="0" applyNumberFormat="1" applyFont="1" applyFill="1" applyBorder="1" applyAlignment="1">
      <alignment wrapText="1"/>
    </xf>
    <xf numFmtId="4" fontId="15" fillId="0" borderId="1" xfId="0" applyNumberFormat="1" applyFont="1" applyFill="1" applyBorder="1" applyAlignment="1">
      <alignment wrapText="1"/>
    </xf>
    <xf numFmtId="4" fontId="7" fillId="0" borderId="1" xfId="0" applyNumberFormat="1" applyFont="1" applyFill="1" applyBorder="1" applyAlignment="1">
      <alignment wrapText="1"/>
    </xf>
    <xf numFmtId="0" fontId="14" fillId="0" borderId="1" xfId="0" applyFont="1" applyFill="1" applyBorder="1" applyAlignment="1">
      <alignment wrapText="1"/>
    </xf>
    <xf numFmtId="49" fontId="14" fillId="0" borderId="1" xfId="33" applyNumberFormat="1" applyFont="1" applyFill="1" applyBorder="1" applyAlignment="1" applyProtection="1">
      <alignment horizontal="left"/>
      <protection locked="0"/>
    </xf>
    <xf numFmtId="4" fontId="2" fillId="0" borderId="1" xfId="33" applyNumberFormat="1" applyFont="1" applyFill="1" applyBorder="1" applyAlignment="1" applyProtection="1">
      <alignment wrapText="1"/>
      <protection locked="0"/>
    </xf>
    <xf numFmtId="0" fontId="1" fillId="0" borderId="1" xfId="0" applyFont="1" applyFill="1" applyBorder="1"/>
    <xf numFmtId="4" fontId="10" fillId="0" borderId="1" xfId="0" applyNumberFormat="1" applyFont="1" applyFill="1" applyBorder="1" applyAlignment="1">
      <alignment wrapText="1"/>
    </xf>
    <xf numFmtId="0" fontId="2"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6" fillId="0" borderId="0" xfId="0" applyFont="1" applyFill="1" applyBorder="1"/>
    <xf numFmtId="0" fontId="1" fillId="0" borderId="0" xfId="0" applyFont="1" applyFill="1" applyBorder="1"/>
    <xf numFmtId="49" fontId="14" fillId="0" borderId="1" xfId="0" applyNumberFormat="1" applyFont="1" applyFill="1" applyBorder="1" applyAlignment="1" applyProtection="1">
      <alignment horizontal="left" vertical="center"/>
    </xf>
    <xf numFmtId="4" fontId="10" fillId="0" borderId="1" xfId="0" applyNumberFormat="1" applyFont="1" applyFill="1" applyBorder="1" applyAlignment="1" applyProtection="1">
      <alignment horizontal="left" wrapText="1"/>
    </xf>
    <xf numFmtId="4" fontId="14" fillId="0" borderId="1" xfId="0" applyNumberFormat="1" applyFont="1" applyFill="1" applyBorder="1" applyAlignment="1">
      <alignment horizontal="left"/>
    </xf>
    <xf numFmtId="177" fontId="2" fillId="0" borderId="1" xfId="0" applyNumberFormat="1" applyFont="1" applyFill="1" applyBorder="1" applyAlignment="1" applyProtection="1">
      <alignment wrapText="1"/>
    </xf>
    <xf numFmtId="0" fontId="2" fillId="0" borderId="1" xfId="0" applyFont="1" applyFill="1" applyBorder="1" applyAlignment="1">
      <alignment wrapText="1"/>
    </xf>
    <xf numFmtId="177" fontId="2" fillId="0" borderId="1" xfId="37" applyNumberFormat="1" applyFont="1" applyFill="1" applyBorder="1" applyAlignment="1" applyProtection="1">
      <alignment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54">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Normal_BUGET RECTIFICARE OUG 89 VIRARI FINALE_12.Cont executie CHELTUIELI DECEMBRIE 2014" xfId="32"/>
    <cellStyle name="Normal 2" xfId="33"/>
    <cellStyle name="20% - Accent5" xfId="34" builtinId="46"/>
    <cellStyle name="60% - Accent1" xfId="35" builtinId="32"/>
    <cellStyle name="Accent2" xfId="36" builtinId="33"/>
    <cellStyle name="Normal_BUGET RECTIFICARE OUG 89 VIRARI FINALE" xfId="37"/>
    <cellStyle name="20% - Accent2" xfId="38" builtinId="34"/>
    <cellStyle name="20% - Accent6" xfId="39" builtinId="50"/>
    <cellStyle name="60% - Accent2" xfId="40" builtinId="36"/>
    <cellStyle name="Accent3" xfId="41" builtinId="37"/>
    <cellStyle name="20% - Accent3" xfId="42" builtinId="38"/>
    <cellStyle name="Accent4" xfId="43" builtinId="41"/>
    <cellStyle name="20% - Accent4" xfId="44" builtinId="42"/>
    <cellStyle name="40% - Accent4" xfId="45" builtinId="43"/>
    <cellStyle name="Accent5" xfId="46" builtinId="45"/>
    <cellStyle name="40% - Accent5" xfId="47" builtinId="47"/>
    <cellStyle name="60% - Accent5" xfId="48" builtinId="48"/>
    <cellStyle name="Accent6" xfId="49" builtinId="49"/>
    <cellStyle name="40% - Accent6" xfId="50" builtinId="51"/>
    <cellStyle name="60% - Accent6" xfId="51" builtinId="52"/>
    <cellStyle name="Normal_buget 2004 cf lg 507 2003 CU DEBL10% MAI cu virari" xfId="52"/>
    <cellStyle name="Normal_LG 216 CALCULE BVC 2001" xfId="53"/>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C00CC"/>
  </sheetPr>
  <dimension ref="A1:FR107"/>
  <sheetViews>
    <sheetView tabSelected="1" workbookViewId="0">
      <pane xSplit="4" ySplit="7" topLeftCell="E24" activePane="bottomRight" state="frozen"/>
      <selection/>
      <selection pane="topRight"/>
      <selection pane="bottomLeft"/>
      <selection pane="bottomRight" activeCell="B4" sqref="B4"/>
    </sheetView>
  </sheetViews>
  <sheetFormatPr defaultColWidth="9" defaultRowHeight="15"/>
  <cols>
    <col min="1" max="1" width="11.1388888888889" style="86" customWidth="1"/>
    <col min="2" max="2" width="57.5740740740741" style="8" customWidth="1"/>
    <col min="3" max="3" width="5.28703703703704" style="8" customWidth="1"/>
    <col min="4" max="4" width="14" style="87" customWidth="1"/>
    <col min="5" max="5" width="11.287037037037" style="87" hidden="1" customWidth="1"/>
    <col min="6" max="6" width="16.712962962963" style="8" customWidth="1"/>
    <col min="7" max="7" width="17.712962962963" style="8" customWidth="1"/>
    <col min="8" max="8" width="10.5740740740741" style="85" customWidth="1"/>
    <col min="9" max="9" width="10.712962962963" style="85" customWidth="1"/>
    <col min="10" max="10" width="9.28703703703704" style="85" customWidth="1"/>
    <col min="11" max="11" width="10.287037037037" style="85" customWidth="1"/>
    <col min="12" max="12" width="9.85185185185185" style="85" customWidth="1"/>
    <col min="13" max="13" width="10.712962962963" style="85" customWidth="1"/>
    <col min="14" max="14" width="10" style="85" customWidth="1"/>
    <col min="15" max="15" width="10.287037037037" style="85" customWidth="1"/>
    <col min="16" max="16" width="9.57407407407407" style="85" customWidth="1"/>
    <col min="17" max="17" width="10.712962962963" style="85" customWidth="1"/>
    <col min="18" max="18" width="10.1388888888889" style="85" customWidth="1"/>
    <col min="19" max="19" width="10.5740740740741" style="85" customWidth="1"/>
    <col min="20" max="20" width="10" style="85" customWidth="1"/>
    <col min="21" max="21" width="10.8518518518519" style="85" customWidth="1"/>
    <col min="22" max="22" width="10.1388888888889" style="85" customWidth="1"/>
    <col min="23" max="23" width="9.71296296296296" style="85" customWidth="1"/>
    <col min="24" max="24" width="10.8518518518519" style="85" customWidth="1"/>
    <col min="25" max="25" width="11.1388888888889" style="85" customWidth="1"/>
    <col min="26" max="26" width="9.13888888888889" style="85"/>
    <col min="27" max="27" width="10.5740740740741" style="85" customWidth="1"/>
    <col min="28" max="28" width="9.85185185185185" style="85" customWidth="1"/>
    <col min="29" max="29" width="10.8518518518519" style="85" customWidth="1"/>
    <col min="30" max="30" width="10.287037037037" style="85" customWidth="1"/>
    <col min="31" max="31" width="8.57407407407407" style="85" customWidth="1"/>
    <col min="32" max="32" width="10.4259259259259" style="85" customWidth="1"/>
    <col min="33" max="34" width="9.85185185185185" style="85" customWidth="1"/>
    <col min="35" max="35" width="9.28703703703704" style="85" customWidth="1"/>
    <col min="36" max="36" width="9" style="85" customWidth="1"/>
    <col min="37" max="37" width="10.4259259259259" style="85" customWidth="1"/>
    <col min="38" max="38" width="11.287037037037" style="85" customWidth="1"/>
    <col min="39" max="39" width="9.85185185185185" style="85" customWidth="1"/>
    <col min="40" max="40" width="10.4259259259259" style="85" customWidth="1"/>
    <col min="41" max="41" width="9.71296296296296" style="85" customWidth="1"/>
    <col min="42" max="42" width="11.1388888888889" style="85" customWidth="1"/>
    <col min="43" max="43" width="10.4259259259259" style="85" customWidth="1"/>
    <col min="44" max="44" width="10" style="85" customWidth="1"/>
    <col min="45" max="45" width="10.1388888888889" style="85" customWidth="1"/>
    <col min="46" max="46" width="10.712962962963" style="85" customWidth="1"/>
    <col min="47" max="47" width="11.1388888888889" style="85" customWidth="1"/>
    <col min="48" max="48" width="9.57407407407407" style="85" customWidth="1"/>
    <col min="49" max="49" width="11.287037037037" style="85" customWidth="1"/>
    <col min="50" max="50" width="11" style="85" customWidth="1"/>
    <col min="51" max="51" width="9.85185185185185" style="85" customWidth="1"/>
    <col min="52" max="52" width="10.712962962963" style="85" customWidth="1"/>
    <col min="53" max="53" width="10.287037037037" style="85" customWidth="1"/>
    <col min="54" max="54" width="10.5740740740741" style="85" customWidth="1"/>
    <col min="55" max="55" width="9.57407407407407" style="85" customWidth="1"/>
    <col min="56" max="56" width="8.42592592592593" style="85" customWidth="1"/>
    <col min="57" max="57" width="10.712962962963" style="85" customWidth="1"/>
    <col min="58" max="58" width="10.1388888888889" style="85" customWidth="1"/>
    <col min="59" max="59" width="10.712962962963" style="85" customWidth="1"/>
    <col min="60" max="60" width="9.85185185185185" style="85" customWidth="1"/>
    <col min="61" max="61" width="9.71296296296296" style="85" customWidth="1"/>
    <col min="62" max="62" width="10" style="85" customWidth="1"/>
    <col min="63" max="63" width="11.4259259259259" style="85" customWidth="1"/>
    <col min="64" max="64" width="10" style="85" customWidth="1"/>
    <col min="65" max="65" width="9.71296296296296" style="85" customWidth="1"/>
    <col min="66" max="66" width="10" style="85" customWidth="1"/>
    <col min="67" max="67" width="10.712962962963" style="85" customWidth="1"/>
    <col min="68" max="68" width="9.28703703703704" style="85" customWidth="1"/>
    <col min="69" max="69" width="10.712962962963" style="85" customWidth="1"/>
    <col min="70" max="70" width="10.1388888888889" style="85" customWidth="1"/>
    <col min="71" max="71" width="10.8518518518519" style="85" customWidth="1"/>
    <col min="72" max="72" width="11.1388888888889" style="85" customWidth="1"/>
    <col min="73" max="75" width="10.287037037037" style="85" customWidth="1"/>
    <col min="76" max="76" width="9.57407407407407" style="85" customWidth="1"/>
    <col min="77" max="77" width="10.287037037037" style="85" customWidth="1"/>
    <col min="78" max="78" width="9.57407407407407" style="85" customWidth="1"/>
    <col min="79" max="79" width="10.1388888888889" style="85" customWidth="1"/>
    <col min="80" max="80" width="8.85185185185185" style="85" customWidth="1"/>
    <col min="81" max="81" width="9.42592592592593" style="85" customWidth="1"/>
    <col min="82" max="82" width="10.287037037037" style="85" customWidth="1"/>
    <col min="83" max="83" width="9.85185185185185" style="85" customWidth="1"/>
    <col min="84" max="84" width="9.57407407407407" style="85" customWidth="1"/>
    <col min="85" max="85" width="9" style="85" customWidth="1"/>
    <col min="86" max="86" width="9.71296296296296" style="85" customWidth="1"/>
    <col min="87" max="88" width="10.4259259259259" style="85" customWidth="1"/>
    <col min="89" max="89" width="10.1388888888889" style="85" customWidth="1"/>
    <col min="90" max="90" width="10.287037037037" style="85" customWidth="1"/>
    <col min="91" max="91" width="11.5740740740741" style="85" customWidth="1"/>
    <col min="92" max="93" width="11.1388888888889" style="85" customWidth="1"/>
    <col min="94" max="94" width="9.85185185185185" style="85" customWidth="1"/>
    <col min="95" max="95" width="8.57407407407407" style="85" customWidth="1"/>
    <col min="96" max="96" width="10.287037037037" style="85" customWidth="1"/>
    <col min="97" max="97" width="10" style="85" customWidth="1"/>
    <col min="98" max="98" width="9.85185185185185" style="85" customWidth="1"/>
    <col min="99" max="99" width="10.1388888888889" style="85" customWidth="1"/>
    <col min="100" max="100" width="11.712962962963" style="85" customWidth="1"/>
    <col min="101" max="101" width="8.13888888888889" style="85" customWidth="1"/>
    <col min="102" max="102" width="8.57407407407407" style="85" customWidth="1"/>
    <col min="103" max="103" width="10.1388888888889" style="85" customWidth="1"/>
    <col min="104" max="104" width="11.712962962963" style="85" customWidth="1"/>
    <col min="105" max="105" width="9.57407407407407" style="85" customWidth="1"/>
    <col min="106" max="106" width="9.42592592592593" style="85" customWidth="1"/>
    <col min="107" max="107" width="12.287037037037" style="85" customWidth="1"/>
    <col min="108" max="108" width="11.4259259259259" style="85" customWidth="1"/>
    <col min="109" max="109" width="11.5740740740741" style="85" customWidth="1"/>
    <col min="110" max="110" width="11.4259259259259" style="85" customWidth="1"/>
    <col min="111" max="111" width="14.287037037037" style="85" customWidth="1"/>
    <col min="112" max="112" width="10.5740740740741" style="85" customWidth="1"/>
    <col min="113" max="113" width="11.712962962963" style="85" customWidth="1"/>
    <col min="114" max="114" width="11" style="85" customWidth="1"/>
    <col min="115" max="115" width="12" style="85" customWidth="1"/>
    <col min="116" max="116" width="10.8518518518519" style="85" customWidth="1"/>
    <col min="117" max="117" width="11.5740740740741" style="85" customWidth="1"/>
    <col min="118" max="118" width="9.85185185185185" style="85" customWidth="1"/>
    <col min="119" max="119" width="10.5740740740741" style="85" customWidth="1"/>
    <col min="120" max="121" width="9.13888888888889" style="85"/>
    <col min="122" max="122" width="10.5740740740741" style="85" customWidth="1"/>
    <col min="123" max="123" width="9.85185185185185" style="85" customWidth="1"/>
    <col min="124" max="124" width="10.1388888888889" style="85" customWidth="1"/>
    <col min="125" max="126" width="9.13888888888889" style="85"/>
    <col min="127" max="127" width="10.5740740740741" style="85" customWidth="1"/>
    <col min="128" max="128" width="10" style="85" customWidth="1"/>
    <col min="129" max="129" width="9.85185185185185" style="85" customWidth="1"/>
    <col min="130" max="131" width="9.13888888888889" style="85"/>
    <col min="132" max="132" width="10.4259259259259" style="85" customWidth="1"/>
    <col min="133" max="133" width="9.71296296296296" style="85" customWidth="1"/>
    <col min="134" max="134" width="10" style="85" customWidth="1"/>
    <col min="135" max="136" width="9.13888888888889" style="85"/>
    <col min="137" max="137" width="10.1388888888889" style="85" customWidth="1"/>
    <col min="138" max="138" width="12.712962962963" style="85" customWidth="1"/>
    <col min="139" max="150" width="9.13888888888889" style="85"/>
    <col min="151" max="16384" width="9.13888888888889" style="8"/>
  </cols>
  <sheetData>
    <row r="1" s="83" customFormat="1" ht="19.8" spans="1:150">
      <c r="A1" s="1" t="s">
        <v>0</v>
      </c>
      <c r="B1" s="88"/>
      <c r="C1" s="88"/>
      <c r="D1" s="89"/>
      <c r="E1" s="89"/>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row>
    <row r="2" s="83" customFormat="1" ht="19.8" spans="2:150">
      <c r="B2" s="88"/>
      <c r="C2" s="88"/>
      <c r="D2" s="89"/>
      <c r="E2" s="89"/>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row>
    <row r="3" ht="17.25" customHeight="1" spans="2:111">
      <c r="B3" s="88" t="s">
        <v>1</v>
      </c>
      <c r="C3" s="91"/>
      <c r="D3" s="89"/>
      <c r="E3" s="89"/>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row>
    <row r="4" spans="1:137">
      <c r="A4" s="92"/>
      <c r="B4" s="93"/>
      <c r="C4" s="93"/>
      <c r="D4" s="14"/>
      <c r="E4" s="14"/>
      <c r="F4" s="14"/>
      <c r="G4" s="14"/>
      <c r="EG4" s="114"/>
    </row>
    <row r="5" ht="12.75" customHeight="1" spans="2:137">
      <c r="B5" s="85"/>
      <c r="C5" s="85"/>
      <c r="D5" s="14"/>
      <c r="E5" s="14"/>
      <c r="F5" s="14"/>
      <c r="G5" s="94" t="s">
        <v>2</v>
      </c>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112"/>
      <c r="DJ5" s="112"/>
      <c r="DK5" s="112"/>
      <c r="DL5" s="112"/>
      <c r="DM5" s="112"/>
      <c r="DN5" s="113"/>
      <c r="DO5" s="113"/>
      <c r="DP5" s="113"/>
      <c r="DQ5" s="113"/>
      <c r="DR5" s="113"/>
      <c r="DS5" s="113"/>
      <c r="DT5" s="113"/>
      <c r="DU5" s="113"/>
      <c r="DV5" s="113"/>
      <c r="DW5" s="113"/>
      <c r="DX5" s="113"/>
      <c r="DY5" s="113"/>
      <c r="DZ5" s="113"/>
      <c r="EA5" s="113"/>
      <c r="EB5" s="113"/>
      <c r="EC5" s="113"/>
      <c r="ED5" s="113"/>
      <c r="EE5" s="113"/>
      <c r="EF5" s="113"/>
      <c r="EG5" s="113"/>
    </row>
    <row r="6" ht="75" spans="1:137">
      <c r="A6" s="21" t="s">
        <v>3</v>
      </c>
      <c r="B6" s="21" t="s">
        <v>4</v>
      </c>
      <c r="C6" s="21" t="s">
        <v>5</v>
      </c>
      <c r="D6" s="21" t="s">
        <v>6</v>
      </c>
      <c r="E6" s="21" t="s">
        <v>7</v>
      </c>
      <c r="F6" s="20" t="s">
        <v>8</v>
      </c>
      <c r="G6" s="20" t="s">
        <v>9</v>
      </c>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row>
    <row r="7" s="84" customFormat="1" spans="1:150">
      <c r="A7" s="24"/>
      <c r="B7" s="97"/>
      <c r="C7" s="97"/>
      <c r="D7" s="24"/>
      <c r="E7" s="24"/>
      <c r="F7" s="24"/>
      <c r="G7" s="24"/>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6"/>
      <c r="EI7" s="6"/>
      <c r="EJ7" s="6"/>
      <c r="EK7" s="6"/>
      <c r="EL7" s="6"/>
      <c r="EM7" s="6"/>
      <c r="EN7" s="6"/>
      <c r="EO7" s="6"/>
      <c r="EP7" s="6"/>
      <c r="EQ7" s="6"/>
      <c r="ER7" s="6"/>
      <c r="ES7" s="6"/>
      <c r="ET7" s="6"/>
    </row>
    <row r="8" spans="1:139">
      <c r="A8" s="99" t="s">
        <v>10</v>
      </c>
      <c r="B8" s="100" t="s">
        <v>11</v>
      </c>
      <c r="C8" s="80">
        <f>+C9+C65+C102+C92+C89</f>
        <v>0</v>
      </c>
      <c r="D8" s="80">
        <f t="shared" ref="D8:G8" si="0">+D9+D65+D102+D92+D89</f>
        <v>245597270</v>
      </c>
      <c r="E8" s="80">
        <f t="shared" si="0"/>
        <v>0</v>
      </c>
      <c r="F8" s="80">
        <f t="shared" si="0"/>
        <v>161900809.73</v>
      </c>
      <c r="G8" s="80">
        <f t="shared" si="0"/>
        <v>13320640.71</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4"/>
      <c r="EI8" s="14"/>
    </row>
    <row r="9" spans="1:139">
      <c r="A9" s="99" t="s">
        <v>12</v>
      </c>
      <c r="B9" s="100" t="s">
        <v>13</v>
      </c>
      <c r="C9" s="80">
        <f>+C15+C52+C10</f>
        <v>0</v>
      </c>
      <c r="D9" s="80">
        <f t="shared" ref="D9:G9" si="1">+D15+D52+D10</f>
        <v>184328000</v>
      </c>
      <c r="E9" s="80">
        <f t="shared" si="1"/>
        <v>0</v>
      </c>
      <c r="F9" s="80">
        <f t="shared" si="1"/>
        <v>161996296.73</v>
      </c>
      <c r="G9" s="80">
        <f t="shared" si="1"/>
        <v>12994181.71</v>
      </c>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4"/>
      <c r="EI9" s="14"/>
    </row>
    <row r="10" spans="1:139">
      <c r="A10" s="99" t="s">
        <v>14</v>
      </c>
      <c r="B10" s="100" t="s">
        <v>15</v>
      </c>
      <c r="C10" s="80">
        <f>+C11+C12+C13+C14</f>
        <v>0</v>
      </c>
      <c r="D10" s="80">
        <f t="shared" ref="D10:G10" si="2">+D11+D12+D13+D14</f>
        <v>0</v>
      </c>
      <c r="E10" s="80">
        <f t="shared" si="2"/>
        <v>0</v>
      </c>
      <c r="F10" s="80">
        <f t="shared" si="2"/>
        <v>0</v>
      </c>
      <c r="G10" s="80">
        <f t="shared" si="2"/>
        <v>0</v>
      </c>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4"/>
      <c r="EI10" s="14"/>
    </row>
    <row r="11" ht="45" spans="1:139">
      <c r="A11" s="99" t="s">
        <v>16</v>
      </c>
      <c r="B11" s="100" t="s">
        <v>17</v>
      </c>
      <c r="C11" s="80"/>
      <c r="D11" s="80"/>
      <c r="E11" s="80"/>
      <c r="F11" s="80"/>
      <c r="G11" s="80"/>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4"/>
      <c r="EI11" s="14"/>
    </row>
    <row r="12" ht="45" spans="1:139">
      <c r="A12" s="99" t="s">
        <v>18</v>
      </c>
      <c r="B12" s="100" t="s">
        <v>19</v>
      </c>
      <c r="C12" s="80"/>
      <c r="D12" s="80"/>
      <c r="E12" s="80"/>
      <c r="F12" s="80"/>
      <c r="G12" s="80"/>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4"/>
      <c r="EI12" s="14"/>
    </row>
    <row r="13" ht="30" spans="1:139">
      <c r="A13" s="99" t="s">
        <v>20</v>
      </c>
      <c r="B13" s="100" t="s">
        <v>21</v>
      </c>
      <c r="C13" s="80"/>
      <c r="D13" s="80"/>
      <c r="E13" s="80"/>
      <c r="F13" s="80"/>
      <c r="G13" s="80"/>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4"/>
      <c r="EI13" s="14"/>
    </row>
    <row r="14" ht="30" spans="1:139">
      <c r="A14" s="99" t="s">
        <v>22</v>
      </c>
      <c r="B14" s="100" t="s">
        <v>23</v>
      </c>
      <c r="C14" s="80"/>
      <c r="D14" s="80"/>
      <c r="E14" s="80"/>
      <c r="F14" s="80"/>
      <c r="G14" s="80"/>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4"/>
      <c r="EI14" s="14"/>
    </row>
    <row r="15" spans="1:139">
      <c r="A15" s="99" t="s">
        <v>24</v>
      </c>
      <c r="B15" s="100" t="s">
        <v>25</v>
      </c>
      <c r="C15" s="80">
        <f>+C16+C28</f>
        <v>0</v>
      </c>
      <c r="D15" s="80">
        <f t="shared" ref="D15:G15" si="3">+D16+D28</f>
        <v>184151000</v>
      </c>
      <c r="E15" s="80">
        <f t="shared" si="3"/>
        <v>0</v>
      </c>
      <c r="F15" s="80">
        <f t="shared" si="3"/>
        <v>161850577.71</v>
      </c>
      <c r="G15" s="80">
        <f t="shared" si="3"/>
        <v>12958645.75</v>
      </c>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4"/>
      <c r="EI15" s="14"/>
    </row>
    <row r="16" spans="1:139">
      <c r="A16" s="99" t="s">
        <v>26</v>
      </c>
      <c r="B16" s="100" t="s">
        <v>27</v>
      </c>
      <c r="C16" s="80">
        <f>+C17+C24+C27</f>
        <v>0</v>
      </c>
      <c r="D16" s="80">
        <f t="shared" ref="D16:G16" si="4">+D17+D24+D27</f>
        <v>7936000</v>
      </c>
      <c r="E16" s="80">
        <f t="shared" si="4"/>
        <v>0</v>
      </c>
      <c r="F16" s="80">
        <f t="shared" si="4"/>
        <v>7501720.97</v>
      </c>
      <c r="G16" s="80">
        <f t="shared" si="4"/>
        <v>640857.75</v>
      </c>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4"/>
      <c r="EI16" s="14"/>
    </row>
    <row r="17" spans="1:139">
      <c r="A17" s="99" t="s">
        <v>28</v>
      </c>
      <c r="B17" s="100" t="s">
        <v>29</v>
      </c>
      <c r="C17" s="80">
        <f>C18+C19+C21+C22+C23+C20</f>
        <v>0</v>
      </c>
      <c r="D17" s="80">
        <f t="shared" ref="D17:G17" si="5">D18+D19+D21+D22+D23+D20</f>
        <v>216000</v>
      </c>
      <c r="E17" s="80">
        <f t="shared" si="5"/>
        <v>0</v>
      </c>
      <c r="F17" s="80">
        <f t="shared" si="5"/>
        <v>190668.52</v>
      </c>
      <c r="G17" s="80">
        <f t="shared" si="5"/>
        <v>9650</v>
      </c>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4"/>
      <c r="EI17" s="14"/>
    </row>
    <row r="18" s="85" customFormat="1" ht="30" spans="1:174">
      <c r="A18" s="102" t="s">
        <v>30</v>
      </c>
      <c r="B18" s="103" t="s">
        <v>31</v>
      </c>
      <c r="C18" s="78"/>
      <c r="D18" s="80">
        <v>216000</v>
      </c>
      <c r="E18" s="80"/>
      <c r="F18" s="78">
        <f>142234+38784.52+9650</f>
        <v>190668.52</v>
      </c>
      <c r="G18" s="78">
        <v>9650</v>
      </c>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4"/>
      <c r="EI18" s="14"/>
      <c r="EU18" s="8"/>
      <c r="EV18" s="8"/>
      <c r="EW18" s="8"/>
      <c r="EX18" s="8"/>
      <c r="EY18" s="8"/>
      <c r="EZ18" s="8"/>
      <c r="FA18" s="8"/>
      <c r="FB18" s="8"/>
      <c r="FC18" s="8"/>
      <c r="FD18" s="8"/>
      <c r="FE18" s="8"/>
      <c r="FF18" s="8"/>
      <c r="FG18" s="8"/>
      <c r="FH18" s="8"/>
      <c r="FI18" s="8"/>
      <c r="FJ18" s="8"/>
      <c r="FK18" s="8"/>
      <c r="FL18" s="8"/>
      <c r="FM18" s="8"/>
      <c r="FN18" s="8"/>
      <c r="FO18" s="8"/>
      <c r="FP18" s="8"/>
      <c r="FQ18" s="8"/>
      <c r="FR18" s="8"/>
    </row>
    <row r="19" s="85" customFormat="1" ht="30" spans="1:174">
      <c r="A19" s="102" t="s">
        <v>32</v>
      </c>
      <c r="B19" s="103" t="s">
        <v>33</v>
      </c>
      <c r="C19" s="78"/>
      <c r="D19" s="80"/>
      <c r="E19" s="80"/>
      <c r="F19" s="78"/>
      <c r="G19" s="78"/>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4"/>
      <c r="EI19" s="14"/>
      <c r="EU19" s="8"/>
      <c r="EV19" s="8"/>
      <c r="EW19" s="8"/>
      <c r="EX19" s="8"/>
      <c r="EY19" s="8"/>
      <c r="EZ19" s="8"/>
      <c r="FA19" s="8"/>
      <c r="FB19" s="8"/>
      <c r="FC19" s="8"/>
      <c r="FD19" s="8"/>
      <c r="FE19" s="8"/>
      <c r="FF19" s="8"/>
      <c r="FG19" s="8"/>
      <c r="FH19" s="8"/>
      <c r="FI19" s="8"/>
      <c r="FJ19" s="8"/>
      <c r="FK19" s="8"/>
      <c r="FL19" s="8"/>
      <c r="FM19" s="8"/>
      <c r="FN19" s="8"/>
      <c r="FO19" s="8"/>
      <c r="FP19" s="8"/>
      <c r="FQ19" s="8"/>
      <c r="FR19" s="8"/>
    </row>
    <row r="20" s="85" customFormat="1" spans="1:174">
      <c r="A20" s="102" t="s">
        <v>34</v>
      </c>
      <c r="B20" s="103" t="s">
        <v>35</v>
      </c>
      <c r="C20" s="78"/>
      <c r="D20" s="80"/>
      <c r="E20" s="80"/>
      <c r="F20" s="78"/>
      <c r="G20" s="78"/>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4"/>
      <c r="EI20" s="14"/>
      <c r="EU20" s="8"/>
      <c r="EV20" s="8"/>
      <c r="EW20" s="8"/>
      <c r="EX20" s="8"/>
      <c r="EY20" s="8"/>
      <c r="EZ20" s="8"/>
      <c r="FA20" s="8"/>
      <c r="FB20" s="8"/>
      <c r="FC20" s="8"/>
      <c r="FD20" s="8"/>
      <c r="FE20" s="8"/>
      <c r="FF20" s="8"/>
      <c r="FG20" s="8"/>
      <c r="FH20" s="8"/>
      <c r="FI20" s="8"/>
      <c r="FJ20" s="8"/>
      <c r="FK20" s="8"/>
      <c r="FL20" s="8"/>
      <c r="FM20" s="8"/>
      <c r="FN20" s="8"/>
      <c r="FO20" s="8"/>
      <c r="FP20" s="8"/>
      <c r="FQ20" s="8"/>
      <c r="FR20" s="8"/>
    </row>
    <row r="21" s="85" customFormat="1" ht="30" spans="1:174">
      <c r="A21" s="102" t="s">
        <v>36</v>
      </c>
      <c r="B21" s="103" t="s">
        <v>37</v>
      </c>
      <c r="C21" s="78"/>
      <c r="D21" s="80"/>
      <c r="E21" s="80"/>
      <c r="F21" s="78"/>
      <c r="G21" s="78"/>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4"/>
      <c r="EI21" s="14"/>
      <c r="EU21" s="8"/>
      <c r="EV21" s="8"/>
      <c r="EW21" s="8"/>
      <c r="EX21" s="8"/>
      <c r="EY21" s="8"/>
      <c r="EZ21" s="8"/>
      <c r="FA21" s="8"/>
      <c r="FB21" s="8"/>
      <c r="FC21" s="8"/>
      <c r="FD21" s="8"/>
      <c r="FE21" s="8"/>
      <c r="FF21" s="8"/>
      <c r="FG21" s="8"/>
      <c r="FH21" s="8"/>
      <c r="FI21" s="8"/>
      <c r="FJ21" s="8"/>
      <c r="FK21" s="8"/>
      <c r="FL21" s="8"/>
      <c r="FM21" s="8"/>
      <c r="FN21" s="8"/>
      <c r="FO21" s="8"/>
      <c r="FP21" s="8"/>
      <c r="FQ21" s="8"/>
      <c r="FR21" s="8"/>
    </row>
    <row r="22" s="85" customFormat="1" ht="30" spans="1:174">
      <c r="A22" s="102" t="s">
        <v>38</v>
      </c>
      <c r="B22" s="103" t="s">
        <v>39</v>
      </c>
      <c r="C22" s="78"/>
      <c r="D22" s="80"/>
      <c r="E22" s="80"/>
      <c r="F22" s="78"/>
      <c r="G22" s="78"/>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4"/>
      <c r="EI22" s="14"/>
      <c r="EU22" s="8"/>
      <c r="EV22" s="8"/>
      <c r="EW22" s="8"/>
      <c r="EX22" s="8"/>
      <c r="EY22" s="8"/>
      <c r="EZ22" s="8"/>
      <c r="FA22" s="8"/>
      <c r="FB22" s="8"/>
      <c r="FC22" s="8"/>
      <c r="FD22" s="8"/>
      <c r="FE22" s="8"/>
      <c r="FF22" s="8"/>
      <c r="FG22" s="8"/>
      <c r="FH22" s="8"/>
      <c r="FI22" s="8"/>
      <c r="FJ22" s="8"/>
      <c r="FK22" s="8"/>
      <c r="FL22" s="8"/>
      <c r="FM22" s="8"/>
      <c r="FN22" s="8"/>
      <c r="FO22" s="8"/>
      <c r="FP22" s="8"/>
      <c r="FQ22" s="8"/>
      <c r="FR22" s="8"/>
    </row>
    <row r="23" s="85" customFormat="1" ht="43.5" customHeight="1" spans="1:174">
      <c r="A23" s="102" t="s">
        <v>40</v>
      </c>
      <c r="B23" s="104" t="s">
        <v>41</v>
      </c>
      <c r="C23" s="78"/>
      <c r="D23" s="80"/>
      <c r="E23" s="80"/>
      <c r="F23" s="78"/>
      <c r="G23" s="78"/>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4"/>
      <c r="EI23" s="14"/>
      <c r="EU23" s="8"/>
      <c r="EV23" s="8"/>
      <c r="EW23" s="8"/>
      <c r="EX23" s="8"/>
      <c r="EY23" s="8"/>
      <c r="EZ23" s="8"/>
      <c r="FA23" s="8"/>
      <c r="FB23" s="8"/>
      <c r="FC23" s="8"/>
      <c r="FD23" s="8"/>
      <c r="FE23" s="8"/>
      <c r="FF23" s="8"/>
      <c r="FG23" s="8"/>
      <c r="FH23" s="8"/>
      <c r="FI23" s="8"/>
      <c r="FJ23" s="8"/>
      <c r="FK23" s="8"/>
      <c r="FL23" s="8"/>
      <c r="FM23" s="8"/>
      <c r="FN23" s="8"/>
      <c r="FO23" s="8"/>
      <c r="FP23" s="8"/>
      <c r="FQ23" s="8"/>
      <c r="FR23" s="8"/>
    </row>
    <row r="24" s="85" customFormat="1" ht="15.6" spans="1:174">
      <c r="A24" s="99" t="s">
        <v>42</v>
      </c>
      <c r="B24" s="105" t="s">
        <v>43</v>
      </c>
      <c r="C24" s="80">
        <f>C25+C26</f>
        <v>0</v>
      </c>
      <c r="D24" s="80">
        <f t="shared" ref="D24:G24" si="6">D25+D26</f>
        <v>32000</v>
      </c>
      <c r="E24" s="80">
        <f t="shared" si="6"/>
        <v>0</v>
      </c>
      <c r="F24" s="80">
        <f t="shared" si="6"/>
        <v>41578.55</v>
      </c>
      <c r="G24" s="80">
        <f t="shared" si="6"/>
        <v>3261</v>
      </c>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4"/>
      <c r="EI24" s="14"/>
      <c r="EU24" s="8"/>
      <c r="EV24" s="8"/>
      <c r="EW24" s="8"/>
      <c r="EX24" s="8"/>
      <c r="EY24" s="8"/>
      <c r="EZ24" s="8"/>
      <c r="FA24" s="8"/>
      <c r="FB24" s="8"/>
      <c r="FC24" s="8"/>
      <c r="FD24" s="8"/>
      <c r="FE24" s="8"/>
      <c r="FF24" s="8"/>
      <c r="FG24" s="8"/>
      <c r="FH24" s="8"/>
      <c r="FI24" s="8"/>
      <c r="FJ24" s="8"/>
      <c r="FK24" s="8"/>
      <c r="FL24" s="8"/>
      <c r="FM24" s="8"/>
      <c r="FN24" s="8"/>
      <c r="FO24" s="8"/>
      <c r="FP24" s="8"/>
      <c r="FQ24" s="8"/>
      <c r="FR24" s="8"/>
    </row>
    <row r="25" s="85" customFormat="1" ht="31.2" spans="1:174">
      <c r="A25" s="102" t="s">
        <v>44</v>
      </c>
      <c r="B25" s="104" t="s">
        <v>45</v>
      </c>
      <c r="C25" s="78"/>
      <c r="D25" s="80">
        <v>32000</v>
      </c>
      <c r="E25" s="80"/>
      <c r="F25" s="78">
        <f>36689+931.55+697+1355+1906</f>
        <v>41578.55</v>
      </c>
      <c r="G25" s="78">
        <f>1355+1906</f>
        <v>3261</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4"/>
      <c r="EI25" s="14"/>
      <c r="EU25" s="8"/>
      <c r="EV25" s="8"/>
      <c r="EW25" s="8"/>
      <c r="EX25" s="8"/>
      <c r="EY25" s="8"/>
      <c r="EZ25" s="8"/>
      <c r="FA25" s="8"/>
      <c r="FB25" s="8"/>
      <c r="FC25" s="8"/>
      <c r="FD25" s="8"/>
      <c r="FE25" s="8"/>
      <c r="FF25" s="8"/>
      <c r="FG25" s="8"/>
      <c r="FH25" s="8"/>
      <c r="FI25" s="8"/>
      <c r="FJ25" s="8"/>
      <c r="FK25" s="8"/>
      <c r="FL25" s="8"/>
      <c r="FM25" s="8"/>
      <c r="FN25" s="8"/>
      <c r="FO25" s="8"/>
      <c r="FP25" s="8"/>
      <c r="FQ25" s="8"/>
      <c r="FR25" s="8"/>
    </row>
    <row r="26" s="85" customFormat="1" ht="31.2" spans="1:174">
      <c r="A26" s="102" t="s">
        <v>46</v>
      </c>
      <c r="B26" s="104" t="s">
        <v>47</v>
      </c>
      <c r="C26" s="78"/>
      <c r="D26" s="80"/>
      <c r="E26" s="80"/>
      <c r="F26" s="78"/>
      <c r="G26" s="78"/>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4"/>
      <c r="EI26" s="14"/>
      <c r="EU26" s="8"/>
      <c r="EV26" s="8"/>
      <c r="EW26" s="8"/>
      <c r="EX26" s="8"/>
      <c r="EY26" s="8"/>
      <c r="EZ26" s="8"/>
      <c r="FA26" s="8"/>
      <c r="FB26" s="8"/>
      <c r="FC26" s="8"/>
      <c r="FD26" s="8"/>
      <c r="FE26" s="8"/>
      <c r="FF26" s="8"/>
      <c r="FG26" s="8"/>
      <c r="FH26" s="8"/>
      <c r="FI26" s="8"/>
      <c r="FJ26" s="8"/>
      <c r="FK26" s="8"/>
      <c r="FL26" s="8"/>
      <c r="FM26" s="8"/>
      <c r="FN26" s="8"/>
      <c r="FO26" s="8"/>
      <c r="FP26" s="8"/>
      <c r="FQ26" s="8"/>
      <c r="FR26" s="8"/>
    </row>
    <row r="27" s="85" customFormat="1" ht="31.2" spans="1:174">
      <c r="A27" s="102" t="s">
        <v>48</v>
      </c>
      <c r="B27" s="104" t="s">
        <v>49</v>
      </c>
      <c r="C27" s="78"/>
      <c r="D27" s="80">
        <v>7688000</v>
      </c>
      <c r="E27" s="80"/>
      <c r="F27" s="78">
        <f>5967972.83+673554.32+627946.75</f>
        <v>7269473.9</v>
      </c>
      <c r="G27" s="78">
        <v>627946.75</v>
      </c>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4"/>
      <c r="EI27" s="14"/>
      <c r="EU27" s="8"/>
      <c r="EV27" s="8"/>
      <c r="EW27" s="8"/>
      <c r="EX27" s="8"/>
      <c r="EY27" s="8"/>
      <c r="EZ27" s="8"/>
      <c r="FA27" s="8"/>
      <c r="FB27" s="8"/>
      <c r="FC27" s="8"/>
      <c r="FD27" s="8"/>
      <c r="FE27" s="8"/>
      <c r="FF27" s="8"/>
      <c r="FG27" s="8"/>
      <c r="FH27" s="8"/>
      <c r="FI27" s="8"/>
      <c r="FJ27" s="8"/>
      <c r="FK27" s="8"/>
      <c r="FL27" s="8"/>
      <c r="FM27" s="8"/>
      <c r="FN27" s="8"/>
      <c r="FO27" s="8"/>
      <c r="FP27" s="8"/>
      <c r="FQ27" s="8"/>
      <c r="FR27" s="8"/>
    </row>
    <row r="28" s="85" customFormat="1" spans="1:174">
      <c r="A28" s="99" t="s">
        <v>50</v>
      </c>
      <c r="B28" s="100" t="s">
        <v>51</v>
      </c>
      <c r="C28" s="80">
        <f>C29+C35+C51+C36+C37+C38+C39+C40+C41+C42+C43+C44+C45+C46+C47+C48+C49+C50</f>
        <v>0</v>
      </c>
      <c r="D28" s="80">
        <f t="shared" ref="D28:G28" si="7">D29+D35+D51+D36+D37+D38+D39+D40+D41+D42+D43+D44+D45+D46+D47+D48+D49+D50</f>
        <v>176215000</v>
      </c>
      <c r="E28" s="80">
        <f t="shared" si="7"/>
        <v>0</v>
      </c>
      <c r="F28" s="80">
        <f t="shared" si="7"/>
        <v>154348856.74</v>
      </c>
      <c r="G28" s="80">
        <f t="shared" si="7"/>
        <v>12317788</v>
      </c>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4"/>
      <c r="EI28" s="14"/>
      <c r="EU28" s="8"/>
      <c r="EV28" s="8"/>
      <c r="EW28" s="8"/>
      <c r="EX28" s="8"/>
      <c r="EY28" s="8"/>
      <c r="EZ28" s="8"/>
      <c r="FA28" s="8"/>
      <c r="FB28" s="8"/>
      <c r="FC28" s="8"/>
      <c r="FD28" s="8"/>
      <c r="FE28" s="8"/>
      <c r="FF28" s="8"/>
      <c r="FG28" s="8"/>
      <c r="FH28" s="8"/>
      <c r="FI28" s="8"/>
      <c r="FJ28" s="8"/>
      <c r="FK28" s="8"/>
      <c r="FL28" s="8"/>
      <c r="FM28" s="8"/>
      <c r="FN28" s="8"/>
      <c r="FO28" s="8"/>
      <c r="FP28" s="8"/>
      <c r="FQ28" s="8"/>
      <c r="FR28" s="8"/>
    </row>
    <row r="29" s="85" customFormat="1" spans="1:174">
      <c r="A29" s="99" t="s">
        <v>52</v>
      </c>
      <c r="B29" s="100" t="s">
        <v>53</v>
      </c>
      <c r="C29" s="80">
        <f>C30+C31+C32+C33+C34</f>
        <v>0</v>
      </c>
      <c r="D29" s="80">
        <f t="shared" ref="D29:G29" si="8">D30+D31+D32+D33+D34</f>
        <v>169248000</v>
      </c>
      <c r="E29" s="80">
        <f t="shared" si="8"/>
        <v>0</v>
      </c>
      <c r="F29" s="80">
        <f t="shared" si="8"/>
        <v>149077596.94</v>
      </c>
      <c r="G29" s="80">
        <f t="shared" si="8"/>
        <v>12038071</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4"/>
      <c r="EI29" s="14"/>
      <c r="EU29" s="8"/>
      <c r="EV29" s="8"/>
      <c r="EW29" s="8"/>
      <c r="EX29" s="8"/>
      <c r="EY29" s="8"/>
      <c r="EZ29" s="8"/>
      <c r="FA29" s="8"/>
      <c r="FB29" s="8"/>
      <c r="FC29" s="8"/>
      <c r="FD29" s="8"/>
      <c r="FE29" s="8"/>
      <c r="FF29" s="8"/>
      <c r="FG29" s="8"/>
      <c r="FH29" s="8"/>
      <c r="FI29" s="8"/>
      <c r="FJ29" s="8"/>
      <c r="FK29" s="8"/>
      <c r="FL29" s="8"/>
      <c r="FM29" s="8"/>
      <c r="FN29" s="8"/>
      <c r="FO29" s="8"/>
      <c r="FP29" s="8"/>
      <c r="FQ29" s="8"/>
      <c r="FR29" s="8"/>
    </row>
    <row r="30" s="85" customFormat="1" ht="30" spans="1:174">
      <c r="A30" s="102" t="s">
        <v>54</v>
      </c>
      <c r="B30" s="103" t="s">
        <v>55</v>
      </c>
      <c r="C30" s="78"/>
      <c r="D30" s="80">
        <v>169248000</v>
      </c>
      <c r="E30" s="80"/>
      <c r="F30" s="78">
        <f>122660849+14455082.94+12032186</f>
        <v>149148117.94</v>
      </c>
      <c r="G30" s="78">
        <v>12032186</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4"/>
      <c r="EI30" s="14"/>
      <c r="EU30" s="8"/>
      <c r="EV30" s="8"/>
      <c r="EW30" s="8"/>
      <c r="EX30" s="8"/>
      <c r="EY30" s="8"/>
      <c r="EZ30" s="8"/>
      <c r="FA30" s="8"/>
      <c r="FB30" s="8"/>
      <c r="FC30" s="8"/>
      <c r="FD30" s="8"/>
      <c r="FE30" s="8"/>
      <c r="FF30" s="8"/>
      <c r="FG30" s="8"/>
      <c r="FH30" s="8"/>
      <c r="FI30" s="8"/>
      <c r="FJ30" s="8"/>
      <c r="FK30" s="8"/>
      <c r="FL30" s="8"/>
      <c r="FM30" s="8"/>
      <c r="FN30" s="8"/>
      <c r="FO30" s="8"/>
      <c r="FP30" s="8"/>
      <c r="FQ30" s="8"/>
      <c r="FR30" s="8"/>
    </row>
    <row r="31" s="85" customFormat="1" ht="46.8" spans="1:174">
      <c r="A31" s="102" t="s">
        <v>56</v>
      </c>
      <c r="B31" s="104" t="s">
        <v>57</v>
      </c>
      <c r="C31" s="78"/>
      <c r="D31" s="80"/>
      <c r="E31" s="80"/>
      <c r="F31" s="78">
        <f>-93326+790+5885</f>
        <v>-86651</v>
      </c>
      <c r="G31" s="78">
        <v>5885</v>
      </c>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4"/>
      <c r="EI31" s="14"/>
      <c r="EU31" s="8"/>
      <c r="EV31" s="8"/>
      <c r="EW31" s="8"/>
      <c r="EX31" s="8"/>
      <c r="EY31" s="8"/>
      <c r="EZ31" s="8"/>
      <c r="FA31" s="8"/>
      <c r="FB31" s="8"/>
      <c r="FC31" s="8"/>
      <c r="FD31" s="8"/>
      <c r="FE31" s="8"/>
      <c r="FF31" s="8"/>
      <c r="FG31" s="8"/>
      <c r="FH31" s="8"/>
      <c r="FI31" s="8"/>
      <c r="FJ31" s="8"/>
      <c r="FK31" s="8"/>
      <c r="FL31" s="8"/>
      <c r="FM31" s="8"/>
      <c r="FN31" s="8"/>
      <c r="FO31" s="8"/>
      <c r="FP31" s="8"/>
      <c r="FQ31" s="8"/>
      <c r="FR31" s="8"/>
    </row>
    <row r="32" s="85" customFormat="1" ht="27.75" customHeight="1" spans="1:174">
      <c r="A32" s="102" t="s">
        <v>58</v>
      </c>
      <c r="B32" s="103" t="s">
        <v>59</v>
      </c>
      <c r="C32" s="78"/>
      <c r="D32" s="80"/>
      <c r="E32" s="80"/>
      <c r="F32" s="78"/>
      <c r="G32" s="78"/>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4"/>
      <c r="EI32" s="14"/>
      <c r="EU32" s="8"/>
      <c r="EV32" s="8"/>
      <c r="EW32" s="8"/>
      <c r="EX32" s="8"/>
      <c r="EY32" s="8"/>
      <c r="EZ32" s="8"/>
      <c r="FA32" s="8"/>
      <c r="FB32" s="8"/>
      <c r="FC32" s="8"/>
      <c r="FD32" s="8"/>
      <c r="FE32" s="8"/>
      <c r="FF32" s="8"/>
      <c r="FG32" s="8"/>
      <c r="FH32" s="8"/>
      <c r="FI32" s="8"/>
      <c r="FJ32" s="8"/>
      <c r="FK32" s="8"/>
      <c r="FL32" s="8"/>
      <c r="FM32" s="8"/>
      <c r="FN32" s="8"/>
      <c r="FO32" s="8"/>
      <c r="FP32" s="8"/>
      <c r="FQ32" s="8"/>
      <c r="FR32" s="8"/>
    </row>
    <row r="33" s="85" customFormat="1" spans="1:174">
      <c r="A33" s="102" t="s">
        <v>60</v>
      </c>
      <c r="B33" s="103" t="s">
        <v>61</v>
      </c>
      <c r="C33" s="78"/>
      <c r="D33" s="80"/>
      <c r="E33" s="80"/>
      <c r="F33" s="78">
        <f>16130</f>
        <v>16130</v>
      </c>
      <c r="G33" s="78"/>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4"/>
      <c r="EI33" s="14"/>
      <c r="EU33" s="8"/>
      <c r="EV33" s="8"/>
      <c r="EW33" s="8"/>
      <c r="EX33" s="8"/>
      <c r="EY33" s="8"/>
      <c r="EZ33" s="8"/>
      <c r="FA33" s="8"/>
      <c r="FB33" s="8"/>
      <c r="FC33" s="8"/>
      <c r="FD33" s="8"/>
      <c r="FE33" s="8"/>
      <c r="FF33" s="8"/>
      <c r="FG33" s="8"/>
      <c r="FH33" s="8"/>
      <c r="FI33" s="8"/>
      <c r="FJ33" s="8"/>
      <c r="FK33" s="8"/>
      <c r="FL33" s="8"/>
      <c r="FM33" s="8"/>
      <c r="FN33" s="8"/>
      <c r="FO33" s="8"/>
      <c r="FP33" s="8"/>
      <c r="FQ33" s="8"/>
      <c r="FR33" s="8"/>
    </row>
    <row r="34" s="85" customFormat="1" spans="1:174">
      <c r="A34" s="102" t="s">
        <v>62</v>
      </c>
      <c r="B34" s="103" t="s">
        <v>63</v>
      </c>
      <c r="C34" s="78"/>
      <c r="D34" s="80"/>
      <c r="E34" s="80"/>
      <c r="F34" s="78"/>
      <c r="G34" s="78"/>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4"/>
      <c r="EI34" s="14"/>
      <c r="EU34" s="8"/>
      <c r="EV34" s="8"/>
      <c r="EW34" s="8"/>
      <c r="EX34" s="8"/>
      <c r="EY34" s="8"/>
      <c r="EZ34" s="8"/>
      <c r="FA34" s="8"/>
      <c r="FB34" s="8"/>
      <c r="FC34" s="8"/>
      <c r="FD34" s="8"/>
      <c r="FE34" s="8"/>
      <c r="FF34" s="8"/>
      <c r="FG34" s="8"/>
      <c r="FH34" s="8"/>
      <c r="FI34" s="8"/>
      <c r="FJ34" s="8"/>
      <c r="FK34" s="8"/>
      <c r="FL34" s="8"/>
      <c r="FM34" s="8"/>
      <c r="FN34" s="8"/>
      <c r="FO34" s="8"/>
      <c r="FP34" s="8"/>
      <c r="FQ34" s="8"/>
      <c r="FR34" s="8"/>
    </row>
    <row r="35" s="85" customFormat="1" spans="1:174">
      <c r="A35" s="102" t="s">
        <v>64</v>
      </c>
      <c r="B35" s="103" t="s">
        <v>65</v>
      </c>
      <c r="C35" s="78"/>
      <c r="D35" s="80"/>
      <c r="E35" s="80"/>
      <c r="F35" s="78"/>
      <c r="G35" s="78"/>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4"/>
      <c r="EI35" s="14"/>
      <c r="EU35" s="8"/>
      <c r="EV35" s="8"/>
      <c r="EW35" s="8"/>
      <c r="EX35" s="8"/>
      <c r="EY35" s="8"/>
      <c r="EZ35" s="8"/>
      <c r="FA35" s="8"/>
      <c r="FB35" s="8"/>
      <c r="FC35" s="8"/>
      <c r="FD35" s="8"/>
      <c r="FE35" s="8"/>
      <c r="FF35" s="8"/>
      <c r="FG35" s="8"/>
      <c r="FH35" s="8"/>
      <c r="FI35" s="8"/>
      <c r="FJ35" s="8"/>
      <c r="FK35" s="8"/>
      <c r="FL35" s="8"/>
      <c r="FM35" s="8"/>
      <c r="FN35" s="8"/>
      <c r="FO35" s="8"/>
      <c r="FP35" s="8"/>
      <c r="FQ35" s="8"/>
      <c r="FR35" s="8"/>
    </row>
    <row r="36" s="85" customFormat="1" ht="26.4" spans="1:174">
      <c r="A36" s="102" t="s">
        <v>66</v>
      </c>
      <c r="B36" s="106" t="s">
        <v>67</v>
      </c>
      <c r="C36" s="78"/>
      <c r="D36" s="80"/>
      <c r="E36" s="80"/>
      <c r="F36" s="78"/>
      <c r="G36" s="78"/>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4"/>
      <c r="EI36" s="14"/>
      <c r="EU36" s="8"/>
      <c r="EV36" s="8"/>
      <c r="EW36" s="8"/>
      <c r="EX36" s="8"/>
      <c r="EY36" s="8"/>
      <c r="EZ36" s="8"/>
      <c r="FA36" s="8"/>
      <c r="FB36" s="8"/>
      <c r="FC36" s="8"/>
      <c r="FD36" s="8"/>
      <c r="FE36" s="8"/>
      <c r="FF36" s="8"/>
      <c r="FG36" s="8"/>
      <c r="FH36" s="8"/>
      <c r="FI36" s="8"/>
      <c r="FJ36" s="8"/>
      <c r="FK36" s="8"/>
      <c r="FL36" s="8"/>
      <c r="FM36" s="8"/>
      <c r="FN36" s="8"/>
      <c r="FO36" s="8"/>
      <c r="FP36" s="8"/>
      <c r="FQ36" s="8"/>
      <c r="FR36" s="8"/>
    </row>
    <row r="37" s="85" customFormat="1" ht="45" spans="1:174">
      <c r="A37" s="102" t="s">
        <v>68</v>
      </c>
      <c r="B37" s="103" t="s">
        <v>69</v>
      </c>
      <c r="C37" s="78"/>
      <c r="D37" s="80">
        <v>1000</v>
      </c>
      <c r="E37" s="80"/>
      <c r="F37" s="78">
        <f>60</f>
        <v>60</v>
      </c>
      <c r="G37" s="78"/>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4"/>
      <c r="EI37" s="14"/>
      <c r="EU37" s="8"/>
      <c r="EV37" s="8"/>
      <c r="EW37" s="8"/>
      <c r="EX37" s="8"/>
      <c r="EY37" s="8"/>
      <c r="EZ37" s="8"/>
      <c r="FA37" s="8"/>
      <c r="FB37" s="8"/>
      <c r="FC37" s="8"/>
      <c r="FD37" s="8"/>
      <c r="FE37" s="8"/>
      <c r="FF37" s="8"/>
      <c r="FG37" s="8"/>
      <c r="FH37" s="8"/>
      <c r="FI37" s="8"/>
      <c r="FJ37" s="8"/>
      <c r="FK37" s="8"/>
      <c r="FL37" s="8"/>
      <c r="FM37" s="8"/>
      <c r="FN37" s="8"/>
      <c r="FO37" s="8"/>
      <c r="FP37" s="8"/>
      <c r="FQ37" s="8"/>
      <c r="FR37" s="8"/>
    </row>
    <row r="38" s="85" customFormat="1" ht="60" spans="1:174">
      <c r="A38" s="102" t="s">
        <v>70</v>
      </c>
      <c r="B38" s="103" t="s">
        <v>71</v>
      </c>
      <c r="C38" s="78"/>
      <c r="D38" s="80"/>
      <c r="E38" s="80"/>
      <c r="F38" s="78">
        <f>-2</f>
        <v>-2</v>
      </c>
      <c r="G38" s="78"/>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4"/>
      <c r="EI38" s="14"/>
      <c r="EU38" s="8"/>
      <c r="EV38" s="8"/>
      <c r="EW38" s="8"/>
      <c r="EX38" s="8"/>
      <c r="EY38" s="8"/>
      <c r="EZ38" s="8"/>
      <c r="FA38" s="8"/>
      <c r="FB38" s="8"/>
      <c r="FC38" s="8"/>
      <c r="FD38" s="8"/>
      <c r="FE38" s="8"/>
      <c r="FF38" s="8"/>
      <c r="FG38" s="8"/>
      <c r="FH38" s="8"/>
      <c r="FI38" s="8"/>
      <c r="FJ38" s="8"/>
      <c r="FK38" s="8"/>
      <c r="FL38" s="8"/>
      <c r="FM38" s="8"/>
      <c r="FN38" s="8"/>
      <c r="FO38" s="8"/>
      <c r="FP38" s="8"/>
      <c r="FQ38" s="8"/>
      <c r="FR38" s="8"/>
    </row>
    <row r="39" s="85" customFormat="1" ht="45" spans="1:174">
      <c r="A39" s="102" t="s">
        <v>72</v>
      </c>
      <c r="B39" s="103" t="s">
        <v>73</v>
      </c>
      <c r="C39" s="78"/>
      <c r="D39" s="80"/>
      <c r="E39" s="80"/>
      <c r="F39" s="78"/>
      <c r="G39" s="78"/>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4"/>
      <c r="EI39" s="14"/>
      <c r="EU39" s="8"/>
      <c r="EV39" s="8"/>
      <c r="EW39" s="8"/>
      <c r="EX39" s="8"/>
      <c r="EY39" s="8"/>
      <c r="EZ39" s="8"/>
      <c r="FA39" s="8"/>
      <c r="FB39" s="8"/>
      <c r="FC39" s="8"/>
      <c r="FD39" s="8"/>
      <c r="FE39" s="8"/>
      <c r="FF39" s="8"/>
      <c r="FG39" s="8"/>
      <c r="FH39" s="8"/>
      <c r="FI39" s="8"/>
      <c r="FJ39" s="8"/>
      <c r="FK39" s="8"/>
      <c r="FL39" s="8"/>
      <c r="FM39" s="8"/>
      <c r="FN39" s="8"/>
      <c r="FO39" s="8"/>
      <c r="FP39" s="8"/>
      <c r="FQ39" s="8"/>
      <c r="FR39" s="8"/>
    </row>
    <row r="40" s="85" customFormat="1" ht="45" spans="1:174">
      <c r="A40" s="102" t="s">
        <v>74</v>
      </c>
      <c r="B40" s="103" t="s">
        <v>75</v>
      </c>
      <c r="C40" s="78"/>
      <c r="D40" s="80"/>
      <c r="E40" s="80"/>
      <c r="F40" s="78"/>
      <c r="G40" s="78"/>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4"/>
      <c r="EI40" s="14"/>
      <c r="EU40" s="8"/>
      <c r="EV40" s="8"/>
      <c r="EW40" s="8"/>
      <c r="EX40" s="8"/>
      <c r="EY40" s="8"/>
      <c r="EZ40" s="8"/>
      <c r="FA40" s="8"/>
      <c r="FB40" s="8"/>
      <c r="FC40" s="8"/>
      <c r="FD40" s="8"/>
      <c r="FE40" s="8"/>
      <c r="FF40" s="8"/>
      <c r="FG40" s="8"/>
      <c r="FH40" s="8"/>
      <c r="FI40" s="8"/>
      <c r="FJ40" s="8"/>
      <c r="FK40" s="8"/>
      <c r="FL40" s="8"/>
      <c r="FM40" s="8"/>
      <c r="FN40" s="8"/>
      <c r="FO40" s="8"/>
      <c r="FP40" s="8"/>
      <c r="FQ40" s="8"/>
      <c r="FR40" s="8"/>
    </row>
    <row r="41" s="85" customFormat="1" ht="45" spans="1:174">
      <c r="A41" s="102" t="s">
        <v>76</v>
      </c>
      <c r="B41" s="103" t="s">
        <v>77</v>
      </c>
      <c r="C41" s="78"/>
      <c r="D41" s="80"/>
      <c r="E41" s="80"/>
      <c r="F41" s="78"/>
      <c r="G41" s="78"/>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4"/>
      <c r="EI41" s="14"/>
      <c r="EU41" s="8"/>
      <c r="EV41" s="8"/>
      <c r="EW41" s="8"/>
      <c r="EX41" s="8"/>
      <c r="EY41" s="8"/>
      <c r="EZ41" s="8"/>
      <c r="FA41" s="8"/>
      <c r="FB41" s="8"/>
      <c r="FC41" s="8"/>
      <c r="FD41" s="8"/>
      <c r="FE41" s="8"/>
      <c r="FF41" s="8"/>
      <c r="FG41" s="8"/>
      <c r="FH41" s="8"/>
      <c r="FI41" s="8"/>
      <c r="FJ41" s="8"/>
      <c r="FK41" s="8"/>
      <c r="FL41" s="8"/>
      <c r="FM41" s="8"/>
      <c r="FN41" s="8"/>
      <c r="FO41" s="8"/>
      <c r="FP41" s="8"/>
      <c r="FQ41" s="8"/>
      <c r="FR41" s="8"/>
    </row>
    <row r="42" s="85" customFormat="1" ht="45" spans="1:174">
      <c r="A42" s="102" t="s">
        <v>78</v>
      </c>
      <c r="B42" s="103" t="s">
        <v>79</v>
      </c>
      <c r="C42" s="78"/>
      <c r="D42" s="80"/>
      <c r="E42" s="80"/>
      <c r="F42" s="78"/>
      <c r="G42" s="78"/>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4"/>
      <c r="EI42" s="14"/>
      <c r="EU42" s="8"/>
      <c r="EV42" s="8"/>
      <c r="EW42" s="8"/>
      <c r="EX42" s="8"/>
      <c r="EY42" s="8"/>
      <c r="EZ42" s="8"/>
      <c r="FA42" s="8"/>
      <c r="FB42" s="8"/>
      <c r="FC42" s="8"/>
      <c r="FD42" s="8"/>
      <c r="FE42" s="8"/>
      <c r="FF42" s="8"/>
      <c r="FG42" s="8"/>
      <c r="FH42" s="8"/>
      <c r="FI42" s="8"/>
      <c r="FJ42" s="8"/>
      <c r="FK42" s="8"/>
      <c r="FL42" s="8"/>
      <c r="FM42" s="8"/>
      <c r="FN42" s="8"/>
      <c r="FO42" s="8"/>
      <c r="FP42" s="8"/>
      <c r="FQ42" s="8"/>
      <c r="FR42" s="8"/>
    </row>
    <row r="43" s="85" customFormat="1" ht="45" spans="1:174">
      <c r="A43" s="102" t="s">
        <v>80</v>
      </c>
      <c r="B43" s="103" t="s">
        <v>81</v>
      </c>
      <c r="C43" s="78"/>
      <c r="D43" s="80">
        <v>13000</v>
      </c>
      <c r="E43" s="80"/>
      <c r="F43" s="78">
        <f>136</f>
        <v>136</v>
      </c>
      <c r="G43" s="78"/>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4"/>
      <c r="EI43" s="14"/>
      <c r="EU43" s="8"/>
      <c r="EV43" s="8"/>
      <c r="EW43" s="8"/>
      <c r="EX43" s="8"/>
      <c r="EY43" s="8"/>
      <c r="EZ43" s="8"/>
      <c r="FA43" s="8"/>
      <c r="FB43" s="8"/>
      <c r="FC43" s="8"/>
      <c r="FD43" s="8"/>
      <c r="FE43" s="8"/>
      <c r="FF43" s="8"/>
      <c r="FG43" s="8"/>
      <c r="FH43" s="8"/>
      <c r="FI43" s="8"/>
      <c r="FJ43" s="8"/>
      <c r="FK43" s="8"/>
      <c r="FL43" s="8"/>
      <c r="FM43" s="8"/>
      <c r="FN43" s="8"/>
      <c r="FO43" s="8"/>
      <c r="FP43" s="8"/>
      <c r="FQ43" s="8"/>
      <c r="FR43" s="8"/>
    </row>
    <row r="44" s="85" customFormat="1" ht="30" customHeight="1" spans="1:174">
      <c r="A44" s="102" t="s">
        <v>82</v>
      </c>
      <c r="B44" s="103" t="s">
        <v>83</v>
      </c>
      <c r="C44" s="78"/>
      <c r="D44" s="80"/>
      <c r="E44" s="80"/>
      <c r="F44" s="78">
        <f>-592+9+615</f>
        <v>32</v>
      </c>
      <c r="G44" s="78">
        <v>615</v>
      </c>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4"/>
      <c r="EI44" s="14"/>
      <c r="EU44" s="8"/>
      <c r="EV44" s="8"/>
      <c r="EW44" s="8"/>
      <c r="EX44" s="8"/>
      <c r="EY44" s="8"/>
      <c r="EZ44" s="8"/>
      <c r="FA44" s="8"/>
      <c r="FB44" s="8"/>
      <c r="FC44" s="8"/>
      <c r="FD44" s="8"/>
      <c r="FE44" s="8"/>
      <c r="FF44" s="8"/>
      <c r="FG44" s="8"/>
      <c r="FH44" s="8"/>
      <c r="FI44" s="8"/>
      <c r="FJ44" s="8"/>
      <c r="FK44" s="8"/>
      <c r="FL44" s="8"/>
      <c r="FM44" s="8"/>
      <c r="FN44" s="8"/>
      <c r="FO44" s="8"/>
      <c r="FP44" s="8"/>
      <c r="FQ44" s="8"/>
      <c r="FR44" s="8"/>
    </row>
    <row r="45" s="85" customFormat="1" spans="1:174">
      <c r="A45" s="102" t="s">
        <v>84</v>
      </c>
      <c r="B45" s="103" t="s">
        <v>85</v>
      </c>
      <c r="C45" s="78"/>
      <c r="D45" s="80">
        <v>965000</v>
      </c>
      <c r="E45" s="80"/>
      <c r="F45" s="78">
        <f>661424+36480+21562</f>
        <v>719466</v>
      </c>
      <c r="G45" s="78">
        <v>21562</v>
      </c>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4"/>
      <c r="EI45" s="14"/>
      <c r="EU45" s="8"/>
      <c r="EV45" s="8"/>
      <c r="EW45" s="8"/>
      <c r="EX45" s="8"/>
      <c r="EY45" s="8"/>
      <c r="EZ45" s="8"/>
      <c r="FA45" s="8"/>
      <c r="FB45" s="8"/>
      <c r="FC45" s="8"/>
      <c r="FD45" s="8"/>
      <c r="FE45" s="8"/>
      <c r="FF45" s="8"/>
      <c r="FG45" s="8"/>
      <c r="FH45" s="8"/>
      <c r="FI45" s="8"/>
      <c r="FJ45" s="8"/>
      <c r="FK45" s="8"/>
      <c r="FL45" s="8"/>
      <c r="FM45" s="8"/>
      <c r="FN45" s="8"/>
      <c r="FO45" s="8"/>
      <c r="FP45" s="8"/>
      <c r="FQ45" s="8"/>
      <c r="FR45" s="8"/>
    </row>
    <row r="46" s="85" customFormat="1" spans="1:174">
      <c r="A46" s="102" t="s">
        <v>86</v>
      </c>
      <c r="B46" s="103" t="s">
        <v>87</v>
      </c>
      <c r="C46" s="78"/>
      <c r="D46" s="80">
        <v>101000</v>
      </c>
      <c r="E46" s="80"/>
      <c r="F46" s="78">
        <f>95911.8+14276+15881</f>
        <v>126068.8</v>
      </c>
      <c r="G46" s="78">
        <v>15881</v>
      </c>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4"/>
      <c r="EI46" s="14"/>
      <c r="EU46" s="8"/>
      <c r="EV46" s="8"/>
      <c r="EW46" s="8"/>
      <c r="EX46" s="8"/>
      <c r="EY46" s="8"/>
      <c r="EZ46" s="8"/>
      <c r="FA46" s="8"/>
      <c r="FB46" s="8"/>
      <c r="FC46" s="8"/>
      <c r="FD46" s="8"/>
      <c r="FE46" s="8"/>
      <c r="FF46" s="8"/>
      <c r="FG46" s="8"/>
      <c r="FH46" s="8"/>
      <c r="FI46" s="8"/>
      <c r="FJ46" s="8"/>
      <c r="FK46" s="8"/>
      <c r="FL46" s="8"/>
      <c r="FM46" s="8"/>
      <c r="FN46" s="8"/>
      <c r="FO46" s="8"/>
      <c r="FP46" s="8"/>
      <c r="FQ46" s="8"/>
      <c r="FR46" s="8"/>
    </row>
    <row r="47" s="85" customFormat="1" ht="38.25" customHeight="1" spans="1:174">
      <c r="A47" s="107" t="s">
        <v>88</v>
      </c>
      <c r="B47" s="108" t="s">
        <v>89</v>
      </c>
      <c r="C47" s="78"/>
      <c r="D47" s="80"/>
      <c r="E47" s="80"/>
      <c r="F47" s="78"/>
      <c r="G47" s="78"/>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4"/>
      <c r="EI47" s="14"/>
      <c r="EU47" s="8"/>
      <c r="EV47" s="8"/>
      <c r="EW47" s="8"/>
      <c r="EX47" s="8"/>
      <c r="EY47" s="8"/>
      <c r="EZ47" s="8"/>
      <c r="FA47" s="8"/>
      <c r="FB47" s="8"/>
      <c r="FC47" s="8"/>
      <c r="FD47" s="8"/>
      <c r="FE47" s="8"/>
      <c r="FF47" s="8"/>
      <c r="FG47" s="8"/>
      <c r="FH47" s="8"/>
      <c r="FI47" s="8"/>
      <c r="FJ47" s="8"/>
      <c r="FK47" s="8"/>
      <c r="FL47" s="8"/>
      <c r="FM47" s="8"/>
      <c r="FN47" s="8"/>
      <c r="FO47" s="8"/>
      <c r="FP47" s="8"/>
      <c r="FQ47" s="8"/>
      <c r="FR47" s="8"/>
    </row>
    <row r="48" s="85" customFormat="1" spans="1:174">
      <c r="A48" s="107" t="s">
        <v>90</v>
      </c>
      <c r="B48" s="108" t="s">
        <v>91</v>
      </c>
      <c r="C48" s="78"/>
      <c r="D48" s="80"/>
      <c r="E48" s="80"/>
      <c r="F48" s="78">
        <f>-3</f>
        <v>-3</v>
      </c>
      <c r="G48" s="78"/>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4"/>
      <c r="EI48" s="14"/>
      <c r="EU48" s="8"/>
      <c r="EV48" s="8"/>
      <c r="EW48" s="8"/>
      <c r="EX48" s="8"/>
      <c r="EY48" s="8"/>
      <c r="EZ48" s="8"/>
      <c r="FA48" s="8"/>
      <c r="FB48" s="8"/>
      <c r="FC48" s="8"/>
      <c r="FD48" s="8"/>
      <c r="FE48" s="8"/>
      <c r="FF48" s="8"/>
      <c r="FG48" s="8"/>
      <c r="FH48" s="8"/>
      <c r="FI48" s="8"/>
      <c r="FJ48" s="8"/>
      <c r="FK48" s="8"/>
      <c r="FL48" s="8"/>
      <c r="FM48" s="8"/>
      <c r="FN48" s="8"/>
      <c r="FO48" s="8"/>
      <c r="FP48" s="8"/>
      <c r="FQ48" s="8"/>
      <c r="FR48" s="8"/>
    </row>
    <row r="49" s="85" customFormat="1" ht="30" spans="1:174">
      <c r="A49" s="107" t="s">
        <v>92</v>
      </c>
      <c r="B49" s="108" t="s">
        <v>93</v>
      </c>
      <c r="C49" s="78"/>
      <c r="D49" s="80">
        <v>85000</v>
      </c>
      <c r="E49" s="80"/>
      <c r="F49" s="78">
        <f>107752+14495+11947</f>
        <v>134194</v>
      </c>
      <c r="G49" s="78">
        <v>11947</v>
      </c>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4"/>
      <c r="EI49" s="14"/>
      <c r="EU49" s="8"/>
      <c r="EV49" s="8"/>
      <c r="EW49" s="8"/>
      <c r="EX49" s="8"/>
      <c r="EY49" s="8"/>
      <c r="EZ49" s="8"/>
      <c r="FA49" s="8"/>
      <c r="FB49" s="8"/>
      <c r="FC49" s="8"/>
      <c r="FD49" s="8"/>
      <c r="FE49" s="8"/>
      <c r="FF49" s="8"/>
      <c r="FG49" s="8"/>
      <c r="FH49" s="8"/>
      <c r="FI49" s="8"/>
      <c r="FJ49" s="8"/>
      <c r="FK49" s="8"/>
      <c r="FL49" s="8"/>
      <c r="FM49" s="8"/>
      <c r="FN49" s="8"/>
      <c r="FO49" s="8"/>
      <c r="FP49" s="8"/>
      <c r="FQ49" s="8"/>
      <c r="FR49" s="8"/>
    </row>
    <row r="50" ht="30" spans="1:139">
      <c r="A50" s="107" t="s">
        <v>94</v>
      </c>
      <c r="B50" s="108" t="s">
        <v>95</v>
      </c>
      <c r="C50" s="78"/>
      <c r="D50" s="80">
        <v>5802000</v>
      </c>
      <c r="E50" s="80"/>
      <c r="F50" s="78">
        <f>3701959+359637+229712</f>
        <v>4291308</v>
      </c>
      <c r="G50" s="78">
        <v>229712</v>
      </c>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4"/>
      <c r="EI50" s="14"/>
    </row>
    <row r="51" spans="1:139">
      <c r="A51" s="102" t="s">
        <v>96</v>
      </c>
      <c r="B51" s="103" t="s">
        <v>97</v>
      </c>
      <c r="C51" s="78"/>
      <c r="D51" s="80"/>
      <c r="E51" s="80"/>
      <c r="F51" s="78"/>
      <c r="G51" s="78"/>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4"/>
      <c r="EI51" s="14"/>
    </row>
    <row r="52" spans="1:139">
      <c r="A52" s="99" t="s">
        <v>98</v>
      </c>
      <c r="B52" s="100" t="s">
        <v>99</v>
      </c>
      <c r="C52" s="80">
        <f>+C53+C58</f>
        <v>0</v>
      </c>
      <c r="D52" s="80">
        <f t="shared" ref="D52:G52" si="9">+D53+D58</f>
        <v>177000</v>
      </c>
      <c r="E52" s="80">
        <f t="shared" si="9"/>
        <v>0</v>
      </c>
      <c r="F52" s="80">
        <f t="shared" si="9"/>
        <v>145719.02</v>
      </c>
      <c r="G52" s="80">
        <f t="shared" si="9"/>
        <v>35535.96</v>
      </c>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4"/>
      <c r="EI52" s="14"/>
    </row>
    <row r="53" spans="1:139">
      <c r="A53" s="99" t="s">
        <v>100</v>
      </c>
      <c r="B53" s="100" t="s">
        <v>101</v>
      </c>
      <c r="C53" s="80">
        <f>+C54+C56</f>
        <v>0</v>
      </c>
      <c r="D53" s="80">
        <f t="shared" ref="D53:G53" si="10">+D54+D56</f>
        <v>0</v>
      </c>
      <c r="E53" s="80">
        <f t="shared" si="10"/>
        <v>0</v>
      </c>
      <c r="F53" s="80">
        <f t="shared" si="10"/>
        <v>0</v>
      </c>
      <c r="G53" s="80">
        <f t="shared" si="10"/>
        <v>0</v>
      </c>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4"/>
      <c r="EI53" s="14"/>
    </row>
    <row r="54" spans="1:139">
      <c r="A54" s="99" t="s">
        <v>102</v>
      </c>
      <c r="B54" s="100" t="s">
        <v>103</v>
      </c>
      <c r="C54" s="80">
        <f>+C55</f>
        <v>0</v>
      </c>
      <c r="D54" s="80">
        <f t="shared" ref="D54:G54" si="11">+D55</f>
        <v>0</v>
      </c>
      <c r="E54" s="80">
        <f t="shared" si="11"/>
        <v>0</v>
      </c>
      <c r="F54" s="80">
        <f t="shared" si="11"/>
        <v>0</v>
      </c>
      <c r="G54" s="80">
        <f t="shared" si="11"/>
        <v>0</v>
      </c>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4"/>
      <c r="EI54" s="14"/>
    </row>
    <row r="55" spans="1:139">
      <c r="A55" s="102" t="s">
        <v>104</v>
      </c>
      <c r="B55" s="103" t="s">
        <v>105</v>
      </c>
      <c r="C55" s="78"/>
      <c r="D55" s="80"/>
      <c r="E55" s="80"/>
      <c r="F55" s="78"/>
      <c r="G55" s="78"/>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4"/>
      <c r="EI55" s="14"/>
    </row>
    <row r="56" spans="1:139">
      <c r="A56" s="99" t="s">
        <v>106</v>
      </c>
      <c r="B56" s="100" t="s">
        <v>107</v>
      </c>
      <c r="C56" s="80">
        <f>+C57</f>
        <v>0</v>
      </c>
      <c r="D56" s="80">
        <f t="shared" ref="D56:G56" si="12">+D57</f>
        <v>0</v>
      </c>
      <c r="E56" s="80">
        <f t="shared" si="12"/>
        <v>0</v>
      </c>
      <c r="F56" s="80">
        <f t="shared" si="12"/>
        <v>0</v>
      </c>
      <c r="G56" s="80">
        <f t="shared" si="12"/>
        <v>0</v>
      </c>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4"/>
      <c r="EI56" s="14"/>
    </row>
    <row r="57" spans="1:139">
      <c r="A57" s="102" t="s">
        <v>108</v>
      </c>
      <c r="B57" s="103" t="s">
        <v>109</v>
      </c>
      <c r="C57" s="78"/>
      <c r="D57" s="80"/>
      <c r="E57" s="80"/>
      <c r="F57" s="78"/>
      <c r="G57" s="78"/>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4"/>
      <c r="EI57" s="14"/>
    </row>
    <row r="58" s="3" customFormat="1" spans="1:150">
      <c r="A58" s="99" t="s">
        <v>110</v>
      </c>
      <c r="B58" s="100" t="s">
        <v>111</v>
      </c>
      <c r="C58" s="80">
        <f>+C59+C63</f>
        <v>0</v>
      </c>
      <c r="D58" s="80">
        <f t="shared" ref="D58:G58" si="13">+D59+D63</f>
        <v>177000</v>
      </c>
      <c r="E58" s="80">
        <f t="shared" si="13"/>
        <v>0</v>
      </c>
      <c r="F58" s="80">
        <f t="shared" si="13"/>
        <v>145719.02</v>
      </c>
      <c r="G58" s="80">
        <f t="shared" si="13"/>
        <v>35535.96</v>
      </c>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15"/>
      <c r="EK58" s="115"/>
      <c r="EL58" s="115"/>
      <c r="EM58" s="115"/>
      <c r="EN58" s="115"/>
      <c r="EO58" s="115"/>
      <c r="EP58" s="115"/>
      <c r="EQ58" s="115"/>
      <c r="ER58" s="115"/>
      <c r="ES58" s="115"/>
      <c r="ET58" s="115"/>
    </row>
    <row r="59" spans="1:139">
      <c r="A59" s="99" t="s">
        <v>112</v>
      </c>
      <c r="B59" s="100" t="s">
        <v>113</v>
      </c>
      <c r="C59" s="80">
        <f>C62+C60+C61</f>
        <v>0</v>
      </c>
      <c r="D59" s="80">
        <f t="shared" ref="D59:G59" si="14">D62+D60+D61</f>
        <v>177000</v>
      </c>
      <c r="E59" s="80">
        <f t="shared" si="14"/>
        <v>0</v>
      </c>
      <c r="F59" s="80">
        <f t="shared" si="14"/>
        <v>145719.02</v>
      </c>
      <c r="G59" s="80">
        <f t="shared" si="14"/>
        <v>35535.96</v>
      </c>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4"/>
      <c r="EI59" s="14"/>
    </row>
    <row r="60" spans="1:139">
      <c r="A60" s="109" t="s">
        <v>114</v>
      </c>
      <c r="B60" s="100" t="s">
        <v>115</v>
      </c>
      <c r="C60" s="80"/>
      <c r="D60" s="80"/>
      <c r="E60" s="80"/>
      <c r="F60" s="80"/>
      <c r="G60" s="80"/>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4"/>
      <c r="EI60" s="14"/>
    </row>
    <row r="61" spans="1:139">
      <c r="A61" s="109" t="s">
        <v>116</v>
      </c>
      <c r="B61" s="100" t="s">
        <v>117</v>
      </c>
      <c r="C61" s="80"/>
      <c r="D61" s="80"/>
      <c r="E61" s="80"/>
      <c r="F61" s="80"/>
      <c r="G61" s="8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4"/>
      <c r="EI61" s="14"/>
    </row>
    <row r="62" spans="1:139">
      <c r="A62" s="102" t="s">
        <v>118</v>
      </c>
      <c r="B62" s="110" t="s">
        <v>119</v>
      </c>
      <c r="C62" s="78"/>
      <c r="D62" s="80">
        <v>177000</v>
      </c>
      <c r="E62" s="80"/>
      <c r="F62" s="78">
        <f>101533.06+8650+35535.96</f>
        <v>145719.02</v>
      </c>
      <c r="G62" s="78">
        <v>35535.96</v>
      </c>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4"/>
      <c r="EI62" s="14"/>
    </row>
    <row r="63" spans="1:139">
      <c r="A63" s="99" t="s">
        <v>120</v>
      </c>
      <c r="B63" s="100" t="s">
        <v>121</v>
      </c>
      <c r="C63" s="80">
        <f>C64</f>
        <v>0</v>
      </c>
      <c r="D63" s="80">
        <f t="shared" ref="D63:G63" si="15">D64</f>
        <v>0</v>
      </c>
      <c r="E63" s="80">
        <f t="shared" si="15"/>
        <v>0</v>
      </c>
      <c r="F63" s="80">
        <f t="shared" si="15"/>
        <v>0</v>
      </c>
      <c r="G63" s="80">
        <f t="shared" si="15"/>
        <v>0</v>
      </c>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4"/>
      <c r="EI63" s="14"/>
    </row>
    <row r="64" spans="1:139">
      <c r="A64" s="102" t="s">
        <v>122</v>
      </c>
      <c r="B64" s="110" t="s">
        <v>123</v>
      </c>
      <c r="C64" s="78"/>
      <c r="D64" s="80"/>
      <c r="E64" s="80"/>
      <c r="F64" s="78"/>
      <c r="G64" s="78"/>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4"/>
      <c r="EI64" s="14"/>
    </row>
    <row r="65" spans="1:139">
      <c r="A65" s="99" t="s">
        <v>124</v>
      </c>
      <c r="B65" s="100" t="s">
        <v>125</v>
      </c>
      <c r="C65" s="80">
        <f>+C66</f>
        <v>0</v>
      </c>
      <c r="D65" s="80">
        <f t="shared" ref="D65:G65" si="16">+D66</f>
        <v>61269270</v>
      </c>
      <c r="E65" s="80">
        <f t="shared" si="16"/>
        <v>0</v>
      </c>
      <c r="F65" s="80">
        <f t="shared" si="16"/>
        <v>631</v>
      </c>
      <c r="G65" s="80">
        <f t="shared" si="16"/>
        <v>0</v>
      </c>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4"/>
      <c r="EI65" s="14"/>
    </row>
    <row r="66" s="85" customFormat="1" ht="30" spans="1:174">
      <c r="A66" s="99" t="s">
        <v>126</v>
      </c>
      <c r="B66" s="100" t="s">
        <v>127</v>
      </c>
      <c r="C66" s="80">
        <f>+C67+C80</f>
        <v>0</v>
      </c>
      <c r="D66" s="80">
        <f t="shared" ref="D66:G66" si="17">+D67+D80</f>
        <v>61269270</v>
      </c>
      <c r="E66" s="80">
        <f t="shared" si="17"/>
        <v>0</v>
      </c>
      <c r="F66" s="80">
        <f t="shared" si="17"/>
        <v>631</v>
      </c>
      <c r="G66" s="80">
        <f t="shared" si="17"/>
        <v>0</v>
      </c>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4"/>
      <c r="EI66" s="14"/>
      <c r="EU66" s="8"/>
      <c r="EV66" s="8"/>
      <c r="EW66" s="8"/>
      <c r="EX66" s="8"/>
      <c r="EY66" s="8"/>
      <c r="EZ66" s="8"/>
      <c r="FA66" s="8"/>
      <c r="FB66" s="8"/>
      <c r="FC66" s="8"/>
      <c r="FD66" s="8"/>
      <c r="FE66" s="8"/>
      <c r="FF66" s="8"/>
      <c r="FG66" s="8"/>
      <c r="FH66" s="8"/>
      <c r="FI66" s="8"/>
      <c r="FJ66" s="8"/>
      <c r="FK66" s="8"/>
      <c r="FL66" s="8"/>
      <c r="FM66" s="8"/>
      <c r="FN66" s="8"/>
      <c r="FO66" s="8"/>
      <c r="FP66" s="8"/>
      <c r="FQ66" s="8"/>
      <c r="FR66" s="8"/>
    </row>
    <row r="67" s="85" customFormat="1" spans="1:174">
      <c r="A67" s="99" t="s">
        <v>128</v>
      </c>
      <c r="B67" s="100" t="s">
        <v>129</v>
      </c>
      <c r="C67" s="80">
        <f>C68+C69+C70+C71+C73+C74+C75+C76+C72+C77+C78+C79</f>
        <v>0</v>
      </c>
      <c r="D67" s="80">
        <f t="shared" ref="D67:G67" si="18">D68+D69+D70+D71+D73+D74+D75+D76+D72+D77+D78+D79</f>
        <v>61269270</v>
      </c>
      <c r="E67" s="80">
        <f t="shared" si="18"/>
        <v>0</v>
      </c>
      <c r="F67" s="80">
        <f t="shared" si="18"/>
        <v>631</v>
      </c>
      <c r="G67" s="80">
        <f t="shared" si="18"/>
        <v>0</v>
      </c>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4"/>
      <c r="EI67" s="14"/>
      <c r="EU67" s="8"/>
      <c r="EV67" s="8"/>
      <c r="EW67" s="8"/>
      <c r="EX67" s="8"/>
      <c r="EY67" s="8"/>
      <c r="EZ67" s="8"/>
      <c r="FA67" s="8"/>
      <c r="FB67" s="8"/>
      <c r="FC67" s="8"/>
      <c r="FD67" s="8"/>
      <c r="FE67" s="8"/>
      <c r="FF67" s="8"/>
      <c r="FG67" s="8"/>
      <c r="FH67" s="8"/>
      <c r="FI67" s="8"/>
      <c r="FJ67" s="8"/>
      <c r="FK67" s="8"/>
      <c r="FL67" s="8"/>
      <c r="FM67" s="8"/>
      <c r="FN67" s="8"/>
      <c r="FO67" s="8"/>
      <c r="FP67" s="8"/>
      <c r="FQ67" s="8"/>
      <c r="FR67" s="8"/>
    </row>
    <row r="68" s="85" customFormat="1" ht="30" spans="1:174">
      <c r="A68" s="102" t="s">
        <v>130</v>
      </c>
      <c r="B68" s="110" t="s">
        <v>131</v>
      </c>
      <c r="C68" s="78"/>
      <c r="D68" s="80"/>
      <c r="E68" s="80"/>
      <c r="F68" s="78"/>
      <c r="G68" s="78"/>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4"/>
      <c r="EI68" s="14"/>
      <c r="EU68" s="8"/>
      <c r="EV68" s="8"/>
      <c r="EW68" s="8"/>
      <c r="EX68" s="8"/>
      <c r="EY68" s="8"/>
      <c r="EZ68" s="8"/>
      <c r="FA68" s="8"/>
      <c r="FB68" s="8"/>
      <c r="FC68" s="8"/>
      <c r="FD68" s="8"/>
      <c r="FE68" s="8"/>
      <c r="FF68" s="8"/>
      <c r="FG68" s="8"/>
      <c r="FH68" s="8"/>
      <c r="FI68" s="8"/>
      <c r="FJ68" s="8"/>
      <c r="FK68" s="8"/>
      <c r="FL68" s="8"/>
      <c r="FM68" s="8"/>
      <c r="FN68" s="8"/>
      <c r="FO68" s="8"/>
      <c r="FP68" s="8"/>
      <c r="FQ68" s="8"/>
      <c r="FR68" s="8"/>
    </row>
    <row r="69" s="85" customFormat="1" ht="30" spans="1:174">
      <c r="A69" s="102" t="s">
        <v>132</v>
      </c>
      <c r="B69" s="110" t="s">
        <v>133</v>
      </c>
      <c r="C69" s="78"/>
      <c r="D69" s="80"/>
      <c r="E69" s="80"/>
      <c r="F69" s="78">
        <f>631</f>
        <v>631</v>
      </c>
      <c r="G69" s="78"/>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4"/>
      <c r="EI69" s="14"/>
      <c r="EU69" s="8"/>
      <c r="EV69" s="8"/>
      <c r="EW69" s="8"/>
      <c r="EX69" s="8"/>
      <c r="EY69" s="8"/>
      <c r="EZ69" s="8"/>
      <c r="FA69" s="8"/>
      <c r="FB69" s="8"/>
      <c r="FC69" s="8"/>
      <c r="FD69" s="8"/>
      <c r="FE69" s="8"/>
      <c r="FF69" s="8"/>
      <c r="FG69" s="8"/>
      <c r="FH69" s="8"/>
      <c r="FI69" s="8"/>
      <c r="FJ69" s="8"/>
      <c r="FK69" s="8"/>
      <c r="FL69" s="8"/>
      <c r="FM69" s="8"/>
      <c r="FN69" s="8"/>
      <c r="FO69" s="8"/>
      <c r="FP69" s="8"/>
      <c r="FQ69" s="8"/>
      <c r="FR69" s="8"/>
    </row>
    <row r="70" s="85" customFormat="1" ht="30" spans="1:174">
      <c r="A70" s="116" t="s">
        <v>134</v>
      </c>
      <c r="B70" s="110" t="s">
        <v>135</v>
      </c>
      <c r="C70" s="78"/>
      <c r="D70" s="80">
        <v>45537900</v>
      </c>
      <c r="E70" s="80"/>
      <c r="F70" s="78"/>
      <c r="G70" s="78"/>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4"/>
      <c r="EI70" s="14"/>
      <c r="EU70" s="8"/>
      <c r="EV70" s="8"/>
      <c r="EW70" s="8"/>
      <c r="EX70" s="8"/>
      <c r="EY70" s="8"/>
      <c r="EZ70" s="8"/>
      <c r="FA70" s="8"/>
      <c r="FB70" s="8"/>
      <c r="FC70" s="8"/>
      <c r="FD70" s="8"/>
      <c r="FE70" s="8"/>
      <c r="FF70" s="8"/>
      <c r="FG70" s="8"/>
      <c r="FH70" s="8"/>
      <c r="FI70" s="8"/>
      <c r="FJ70" s="8"/>
      <c r="FK70" s="8"/>
      <c r="FL70" s="8"/>
      <c r="FM70" s="8"/>
      <c r="FN70" s="8"/>
      <c r="FO70" s="8"/>
      <c r="FP70" s="8"/>
      <c r="FQ70" s="8"/>
      <c r="FR70" s="8"/>
    </row>
    <row r="71" s="85" customFormat="1" ht="30" spans="1:174">
      <c r="A71" s="102" t="s">
        <v>136</v>
      </c>
      <c r="B71" s="117" t="s">
        <v>137</v>
      </c>
      <c r="C71" s="78"/>
      <c r="D71" s="80"/>
      <c r="E71" s="80"/>
      <c r="F71" s="78"/>
      <c r="G71" s="78"/>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4"/>
      <c r="EI71" s="14"/>
      <c r="EU71" s="8"/>
      <c r="EV71" s="8"/>
      <c r="EW71" s="8"/>
      <c r="EX71" s="8"/>
      <c r="EY71" s="8"/>
      <c r="EZ71" s="8"/>
      <c r="FA71" s="8"/>
      <c r="FB71" s="8"/>
      <c r="FC71" s="8"/>
      <c r="FD71" s="8"/>
      <c r="FE71" s="8"/>
      <c r="FF71" s="8"/>
      <c r="FG71" s="8"/>
      <c r="FH71" s="8"/>
      <c r="FI71" s="8"/>
      <c r="FJ71" s="8"/>
      <c r="FK71" s="8"/>
      <c r="FL71" s="8"/>
      <c r="FM71" s="8"/>
      <c r="FN71" s="8"/>
      <c r="FO71" s="8"/>
      <c r="FP71" s="8"/>
      <c r="FQ71" s="8"/>
      <c r="FR71" s="8"/>
    </row>
    <row r="72" s="85" customFormat="1" spans="1:174">
      <c r="A72" s="102" t="s">
        <v>138</v>
      </c>
      <c r="B72" s="117" t="s">
        <v>139</v>
      </c>
      <c r="C72" s="78"/>
      <c r="D72" s="80"/>
      <c r="E72" s="80"/>
      <c r="F72" s="78"/>
      <c r="G72" s="78"/>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4"/>
      <c r="EI72" s="14"/>
      <c r="EU72" s="8"/>
      <c r="EV72" s="8"/>
      <c r="EW72" s="8"/>
      <c r="EX72" s="8"/>
      <c r="EY72" s="8"/>
      <c r="EZ72" s="8"/>
      <c r="FA72" s="8"/>
      <c r="FB72" s="8"/>
      <c r="FC72" s="8"/>
      <c r="FD72" s="8"/>
      <c r="FE72" s="8"/>
      <c r="FF72" s="8"/>
      <c r="FG72" s="8"/>
      <c r="FH72" s="8"/>
      <c r="FI72" s="8"/>
      <c r="FJ72" s="8"/>
      <c r="FK72" s="8"/>
      <c r="FL72" s="8"/>
      <c r="FM72" s="8"/>
      <c r="FN72" s="8"/>
      <c r="FO72" s="8"/>
      <c r="FP72" s="8"/>
      <c r="FQ72" s="8"/>
      <c r="FR72" s="8"/>
    </row>
    <row r="73" s="85" customFormat="1" ht="30" spans="1:174">
      <c r="A73" s="102" t="s">
        <v>140</v>
      </c>
      <c r="B73" s="117" t="s">
        <v>141</v>
      </c>
      <c r="C73" s="78"/>
      <c r="D73" s="80"/>
      <c r="E73" s="80"/>
      <c r="F73" s="78"/>
      <c r="G73" s="78"/>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4"/>
      <c r="EI73" s="14"/>
      <c r="EU73" s="8"/>
      <c r="EV73" s="8"/>
      <c r="EW73" s="8"/>
      <c r="EX73" s="8"/>
      <c r="EY73" s="8"/>
      <c r="EZ73" s="8"/>
      <c r="FA73" s="8"/>
      <c r="FB73" s="8"/>
      <c r="FC73" s="8"/>
      <c r="FD73" s="8"/>
      <c r="FE73" s="8"/>
      <c r="FF73" s="8"/>
      <c r="FG73" s="8"/>
      <c r="FH73" s="8"/>
      <c r="FI73" s="8"/>
      <c r="FJ73" s="8"/>
      <c r="FK73" s="8"/>
      <c r="FL73" s="8"/>
      <c r="FM73" s="8"/>
      <c r="FN73" s="8"/>
      <c r="FO73" s="8"/>
      <c r="FP73" s="8"/>
      <c r="FQ73" s="8"/>
      <c r="FR73" s="8"/>
    </row>
    <row r="74" s="85" customFormat="1" ht="30" spans="1:174">
      <c r="A74" s="102" t="s">
        <v>142</v>
      </c>
      <c r="B74" s="117" t="s">
        <v>143</v>
      </c>
      <c r="C74" s="78"/>
      <c r="D74" s="80"/>
      <c r="E74" s="80"/>
      <c r="F74" s="78"/>
      <c r="G74" s="78"/>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4"/>
      <c r="EI74" s="14"/>
      <c r="EU74" s="8"/>
      <c r="EV74" s="8"/>
      <c r="EW74" s="8"/>
      <c r="EX74" s="8"/>
      <c r="EY74" s="8"/>
      <c r="EZ74" s="8"/>
      <c r="FA74" s="8"/>
      <c r="FB74" s="8"/>
      <c r="FC74" s="8"/>
      <c r="FD74" s="8"/>
      <c r="FE74" s="8"/>
      <c r="FF74" s="8"/>
      <c r="FG74" s="8"/>
      <c r="FH74" s="8"/>
      <c r="FI74" s="8"/>
      <c r="FJ74" s="8"/>
      <c r="FK74" s="8"/>
      <c r="FL74" s="8"/>
      <c r="FM74" s="8"/>
      <c r="FN74" s="8"/>
      <c r="FO74" s="8"/>
      <c r="FP74" s="8"/>
      <c r="FQ74" s="8"/>
      <c r="FR74" s="8"/>
    </row>
    <row r="75" s="85" customFormat="1" ht="30" spans="1:174">
      <c r="A75" s="102" t="s">
        <v>144</v>
      </c>
      <c r="B75" s="117" t="s">
        <v>145</v>
      </c>
      <c r="C75" s="78"/>
      <c r="D75" s="80"/>
      <c r="E75" s="80"/>
      <c r="F75" s="78"/>
      <c r="G75" s="78"/>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4"/>
      <c r="EI75" s="14"/>
      <c r="EU75" s="8"/>
      <c r="EV75" s="8"/>
      <c r="EW75" s="8"/>
      <c r="EX75" s="8"/>
      <c r="EY75" s="8"/>
      <c r="EZ75" s="8"/>
      <c r="FA75" s="8"/>
      <c r="FB75" s="8"/>
      <c r="FC75" s="8"/>
      <c r="FD75" s="8"/>
      <c r="FE75" s="8"/>
      <c r="FF75" s="8"/>
      <c r="FG75" s="8"/>
      <c r="FH75" s="8"/>
      <c r="FI75" s="8"/>
      <c r="FJ75" s="8"/>
      <c r="FK75" s="8"/>
      <c r="FL75" s="8"/>
      <c r="FM75" s="8"/>
      <c r="FN75" s="8"/>
      <c r="FO75" s="8"/>
      <c r="FP75" s="8"/>
      <c r="FQ75" s="8"/>
      <c r="FR75" s="8"/>
    </row>
    <row r="76" s="85" customFormat="1" ht="60" spans="1:174">
      <c r="A76" s="102" t="s">
        <v>146</v>
      </c>
      <c r="B76" s="117" t="s">
        <v>147</v>
      </c>
      <c r="C76" s="78"/>
      <c r="D76" s="80"/>
      <c r="E76" s="80"/>
      <c r="F76" s="78"/>
      <c r="G76" s="78"/>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4"/>
      <c r="EI76" s="14"/>
      <c r="EU76" s="8"/>
      <c r="EV76" s="8"/>
      <c r="EW76" s="8"/>
      <c r="EX76" s="8"/>
      <c r="EY76" s="8"/>
      <c r="EZ76" s="8"/>
      <c r="FA76" s="8"/>
      <c r="FB76" s="8"/>
      <c r="FC76" s="8"/>
      <c r="FD76" s="8"/>
      <c r="FE76" s="8"/>
      <c r="FF76" s="8"/>
      <c r="FG76" s="8"/>
      <c r="FH76" s="8"/>
      <c r="FI76" s="8"/>
      <c r="FJ76" s="8"/>
      <c r="FK76" s="8"/>
      <c r="FL76" s="8"/>
      <c r="FM76" s="8"/>
      <c r="FN76" s="8"/>
      <c r="FO76" s="8"/>
      <c r="FP76" s="8"/>
      <c r="FQ76" s="8"/>
      <c r="FR76" s="8"/>
    </row>
    <row r="77" s="85" customFormat="1" ht="30" spans="1:174">
      <c r="A77" s="102" t="s">
        <v>148</v>
      </c>
      <c r="B77" s="117" t="s">
        <v>149</v>
      </c>
      <c r="C77" s="78"/>
      <c r="D77" s="80">
        <v>3900370</v>
      </c>
      <c r="E77" s="80"/>
      <c r="F77" s="78"/>
      <c r="G77" s="78"/>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4"/>
      <c r="EI77" s="14"/>
      <c r="EU77" s="8"/>
      <c r="EV77" s="8"/>
      <c r="EW77" s="8"/>
      <c r="EX77" s="8"/>
      <c r="EY77" s="8"/>
      <c r="EZ77" s="8"/>
      <c r="FA77" s="8"/>
      <c r="FB77" s="8"/>
      <c r="FC77" s="8"/>
      <c r="FD77" s="8"/>
      <c r="FE77" s="8"/>
      <c r="FF77" s="8"/>
      <c r="FG77" s="8"/>
      <c r="FH77" s="8"/>
      <c r="FI77" s="8"/>
      <c r="FJ77" s="8"/>
      <c r="FK77" s="8"/>
      <c r="FL77" s="8"/>
      <c r="FM77" s="8"/>
      <c r="FN77" s="8"/>
      <c r="FO77" s="8"/>
      <c r="FP77" s="8"/>
      <c r="FQ77" s="8"/>
      <c r="FR77" s="8"/>
    </row>
    <row r="78" s="85" customFormat="1" ht="30" spans="1:174">
      <c r="A78" s="102" t="s">
        <v>150</v>
      </c>
      <c r="B78" s="117" t="s">
        <v>151</v>
      </c>
      <c r="C78" s="78"/>
      <c r="D78" s="80"/>
      <c r="E78" s="80"/>
      <c r="F78" s="78"/>
      <c r="G78" s="78"/>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4"/>
      <c r="EI78" s="14"/>
      <c r="EU78" s="8"/>
      <c r="EV78" s="8"/>
      <c r="EW78" s="8"/>
      <c r="EX78" s="8"/>
      <c r="EY78" s="8"/>
      <c r="EZ78" s="8"/>
      <c r="FA78" s="8"/>
      <c r="FB78" s="8"/>
      <c r="FC78" s="8"/>
      <c r="FD78" s="8"/>
      <c r="FE78" s="8"/>
      <c r="FF78" s="8"/>
      <c r="FG78" s="8"/>
      <c r="FH78" s="8"/>
      <c r="FI78" s="8"/>
      <c r="FJ78" s="8"/>
      <c r="FK78" s="8"/>
      <c r="FL78" s="8"/>
      <c r="FM78" s="8"/>
      <c r="FN78" s="8"/>
      <c r="FO78" s="8"/>
      <c r="FP78" s="8"/>
      <c r="FQ78" s="8"/>
      <c r="FR78" s="8"/>
    </row>
    <row r="79" s="85" customFormat="1" ht="60" spans="1:174">
      <c r="A79" s="102" t="s">
        <v>152</v>
      </c>
      <c r="B79" s="117" t="s">
        <v>153</v>
      </c>
      <c r="C79" s="78"/>
      <c r="D79" s="80">
        <v>11831000</v>
      </c>
      <c r="E79" s="80"/>
      <c r="F79" s="78"/>
      <c r="G79" s="78"/>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4"/>
      <c r="EI79" s="14"/>
      <c r="EU79" s="8"/>
      <c r="EV79" s="8"/>
      <c r="EW79" s="8"/>
      <c r="EX79" s="8"/>
      <c r="EY79" s="8"/>
      <c r="EZ79" s="8"/>
      <c r="FA79" s="8"/>
      <c r="FB79" s="8"/>
      <c r="FC79" s="8"/>
      <c r="FD79" s="8"/>
      <c r="FE79" s="8"/>
      <c r="FF79" s="8"/>
      <c r="FG79" s="8"/>
      <c r="FH79" s="8"/>
      <c r="FI79" s="8"/>
      <c r="FJ79" s="8"/>
      <c r="FK79" s="8"/>
      <c r="FL79" s="8"/>
      <c r="FM79" s="8"/>
      <c r="FN79" s="8"/>
      <c r="FO79" s="8"/>
      <c r="FP79" s="8"/>
      <c r="FQ79" s="8"/>
      <c r="FR79" s="8"/>
    </row>
    <row r="80" s="85" customFormat="1" spans="1:174">
      <c r="A80" s="99" t="s">
        <v>154</v>
      </c>
      <c r="B80" s="100" t="s">
        <v>155</v>
      </c>
      <c r="C80" s="80">
        <f>+C81+C82+C83+C84+C85+C86+C87+C88</f>
        <v>0</v>
      </c>
      <c r="D80" s="80">
        <f t="shared" ref="D80:G80" si="19">+D81+D82+D83+D84+D85+D86+D87+D88</f>
        <v>0</v>
      </c>
      <c r="E80" s="80">
        <f t="shared" si="19"/>
        <v>0</v>
      </c>
      <c r="F80" s="80">
        <f t="shared" si="19"/>
        <v>0</v>
      </c>
      <c r="G80" s="80">
        <f t="shared" si="19"/>
        <v>0</v>
      </c>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4"/>
      <c r="EI80" s="14"/>
      <c r="EU80" s="8"/>
      <c r="EV80" s="8"/>
      <c r="EW80" s="8"/>
      <c r="EX80" s="8"/>
      <c r="EY80" s="8"/>
      <c r="EZ80" s="8"/>
      <c r="FA80" s="8"/>
      <c r="FB80" s="8"/>
      <c r="FC80" s="8"/>
      <c r="FD80" s="8"/>
      <c r="FE80" s="8"/>
      <c r="FF80" s="8"/>
      <c r="FG80" s="8"/>
      <c r="FH80" s="8"/>
      <c r="FI80" s="8"/>
      <c r="FJ80" s="8"/>
      <c r="FK80" s="8"/>
      <c r="FL80" s="8"/>
      <c r="FM80" s="8"/>
      <c r="FN80" s="8"/>
      <c r="FO80" s="8"/>
      <c r="FP80" s="8"/>
      <c r="FQ80" s="8"/>
      <c r="FR80" s="8"/>
    </row>
    <row r="81" s="85" customFormat="1" ht="30" spans="1:174">
      <c r="A81" s="118" t="s">
        <v>156</v>
      </c>
      <c r="B81" s="103" t="s">
        <v>157</v>
      </c>
      <c r="C81" s="78"/>
      <c r="D81" s="80"/>
      <c r="E81" s="80"/>
      <c r="F81" s="78"/>
      <c r="G81" s="78"/>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c r="ED81" s="101"/>
      <c r="EE81" s="101"/>
      <c r="EF81" s="101"/>
      <c r="EG81" s="101"/>
      <c r="EH81" s="14"/>
      <c r="EI81" s="14"/>
      <c r="EU81" s="8"/>
      <c r="EV81" s="8"/>
      <c r="EW81" s="8"/>
      <c r="EX81" s="8"/>
      <c r="EY81" s="8"/>
      <c r="EZ81" s="8"/>
      <c r="FA81" s="8"/>
      <c r="FB81" s="8"/>
      <c r="FC81" s="8"/>
      <c r="FD81" s="8"/>
      <c r="FE81" s="8"/>
      <c r="FF81" s="8"/>
      <c r="FG81" s="8"/>
      <c r="FH81" s="8"/>
      <c r="FI81" s="8"/>
      <c r="FJ81" s="8"/>
      <c r="FK81" s="8"/>
      <c r="FL81" s="8"/>
      <c r="FM81" s="8"/>
      <c r="FN81" s="8"/>
      <c r="FO81" s="8"/>
      <c r="FP81" s="8"/>
      <c r="FQ81" s="8"/>
      <c r="FR81" s="8"/>
    </row>
    <row r="82" ht="30" spans="1:139">
      <c r="A82" s="118" t="s">
        <v>158</v>
      </c>
      <c r="B82" s="60" t="s">
        <v>137</v>
      </c>
      <c r="C82" s="78"/>
      <c r="D82" s="80"/>
      <c r="E82" s="80"/>
      <c r="F82" s="78"/>
      <c r="G82" s="78"/>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4"/>
      <c r="EI82" s="14"/>
    </row>
    <row r="83" ht="45" spans="1:139">
      <c r="A83" s="102" t="s">
        <v>159</v>
      </c>
      <c r="B83" s="103" t="s">
        <v>160</v>
      </c>
      <c r="C83" s="78"/>
      <c r="D83" s="80"/>
      <c r="E83" s="80"/>
      <c r="F83" s="78"/>
      <c r="G83" s="78"/>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1"/>
      <c r="BT83" s="101"/>
      <c r="BU83" s="101"/>
      <c r="BV83" s="101"/>
      <c r="BW83" s="101"/>
      <c r="BX83" s="101"/>
      <c r="BY83" s="101"/>
      <c r="BZ83" s="101"/>
      <c r="CA83" s="101"/>
      <c r="CB83" s="101"/>
      <c r="CC83" s="101"/>
      <c r="CD83" s="101"/>
      <c r="CE83" s="101"/>
      <c r="CF83" s="101"/>
      <c r="CG83" s="101"/>
      <c r="CH83" s="101"/>
      <c r="CI83" s="101"/>
      <c r="CJ83" s="101"/>
      <c r="CK83" s="101"/>
      <c r="CL83" s="101"/>
      <c r="CM83" s="101"/>
      <c r="CN83" s="101"/>
      <c r="CO83" s="101"/>
      <c r="CP83" s="101"/>
      <c r="CQ83" s="101"/>
      <c r="CR83" s="101"/>
      <c r="CS83" s="101"/>
      <c r="CT83" s="101"/>
      <c r="CU83" s="101"/>
      <c r="CV83" s="101"/>
      <c r="CW83" s="101"/>
      <c r="CX83" s="101"/>
      <c r="CY83" s="101"/>
      <c r="CZ83" s="101"/>
      <c r="DA83" s="101"/>
      <c r="DB83" s="101"/>
      <c r="DC83" s="101"/>
      <c r="DD83" s="101"/>
      <c r="DE83" s="101"/>
      <c r="DF83" s="101"/>
      <c r="DG83" s="101"/>
      <c r="DH83" s="101"/>
      <c r="DI83" s="101"/>
      <c r="DJ83" s="101"/>
      <c r="DK83" s="101"/>
      <c r="DL83" s="101"/>
      <c r="DM83" s="101"/>
      <c r="DN83" s="101"/>
      <c r="DO83" s="101"/>
      <c r="DP83" s="101"/>
      <c r="DQ83" s="101"/>
      <c r="DR83" s="101"/>
      <c r="DS83" s="101"/>
      <c r="DT83" s="101"/>
      <c r="DU83" s="101"/>
      <c r="DV83" s="101"/>
      <c r="DW83" s="101"/>
      <c r="DX83" s="101"/>
      <c r="DY83" s="101"/>
      <c r="DZ83" s="101"/>
      <c r="EA83" s="101"/>
      <c r="EB83" s="101"/>
      <c r="EC83" s="101"/>
      <c r="ED83" s="101"/>
      <c r="EE83" s="101"/>
      <c r="EF83" s="101"/>
      <c r="EG83" s="101"/>
      <c r="EH83" s="14"/>
      <c r="EI83" s="14"/>
    </row>
    <row r="84" ht="45" spans="1:139">
      <c r="A84" s="102" t="s">
        <v>161</v>
      </c>
      <c r="B84" s="103" t="s">
        <v>162</v>
      </c>
      <c r="C84" s="78"/>
      <c r="D84" s="80"/>
      <c r="E84" s="80"/>
      <c r="F84" s="78"/>
      <c r="G84" s="78"/>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4"/>
      <c r="EI84" s="14"/>
    </row>
    <row r="85" ht="30" spans="1:139">
      <c r="A85" s="102" t="s">
        <v>163</v>
      </c>
      <c r="B85" s="103" t="s">
        <v>141</v>
      </c>
      <c r="C85" s="78"/>
      <c r="D85" s="80"/>
      <c r="E85" s="80"/>
      <c r="F85" s="78"/>
      <c r="G85" s="78"/>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c r="BZ85" s="101"/>
      <c r="CA85" s="101"/>
      <c r="CB85" s="101"/>
      <c r="CC85" s="101"/>
      <c r="CD85" s="101"/>
      <c r="CE85" s="101"/>
      <c r="CF85" s="101"/>
      <c r="CG85" s="101"/>
      <c r="CH85" s="101"/>
      <c r="CI85" s="101"/>
      <c r="CJ85" s="101"/>
      <c r="CK85" s="101"/>
      <c r="CL85" s="101"/>
      <c r="CM85" s="101"/>
      <c r="CN85" s="101"/>
      <c r="CO85" s="101"/>
      <c r="CP85" s="101"/>
      <c r="CQ85" s="101"/>
      <c r="CR85" s="101"/>
      <c r="CS85" s="101"/>
      <c r="CT85" s="101"/>
      <c r="CU85" s="101"/>
      <c r="CV85" s="101"/>
      <c r="CW85" s="101"/>
      <c r="CX85" s="101"/>
      <c r="CY85" s="101"/>
      <c r="CZ85" s="101"/>
      <c r="DA85" s="101"/>
      <c r="DB85" s="101"/>
      <c r="DC85" s="101"/>
      <c r="DD85" s="101"/>
      <c r="DE85" s="101"/>
      <c r="DF85" s="101"/>
      <c r="DG85" s="101"/>
      <c r="DH85" s="101"/>
      <c r="DI85" s="101"/>
      <c r="DJ85" s="101"/>
      <c r="DK85" s="101"/>
      <c r="DL85" s="101"/>
      <c r="DM85" s="101"/>
      <c r="DN85" s="101"/>
      <c r="DO85" s="101"/>
      <c r="DP85" s="101"/>
      <c r="DQ85" s="101"/>
      <c r="DR85" s="101"/>
      <c r="DS85" s="101"/>
      <c r="DT85" s="101"/>
      <c r="DU85" s="101"/>
      <c r="DV85" s="101"/>
      <c r="DW85" s="101"/>
      <c r="DX85" s="101"/>
      <c r="DY85" s="101"/>
      <c r="DZ85" s="101"/>
      <c r="EA85" s="101"/>
      <c r="EB85" s="101"/>
      <c r="EC85" s="101"/>
      <c r="ED85" s="101"/>
      <c r="EE85" s="101"/>
      <c r="EF85" s="101"/>
      <c r="EG85" s="101"/>
      <c r="EH85" s="14"/>
      <c r="EI85" s="14"/>
    </row>
    <row r="86" ht="30" spans="1:66">
      <c r="A86" s="106" t="s">
        <v>164</v>
      </c>
      <c r="B86" s="119" t="s">
        <v>165</v>
      </c>
      <c r="C86" s="78"/>
      <c r="D86" s="80"/>
      <c r="E86" s="80"/>
      <c r="F86" s="78"/>
      <c r="G86" s="78"/>
      <c r="T86" s="14"/>
      <c r="AT86" s="14"/>
      <c r="AU86" s="14"/>
      <c r="AV86" s="14"/>
      <c r="BN86" s="14"/>
    </row>
    <row r="87" ht="75" spans="1:66">
      <c r="A87" s="120" t="s">
        <v>166</v>
      </c>
      <c r="B87" s="121" t="s">
        <v>167</v>
      </c>
      <c r="C87" s="78"/>
      <c r="D87" s="80"/>
      <c r="E87" s="80"/>
      <c r="F87" s="78"/>
      <c r="G87" s="78"/>
      <c r="AT87" s="14"/>
      <c r="AU87" s="14"/>
      <c r="AV87" s="14"/>
      <c r="BN87" s="14"/>
    </row>
    <row r="88" ht="45" spans="1:66">
      <c r="A88" s="120" t="s">
        <v>168</v>
      </c>
      <c r="B88" s="122" t="s">
        <v>169</v>
      </c>
      <c r="C88" s="78"/>
      <c r="D88" s="80"/>
      <c r="E88" s="80"/>
      <c r="F88" s="78"/>
      <c r="G88" s="78"/>
      <c r="AT88" s="14"/>
      <c r="AU88" s="14"/>
      <c r="AV88" s="14"/>
      <c r="BN88" s="14"/>
    </row>
    <row r="89" ht="45" spans="1:66">
      <c r="A89" s="120" t="s">
        <v>170</v>
      </c>
      <c r="B89" s="123" t="s">
        <v>171</v>
      </c>
      <c r="C89" s="80">
        <f t="shared" ref="C89:G90" si="20">C90</f>
        <v>0</v>
      </c>
      <c r="D89" s="80">
        <f t="shared" si="20"/>
        <v>0</v>
      </c>
      <c r="E89" s="80">
        <f t="shared" si="20"/>
        <v>0</v>
      </c>
      <c r="F89" s="80">
        <f t="shared" si="20"/>
        <v>0</v>
      </c>
      <c r="G89" s="80">
        <f t="shared" si="20"/>
        <v>0</v>
      </c>
      <c r="AT89" s="14"/>
      <c r="AU89" s="14"/>
      <c r="AV89" s="14"/>
      <c r="BN89" s="14"/>
    </row>
    <row r="90" spans="1:66">
      <c r="A90" s="120" t="s">
        <v>172</v>
      </c>
      <c r="B90" s="122" t="s">
        <v>173</v>
      </c>
      <c r="C90" s="80">
        <f t="shared" si="20"/>
        <v>0</v>
      </c>
      <c r="D90" s="80">
        <f t="shared" si="20"/>
        <v>0</v>
      </c>
      <c r="E90" s="80">
        <f t="shared" si="20"/>
        <v>0</v>
      </c>
      <c r="F90" s="80">
        <f t="shared" si="20"/>
        <v>0</v>
      </c>
      <c r="G90" s="80">
        <f t="shared" si="20"/>
        <v>0</v>
      </c>
      <c r="AT90" s="14"/>
      <c r="AU90" s="14"/>
      <c r="AV90" s="14"/>
      <c r="BN90" s="14"/>
    </row>
    <row r="91" spans="1:66">
      <c r="A91" s="120" t="s">
        <v>174</v>
      </c>
      <c r="B91" s="122" t="s">
        <v>175</v>
      </c>
      <c r="C91" s="80"/>
      <c r="D91" s="80"/>
      <c r="E91" s="80"/>
      <c r="F91" s="78"/>
      <c r="G91" s="78"/>
      <c r="AT91" s="14"/>
      <c r="AU91" s="14"/>
      <c r="AV91" s="14"/>
      <c r="BN91" s="14"/>
    </row>
    <row r="92" ht="45" spans="1:66">
      <c r="A92" s="120" t="s">
        <v>176</v>
      </c>
      <c r="B92" s="123" t="s">
        <v>171</v>
      </c>
      <c r="C92" s="80">
        <f>C93</f>
        <v>0</v>
      </c>
      <c r="D92" s="80">
        <f t="shared" ref="D92:G93" si="21">D93</f>
        <v>0</v>
      </c>
      <c r="E92" s="80">
        <f t="shared" si="21"/>
        <v>0</v>
      </c>
      <c r="F92" s="80">
        <f t="shared" si="21"/>
        <v>0</v>
      </c>
      <c r="G92" s="80">
        <f t="shared" si="21"/>
        <v>0</v>
      </c>
      <c r="BN92" s="14"/>
    </row>
    <row r="93" spans="1:66">
      <c r="A93" s="120" t="s">
        <v>177</v>
      </c>
      <c r="B93" s="122" t="s">
        <v>173</v>
      </c>
      <c r="C93" s="80">
        <f>C94</f>
        <v>0</v>
      </c>
      <c r="D93" s="80">
        <f t="shared" si="21"/>
        <v>0</v>
      </c>
      <c r="E93" s="80">
        <f t="shared" si="21"/>
        <v>0</v>
      </c>
      <c r="F93" s="80">
        <f t="shared" si="21"/>
        <v>0</v>
      </c>
      <c r="G93" s="80">
        <f t="shared" si="21"/>
        <v>0</v>
      </c>
      <c r="BN93" s="14"/>
    </row>
    <row r="94" spans="1:66">
      <c r="A94" s="120" t="s">
        <v>178</v>
      </c>
      <c r="B94" s="122" t="s">
        <v>179</v>
      </c>
      <c r="C94" s="80"/>
      <c r="D94" s="80"/>
      <c r="E94" s="80"/>
      <c r="F94" s="78"/>
      <c r="G94" s="78"/>
      <c r="BN94" s="14"/>
    </row>
    <row r="95" ht="30" spans="1:66">
      <c r="A95" s="123" t="s">
        <v>180</v>
      </c>
      <c r="B95" s="123" t="s">
        <v>181</v>
      </c>
      <c r="C95" s="80">
        <f>C96+C98</f>
        <v>0</v>
      </c>
      <c r="D95" s="80">
        <f t="shared" ref="D95:G95" si="22">D96+D98</f>
        <v>0</v>
      </c>
      <c r="E95" s="80">
        <f t="shared" si="22"/>
        <v>0</v>
      </c>
      <c r="F95" s="80">
        <f t="shared" si="22"/>
        <v>0</v>
      </c>
      <c r="G95" s="80">
        <f t="shared" si="22"/>
        <v>0</v>
      </c>
      <c r="BN95" s="14"/>
    </row>
    <row r="96" ht="45" spans="1:66">
      <c r="A96" s="123" t="s">
        <v>182</v>
      </c>
      <c r="B96" s="123" t="s">
        <v>171</v>
      </c>
      <c r="C96" s="80">
        <f>C97</f>
        <v>0</v>
      </c>
      <c r="D96" s="80">
        <f t="shared" ref="D96:G96" si="23">D97</f>
        <v>0</v>
      </c>
      <c r="E96" s="80">
        <f t="shared" si="23"/>
        <v>0</v>
      </c>
      <c r="F96" s="80">
        <f t="shared" si="23"/>
        <v>0</v>
      </c>
      <c r="G96" s="80">
        <f t="shared" si="23"/>
        <v>0</v>
      </c>
      <c r="BN96" s="14"/>
    </row>
    <row r="97" spans="1:66">
      <c r="A97" s="122" t="s">
        <v>183</v>
      </c>
      <c r="B97" s="122" t="s">
        <v>184</v>
      </c>
      <c r="C97" s="80"/>
      <c r="D97" s="80"/>
      <c r="E97" s="80"/>
      <c r="F97" s="80"/>
      <c r="G97" s="80"/>
      <c r="BN97" s="14"/>
    </row>
    <row r="98" s="85" customFormat="1" spans="1:174">
      <c r="A98" s="122"/>
      <c r="B98" s="122" t="s">
        <v>185</v>
      </c>
      <c r="C98" s="80">
        <f>C99</f>
        <v>0</v>
      </c>
      <c r="D98" s="80">
        <f t="shared" ref="D98:G100" si="24">D99</f>
        <v>0</v>
      </c>
      <c r="E98" s="80">
        <f t="shared" si="24"/>
        <v>0</v>
      </c>
      <c r="F98" s="80">
        <f t="shared" si="24"/>
        <v>0</v>
      </c>
      <c r="G98" s="80">
        <f t="shared" si="24"/>
        <v>0</v>
      </c>
      <c r="BN98" s="14"/>
      <c r="EU98" s="8"/>
      <c r="EV98" s="8"/>
      <c r="EW98" s="8"/>
      <c r="EX98" s="8"/>
      <c r="EY98" s="8"/>
      <c r="EZ98" s="8"/>
      <c r="FA98" s="8"/>
      <c r="FB98" s="8"/>
      <c r="FC98" s="8"/>
      <c r="FD98" s="8"/>
      <c r="FE98" s="8"/>
      <c r="FF98" s="8"/>
      <c r="FG98" s="8"/>
      <c r="FH98" s="8"/>
      <c r="FI98" s="8"/>
      <c r="FJ98" s="8"/>
      <c r="FK98" s="8"/>
      <c r="FL98" s="8"/>
      <c r="FM98" s="8"/>
      <c r="FN98" s="8"/>
      <c r="FO98" s="8"/>
      <c r="FP98" s="8"/>
      <c r="FQ98" s="8"/>
      <c r="FR98" s="8"/>
    </row>
    <row r="99" s="85" customFormat="1" spans="1:174">
      <c r="A99" s="122" t="s">
        <v>186</v>
      </c>
      <c r="B99" s="122" t="s">
        <v>187</v>
      </c>
      <c r="C99" s="80">
        <f>C100</f>
        <v>0</v>
      </c>
      <c r="D99" s="80">
        <f t="shared" si="24"/>
        <v>0</v>
      </c>
      <c r="E99" s="80">
        <f t="shared" si="24"/>
        <v>0</v>
      </c>
      <c r="F99" s="80">
        <f t="shared" si="24"/>
        <v>0</v>
      </c>
      <c r="G99" s="80">
        <f t="shared" si="24"/>
        <v>0</v>
      </c>
      <c r="BN99" s="14"/>
      <c r="EU99" s="8"/>
      <c r="EV99" s="8"/>
      <c r="EW99" s="8"/>
      <c r="EX99" s="8"/>
      <c r="EY99" s="8"/>
      <c r="EZ99" s="8"/>
      <c r="FA99" s="8"/>
      <c r="FB99" s="8"/>
      <c r="FC99" s="8"/>
      <c r="FD99" s="8"/>
      <c r="FE99" s="8"/>
      <c r="FF99" s="8"/>
      <c r="FG99" s="8"/>
      <c r="FH99" s="8"/>
      <c r="FI99" s="8"/>
      <c r="FJ99" s="8"/>
      <c r="FK99" s="8"/>
      <c r="FL99" s="8"/>
      <c r="FM99" s="8"/>
      <c r="FN99" s="8"/>
      <c r="FO99" s="8"/>
      <c r="FP99" s="8"/>
      <c r="FQ99" s="8"/>
      <c r="FR99" s="8"/>
    </row>
    <row r="100" s="85" customFormat="1" ht="30" spans="1:174">
      <c r="A100" s="122" t="s">
        <v>188</v>
      </c>
      <c r="B100" s="122" t="s">
        <v>189</v>
      </c>
      <c r="C100" s="80">
        <f>C101</f>
        <v>0</v>
      </c>
      <c r="D100" s="80">
        <f t="shared" si="24"/>
        <v>0</v>
      </c>
      <c r="E100" s="80">
        <f t="shared" si="24"/>
        <v>0</v>
      </c>
      <c r="F100" s="80">
        <f t="shared" si="24"/>
        <v>0</v>
      </c>
      <c r="G100" s="80">
        <f t="shared" si="24"/>
        <v>0</v>
      </c>
      <c r="BN100" s="14"/>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row>
    <row r="101" s="85" customFormat="1" spans="1:174">
      <c r="A101" s="122" t="s">
        <v>190</v>
      </c>
      <c r="B101" s="122" t="s">
        <v>191</v>
      </c>
      <c r="C101" s="78"/>
      <c r="D101" s="80"/>
      <c r="E101" s="80"/>
      <c r="F101" s="78"/>
      <c r="G101" s="78"/>
      <c r="BN101" s="14"/>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row>
    <row r="102" s="85" customFormat="1" spans="1:174">
      <c r="A102" s="123" t="s">
        <v>192</v>
      </c>
      <c r="B102" s="123" t="s">
        <v>193</v>
      </c>
      <c r="C102" s="80">
        <f>C103</f>
        <v>0</v>
      </c>
      <c r="D102" s="80">
        <f t="shared" ref="D102:G102" si="25">D103</f>
        <v>0</v>
      </c>
      <c r="E102" s="80">
        <f t="shared" si="25"/>
        <v>0</v>
      </c>
      <c r="F102" s="80">
        <f t="shared" si="25"/>
        <v>-96118</v>
      </c>
      <c r="G102" s="80">
        <f t="shared" si="25"/>
        <v>326459</v>
      </c>
      <c r="BN102" s="14"/>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row>
    <row r="103" s="85" customFormat="1" ht="30" spans="1:174">
      <c r="A103" s="122" t="s">
        <v>194</v>
      </c>
      <c r="B103" s="122" t="s">
        <v>195</v>
      </c>
      <c r="C103" s="78"/>
      <c r="D103" s="80"/>
      <c r="E103" s="80"/>
      <c r="F103" s="78">
        <f>259014-681591+326459</f>
        <v>-96118</v>
      </c>
      <c r="G103" s="78">
        <v>326459</v>
      </c>
      <c r="BN103" s="14"/>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row>
    <row r="104" s="85" customFormat="1" spans="1:174">
      <c r="A104" s="86"/>
      <c r="B104" s="8"/>
      <c r="C104" s="8"/>
      <c r="D104" s="87"/>
      <c r="E104" s="87"/>
      <c r="F104" s="8"/>
      <c r="G104" s="8"/>
      <c r="BN104" s="14"/>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row>
    <row r="105" s="85" customFormat="1" spans="1:174">
      <c r="A105" s="86"/>
      <c r="B105" s="8"/>
      <c r="C105" s="8"/>
      <c r="D105" s="87"/>
      <c r="E105" s="87"/>
      <c r="F105" s="8"/>
      <c r="G105" s="8"/>
      <c r="BN105" s="14"/>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row>
    <row r="106" s="85" customFormat="1" spans="1:174">
      <c r="A106" s="86"/>
      <c r="B106" s="8" t="s">
        <v>196</v>
      </c>
      <c r="C106" s="8"/>
      <c r="D106" s="87"/>
      <c r="E106" s="87"/>
      <c r="F106" s="8" t="s">
        <v>197</v>
      </c>
      <c r="G106" s="8"/>
      <c r="BN106" s="14"/>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row>
    <row r="107" s="85" customFormat="1" spans="1:174">
      <c r="A107" s="86"/>
      <c r="B107" s="8" t="s">
        <v>198</v>
      </c>
      <c r="C107" s="8"/>
      <c r="D107" s="87"/>
      <c r="E107" s="87"/>
      <c r="F107" s="8" t="s">
        <v>199</v>
      </c>
      <c r="G107" s="8"/>
      <c r="BN107" s="14"/>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row>
  </sheetData>
  <protectedRanges>
    <protectedRange sqref="C86:C87 C70:C82 C62 F86:G88 C30:C51 C55:C56 F70:G79 F81:G82 C18:C27 F62:G62 F30:G51 F18:G23 F25:G27 F55:G55 F91:G91 D24:G24 D56:G56 C58:G58 C65:G66 D80:G80 F94:G94" name="Zonă1" securityDescriptor="O:WDG:WDD:(A;;CC;;;AN)(A;;CC;;;AU)(A;;CC;;;WD)"/>
  </protectedRanges>
  <mergeCells count="26">
    <mergeCell ref="H5:L5"/>
    <mergeCell ref="M5:Q5"/>
    <mergeCell ref="R5:V5"/>
    <mergeCell ref="W5:AA5"/>
    <mergeCell ref="AB5:AF5"/>
    <mergeCell ref="AG5:AK5"/>
    <mergeCell ref="AL5:AP5"/>
    <mergeCell ref="AQ5:AU5"/>
    <mergeCell ref="AV5:AZ5"/>
    <mergeCell ref="BA5:BE5"/>
    <mergeCell ref="BF5:BJ5"/>
    <mergeCell ref="BK5:BO5"/>
    <mergeCell ref="BP5:BT5"/>
    <mergeCell ref="BU5:BY5"/>
    <mergeCell ref="BZ5:CD5"/>
    <mergeCell ref="CE5:CI5"/>
    <mergeCell ref="CJ5:CN5"/>
    <mergeCell ref="CO5:CS5"/>
    <mergeCell ref="CT5:CX5"/>
    <mergeCell ref="CY5:DC5"/>
    <mergeCell ref="DD5:DH5"/>
    <mergeCell ref="DI5:DM5"/>
    <mergeCell ref="DN5:DR5"/>
    <mergeCell ref="DS5:DW5"/>
    <mergeCell ref="DX5:EB5"/>
    <mergeCell ref="EC5:EG5"/>
  </mergeCells>
  <pageMargins left="0.75" right="0.75" top="0.747916666666667" bottom="0.590277777777778" header="0.314583333333333" footer="0.196527777777778"/>
  <pageSetup paperSize="1" scale="74" orientation="portrait"/>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C00CC"/>
  </sheetPr>
  <dimension ref="A1:H220"/>
  <sheetViews>
    <sheetView workbookViewId="0">
      <pane xSplit="3" ySplit="6" topLeftCell="D7" activePane="bottomRight" state="frozen"/>
      <selection/>
      <selection pane="topRight"/>
      <selection pane="bottomLeft"/>
      <selection pane="bottomRight" activeCell="B5" sqref="B5"/>
    </sheetView>
  </sheetViews>
  <sheetFormatPr defaultColWidth="9" defaultRowHeight="15" outlineLevelCol="7"/>
  <cols>
    <col min="1" max="1" width="14.287037037037" style="5" customWidth="1"/>
    <col min="2" max="2" width="71.287037037037" style="6" customWidth="1"/>
    <col min="3" max="3" width="7.85185185185185" style="6" customWidth="1"/>
    <col min="4" max="4" width="14.712962962963" style="6" customWidth="1"/>
    <col min="5" max="5" width="14.1388888888889" style="6" customWidth="1"/>
    <col min="6" max="6" width="15.712962962963" style="6" hidden="1" customWidth="1"/>
    <col min="7" max="7" width="15.4259259259259" style="7" customWidth="1"/>
    <col min="8" max="8" width="14.5740740740741" style="7" customWidth="1"/>
    <col min="9" max="16384" width="9.13888888888889" style="8"/>
  </cols>
  <sheetData>
    <row r="1" s="1" customFormat="1" ht="17.4" spans="1:8">
      <c r="A1" s="9" t="s">
        <v>0</v>
      </c>
      <c r="B1" s="10"/>
      <c r="C1" s="11"/>
      <c r="D1" s="12"/>
      <c r="E1" s="12"/>
      <c r="F1" s="12"/>
      <c r="G1" s="13"/>
      <c r="H1" s="13"/>
    </row>
    <row r="2" spans="2:3">
      <c r="B2" s="11"/>
      <c r="C2" s="11"/>
    </row>
    <row r="3" ht="17.4" spans="2:4">
      <c r="B3" s="10" t="s">
        <v>200</v>
      </c>
      <c r="C3" s="11"/>
      <c r="D3" s="14"/>
    </row>
    <row r="4" spans="4:8">
      <c r="D4" s="15"/>
      <c r="E4" s="15"/>
      <c r="F4" s="16"/>
      <c r="G4" s="17"/>
      <c r="H4" s="18" t="s">
        <v>201</v>
      </c>
    </row>
    <row r="5" s="2" customFormat="1" ht="90" spans="1:8">
      <c r="A5" s="19" t="s">
        <v>3</v>
      </c>
      <c r="B5" s="20" t="s">
        <v>4</v>
      </c>
      <c r="C5" s="20"/>
      <c r="D5" s="20" t="s">
        <v>202</v>
      </c>
      <c r="E5" s="21" t="s">
        <v>203</v>
      </c>
      <c r="F5" s="21" t="s">
        <v>204</v>
      </c>
      <c r="G5" s="22" t="s">
        <v>205</v>
      </c>
      <c r="H5" s="22" t="s">
        <v>206</v>
      </c>
    </row>
    <row r="6" spans="1:8">
      <c r="A6" s="23"/>
      <c r="B6" s="24" t="s">
        <v>207</v>
      </c>
      <c r="C6" s="24"/>
      <c r="D6" s="25"/>
      <c r="E6" s="25"/>
      <c r="F6" s="25"/>
      <c r="G6" s="26"/>
      <c r="H6" s="26"/>
    </row>
    <row r="7" s="3" customFormat="1" ht="16.5" customHeight="1" spans="1:8">
      <c r="A7" s="27" t="s">
        <v>208</v>
      </c>
      <c r="B7" s="28" t="s">
        <v>209</v>
      </c>
      <c r="C7" s="29">
        <f t="shared" ref="C7" si="0">+C8+C16</f>
        <v>0</v>
      </c>
      <c r="D7" s="29">
        <f t="shared" ref="D7:H7" si="1">+D8+D16</f>
        <v>377005100</v>
      </c>
      <c r="E7" s="29">
        <f t="shared" si="1"/>
        <v>357023000</v>
      </c>
      <c r="F7" s="29">
        <f t="shared" si="1"/>
        <v>0</v>
      </c>
      <c r="G7" s="30">
        <f t="shared" si="1"/>
        <v>341405315.25</v>
      </c>
      <c r="H7" s="30">
        <f t="shared" si="1"/>
        <v>26121610.91</v>
      </c>
    </row>
    <row r="8" s="3" customFormat="1" spans="1:8">
      <c r="A8" s="27" t="s">
        <v>210</v>
      </c>
      <c r="B8" s="31" t="s">
        <v>211</v>
      </c>
      <c r="C8" s="32">
        <f t="shared" ref="C8" si="2">+C9+C10+C13+C11+C12+C15+C176+C14</f>
        <v>0</v>
      </c>
      <c r="D8" s="32">
        <f t="shared" ref="D8:H8" si="3">+D9+D10+D13+D11+D12+D15+D176+D14</f>
        <v>376960100</v>
      </c>
      <c r="E8" s="32">
        <f t="shared" si="3"/>
        <v>356978000</v>
      </c>
      <c r="F8" s="32">
        <f t="shared" si="3"/>
        <v>0</v>
      </c>
      <c r="G8" s="33">
        <f t="shared" si="3"/>
        <v>341385391.56</v>
      </c>
      <c r="H8" s="33">
        <f t="shared" si="3"/>
        <v>26121610.91</v>
      </c>
    </row>
    <row r="9" s="3" customFormat="1" spans="1:8">
      <c r="A9" s="27" t="s">
        <v>212</v>
      </c>
      <c r="B9" s="31" t="s">
        <v>213</v>
      </c>
      <c r="C9" s="32">
        <f t="shared" ref="C9" si="4">+C23</f>
        <v>0</v>
      </c>
      <c r="D9" s="32">
        <f t="shared" ref="D9:H9" si="5">+D23</f>
        <v>4160890</v>
      </c>
      <c r="E9" s="32">
        <f t="shared" si="5"/>
        <v>4160890</v>
      </c>
      <c r="F9" s="32">
        <f t="shared" si="5"/>
        <v>0</v>
      </c>
      <c r="G9" s="33">
        <f t="shared" si="5"/>
        <v>3809847</v>
      </c>
      <c r="H9" s="33">
        <f t="shared" si="5"/>
        <v>476818</v>
      </c>
    </row>
    <row r="10" s="3" customFormat="1" ht="16.5" customHeight="1" spans="1:8">
      <c r="A10" s="27" t="s">
        <v>214</v>
      </c>
      <c r="B10" s="31" t="s">
        <v>215</v>
      </c>
      <c r="C10" s="32">
        <f t="shared" ref="C10" si="6">+C44</f>
        <v>0</v>
      </c>
      <c r="D10" s="32">
        <f t="shared" ref="D10:H10" si="7">+D44</f>
        <v>248106970</v>
      </c>
      <c r="E10" s="32">
        <f t="shared" si="7"/>
        <v>228124870</v>
      </c>
      <c r="F10" s="32">
        <f t="shared" si="7"/>
        <v>0</v>
      </c>
      <c r="G10" s="33">
        <f t="shared" si="7"/>
        <v>216681985.02</v>
      </c>
      <c r="H10" s="33">
        <f t="shared" si="7"/>
        <v>16447555.28</v>
      </c>
    </row>
    <row r="11" s="3" customFormat="1" spans="1:8">
      <c r="A11" s="27" t="s">
        <v>216</v>
      </c>
      <c r="B11" s="31" t="s">
        <v>217</v>
      </c>
      <c r="C11" s="32">
        <f t="shared" ref="C11" si="8">+C72</f>
        <v>0</v>
      </c>
      <c r="D11" s="32">
        <f t="shared" ref="D11:H11" si="9">+D72</f>
        <v>0</v>
      </c>
      <c r="E11" s="32">
        <f t="shared" si="9"/>
        <v>0</v>
      </c>
      <c r="F11" s="32">
        <f t="shared" si="9"/>
        <v>0</v>
      </c>
      <c r="G11" s="33">
        <f t="shared" si="9"/>
        <v>0</v>
      </c>
      <c r="H11" s="33">
        <f t="shared" si="9"/>
        <v>0</v>
      </c>
    </row>
    <row r="12" s="3" customFormat="1" spans="1:8">
      <c r="A12" s="27" t="s">
        <v>218</v>
      </c>
      <c r="B12" s="31" t="s">
        <v>219</v>
      </c>
      <c r="C12" s="32">
        <f t="shared" ref="C12" si="10">C177</f>
        <v>0</v>
      </c>
      <c r="D12" s="32">
        <f t="shared" ref="D12:H12" si="11">D177</f>
        <v>97562080</v>
      </c>
      <c r="E12" s="32">
        <f t="shared" si="11"/>
        <v>97562080</v>
      </c>
      <c r="F12" s="32">
        <f t="shared" si="11"/>
        <v>0</v>
      </c>
      <c r="G12" s="33">
        <f t="shared" si="11"/>
        <v>97209825.25</v>
      </c>
      <c r="H12" s="33">
        <f t="shared" si="11"/>
        <v>9209006</v>
      </c>
    </row>
    <row r="13" s="3" customFormat="1" ht="16.5" customHeight="1" spans="1:8">
      <c r="A13" s="27" t="s">
        <v>220</v>
      </c>
      <c r="B13" s="31" t="s">
        <v>221</v>
      </c>
      <c r="C13" s="32">
        <f t="shared" ref="C13" si="12">C191</f>
        <v>0</v>
      </c>
      <c r="D13" s="32">
        <f t="shared" ref="D13:H13" si="13">D191</f>
        <v>27130160</v>
      </c>
      <c r="E13" s="32">
        <f t="shared" si="13"/>
        <v>27130160</v>
      </c>
      <c r="F13" s="32">
        <f t="shared" si="13"/>
        <v>0</v>
      </c>
      <c r="G13" s="33">
        <f t="shared" si="13"/>
        <v>23856684</v>
      </c>
      <c r="H13" s="33">
        <f t="shared" si="13"/>
        <v>867</v>
      </c>
    </row>
    <row r="14" s="3" customFormat="1" ht="30" spans="1:8">
      <c r="A14" s="27" t="s">
        <v>222</v>
      </c>
      <c r="B14" s="31" t="s">
        <v>223</v>
      </c>
      <c r="C14" s="32">
        <f t="shared" ref="C14" si="14">C198</f>
        <v>0</v>
      </c>
      <c r="D14" s="32">
        <f t="shared" ref="D14:H14" si="15">D198</f>
        <v>0</v>
      </c>
      <c r="E14" s="32">
        <f t="shared" si="15"/>
        <v>0</v>
      </c>
      <c r="F14" s="32">
        <f t="shared" si="15"/>
        <v>0</v>
      </c>
      <c r="G14" s="33">
        <f t="shared" si="15"/>
        <v>0</v>
      </c>
      <c r="H14" s="33">
        <f t="shared" si="15"/>
        <v>0</v>
      </c>
    </row>
    <row r="15" s="3" customFormat="1" ht="16.5" customHeight="1" spans="1:8">
      <c r="A15" s="27" t="s">
        <v>224</v>
      </c>
      <c r="B15" s="31" t="s">
        <v>225</v>
      </c>
      <c r="C15" s="32">
        <f t="shared" ref="C15" si="16">C75</f>
        <v>0</v>
      </c>
      <c r="D15" s="32">
        <f t="shared" ref="D15:H15" si="17">D75</f>
        <v>0</v>
      </c>
      <c r="E15" s="32">
        <f t="shared" si="17"/>
        <v>0</v>
      </c>
      <c r="F15" s="32">
        <f t="shared" si="17"/>
        <v>0</v>
      </c>
      <c r="G15" s="33">
        <f t="shared" si="17"/>
        <v>0</v>
      </c>
      <c r="H15" s="33">
        <f t="shared" si="17"/>
        <v>0</v>
      </c>
    </row>
    <row r="16" s="3" customFormat="1" ht="16.5" customHeight="1" spans="1:8">
      <c r="A16" s="27" t="s">
        <v>226</v>
      </c>
      <c r="B16" s="31" t="s">
        <v>227</v>
      </c>
      <c r="C16" s="32">
        <f t="shared" ref="C16:C17" si="18">C78</f>
        <v>0</v>
      </c>
      <c r="D16" s="32">
        <f t="shared" ref="D16:H16" si="19">D78</f>
        <v>45000</v>
      </c>
      <c r="E16" s="32">
        <f t="shared" si="19"/>
        <v>45000</v>
      </c>
      <c r="F16" s="32">
        <f t="shared" si="19"/>
        <v>0</v>
      </c>
      <c r="G16" s="33">
        <f t="shared" si="19"/>
        <v>19923.69</v>
      </c>
      <c r="H16" s="33">
        <f t="shared" si="19"/>
        <v>0</v>
      </c>
    </row>
    <row r="17" s="3" customFormat="1" spans="1:8">
      <c r="A17" s="27" t="s">
        <v>228</v>
      </c>
      <c r="B17" s="31" t="s">
        <v>229</v>
      </c>
      <c r="C17" s="32">
        <f t="shared" si="18"/>
        <v>0</v>
      </c>
      <c r="D17" s="32">
        <f t="shared" ref="D17:H17" si="20">D79</f>
        <v>45000</v>
      </c>
      <c r="E17" s="32">
        <f t="shared" si="20"/>
        <v>45000</v>
      </c>
      <c r="F17" s="32">
        <f t="shared" si="20"/>
        <v>0</v>
      </c>
      <c r="G17" s="33">
        <f t="shared" si="20"/>
        <v>19923.69</v>
      </c>
      <c r="H17" s="33">
        <f t="shared" si="20"/>
        <v>0</v>
      </c>
    </row>
    <row r="18" s="3" customFormat="1" spans="1:8">
      <c r="A18" s="27" t="s">
        <v>230</v>
      </c>
      <c r="B18" s="31" t="s">
        <v>231</v>
      </c>
      <c r="C18" s="32">
        <f t="shared" ref="C18" si="21">C176+C197</f>
        <v>0</v>
      </c>
      <c r="D18" s="32">
        <f t="shared" ref="D18:H18" si="22">D176+D197</f>
        <v>0</v>
      </c>
      <c r="E18" s="32">
        <f t="shared" si="22"/>
        <v>0</v>
      </c>
      <c r="F18" s="32">
        <f t="shared" si="22"/>
        <v>0</v>
      </c>
      <c r="G18" s="33">
        <f t="shared" si="22"/>
        <v>-179496.71</v>
      </c>
      <c r="H18" s="33">
        <f t="shared" si="22"/>
        <v>-14234.37</v>
      </c>
    </row>
    <row r="19" s="3" customFormat="1" ht="16.5" customHeight="1" spans="1:8">
      <c r="A19" s="27" t="s">
        <v>232</v>
      </c>
      <c r="B19" s="31" t="s">
        <v>233</v>
      </c>
      <c r="C19" s="32">
        <f t="shared" ref="C19" si="23">+C20+C16</f>
        <v>0</v>
      </c>
      <c r="D19" s="32">
        <f t="shared" ref="D19:H19" si="24">+D20+D16</f>
        <v>377005100</v>
      </c>
      <c r="E19" s="32">
        <f t="shared" si="24"/>
        <v>357023000</v>
      </c>
      <c r="F19" s="32">
        <f t="shared" si="24"/>
        <v>0</v>
      </c>
      <c r="G19" s="33">
        <f t="shared" si="24"/>
        <v>341405315.25</v>
      </c>
      <c r="H19" s="33">
        <f t="shared" si="24"/>
        <v>26121610.91</v>
      </c>
    </row>
    <row r="20" s="3" customFormat="1" spans="1:8">
      <c r="A20" s="27" t="s">
        <v>234</v>
      </c>
      <c r="B20" s="31" t="s">
        <v>211</v>
      </c>
      <c r="C20" s="32">
        <f t="shared" ref="C20" si="25">C9+C10+C11+C12+C13+C15+C176+C14</f>
        <v>0</v>
      </c>
      <c r="D20" s="32">
        <f t="shared" ref="D20:H20" si="26">D9+D10+D11+D12+D13+D15+D176+D14</f>
        <v>376960100</v>
      </c>
      <c r="E20" s="32">
        <f t="shared" si="26"/>
        <v>356978000</v>
      </c>
      <c r="F20" s="32">
        <f t="shared" si="26"/>
        <v>0</v>
      </c>
      <c r="G20" s="33">
        <f t="shared" si="26"/>
        <v>341385391.56</v>
      </c>
      <c r="H20" s="33">
        <f t="shared" si="26"/>
        <v>26121610.91</v>
      </c>
    </row>
    <row r="21" s="3" customFormat="1" ht="16.5" customHeight="1" spans="1:8">
      <c r="A21" s="34" t="s">
        <v>235</v>
      </c>
      <c r="B21" s="31" t="s">
        <v>236</v>
      </c>
      <c r="C21" s="32">
        <f t="shared" ref="C21" si="27">+C22+C78+C176</f>
        <v>0</v>
      </c>
      <c r="D21" s="32">
        <f t="shared" ref="D21:H21" si="28">+D22+D78+D176</f>
        <v>349874940</v>
      </c>
      <c r="E21" s="32">
        <f t="shared" si="28"/>
        <v>329892840</v>
      </c>
      <c r="F21" s="32">
        <f t="shared" si="28"/>
        <v>0</v>
      </c>
      <c r="G21" s="33">
        <f t="shared" si="28"/>
        <v>317548631.25</v>
      </c>
      <c r="H21" s="33">
        <f t="shared" si="28"/>
        <v>26120743.91</v>
      </c>
    </row>
    <row r="22" s="3" customFormat="1" ht="16.5" customHeight="1" spans="1:8">
      <c r="A22" s="27" t="s">
        <v>237</v>
      </c>
      <c r="B22" s="31" t="s">
        <v>211</v>
      </c>
      <c r="C22" s="32">
        <f t="shared" ref="C22" si="29">+C23+C44+C72+C177+C75+C198</f>
        <v>0</v>
      </c>
      <c r="D22" s="32">
        <f t="shared" ref="D22:H22" si="30">+D23+D44+D72+D177+D75+D198</f>
        <v>349829940</v>
      </c>
      <c r="E22" s="32">
        <f t="shared" si="30"/>
        <v>329847840</v>
      </c>
      <c r="F22" s="32">
        <f t="shared" si="30"/>
        <v>0</v>
      </c>
      <c r="G22" s="33">
        <f t="shared" si="30"/>
        <v>317701657.27</v>
      </c>
      <c r="H22" s="33">
        <f t="shared" si="30"/>
        <v>26133379.28</v>
      </c>
    </row>
    <row r="23" s="3" customFormat="1" spans="1:8">
      <c r="A23" s="27" t="s">
        <v>238</v>
      </c>
      <c r="B23" s="31" t="s">
        <v>213</v>
      </c>
      <c r="C23" s="32">
        <f t="shared" ref="C23" si="31">+C24+C36+C34</f>
        <v>0</v>
      </c>
      <c r="D23" s="32">
        <f t="shared" ref="D23:H23" si="32">+D24+D36+D34</f>
        <v>4160890</v>
      </c>
      <c r="E23" s="32">
        <f t="shared" si="32"/>
        <v>4160890</v>
      </c>
      <c r="F23" s="32">
        <f t="shared" si="32"/>
        <v>0</v>
      </c>
      <c r="G23" s="33">
        <f t="shared" si="32"/>
        <v>3809847</v>
      </c>
      <c r="H23" s="33">
        <f t="shared" si="32"/>
        <v>476818</v>
      </c>
    </row>
    <row r="24" s="3" customFormat="1" ht="16.5" customHeight="1" spans="1:8">
      <c r="A24" s="27" t="s">
        <v>239</v>
      </c>
      <c r="B24" s="31" t="s">
        <v>240</v>
      </c>
      <c r="C24" s="32">
        <f t="shared" ref="C24" si="33">C25+C28+C29+C30+C32+C26+C27+C31</f>
        <v>0</v>
      </c>
      <c r="D24" s="32">
        <f t="shared" ref="D24:H24" si="34">D25+D28+D29+D30+D32+D26+D27+D31</f>
        <v>4019230</v>
      </c>
      <c r="E24" s="32">
        <f t="shared" si="34"/>
        <v>4019230</v>
      </c>
      <c r="F24" s="32">
        <f t="shared" si="34"/>
        <v>0</v>
      </c>
      <c r="G24" s="33">
        <f t="shared" si="34"/>
        <v>3677395</v>
      </c>
      <c r="H24" s="33">
        <f t="shared" si="34"/>
        <v>469822</v>
      </c>
    </row>
    <row r="25" s="3" customFormat="1" ht="16.5" customHeight="1" spans="1:8">
      <c r="A25" s="35" t="s">
        <v>241</v>
      </c>
      <c r="B25" s="36" t="s">
        <v>242</v>
      </c>
      <c r="C25" s="37"/>
      <c r="D25" s="38">
        <v>3205890</v>
      </c>
      <c r="E25" s="38">
        <v>3205890</v>
      </c>
      <c r="F25" s="38"/>
      <c r="G25" s="39">
        <f>2433341+263803+242098</f>
        <v>2939242</v>
      </c>
      <c r="H25" s="39">
        <v>242098</v>
      </c>
    </row>
    <row r="26" s="3" customFormat="1" spans="1:8">
      <c r="A26" s="35" t="s">
        <v>243</v>
      </c>
      <c r="B26" s="36" t="s">
        <v>244</v>
      </c>
      <c r="C26" s="37"/>
      <c r="D26" s="38">
        <v>411520</v>
      </c>
      <c r="E26" s="38">
        <v>411520</v>
      </c>
      <c r="F26" s="38"/>
      <c r="G26" s="39">
        <f>314781+32199+30163</f>
        <v>377143</v>
      </c>
      <c r="H26" s="39">
        <v>30163</v>
      </c>
    </row>
    <row r="27" s="3" customFormat="1" spans="1:8">
      <c r="A27" s="35" t="s">
        <v>245</v>
      </c>
      <c r="B27" s="36" t="s">
        <v>246</v>
      </c>
      <c r="C27" s="37"/>
      <c r="D27" s="38">
        <v>16430</v>
      </c>
      <c r="E27" s="38">
        <v>16430</v>
      </c>
      <c r="F27" s="38"/>
      <c r="G27" s="39">
        <f>12279+1054+623</f>
        <v>13956</v>
      </c>
      <c r="H27" s="39">
        <v>623</v>
      </c>
    </row>
    <row r="28" s="3" customFormat="1" ht="16.5" customHeight="1" spans="1:8">
      <c r="A28" s="35" t="s">
        <v>247</v>
      </c>
      <c r="B28" s="40" t="s">
        <v>248</v>
      </c>
      <c r="C28" s="37"/>
      <c r="D28" s="38">
        <v>13700</v>
      </c>
      <c r="E28" s="38">
        <v>13700</v>
      </c>
      <c r="F28" s="38"/>
      <c r="G28" s="39">
        <f>9768+1332+1184</f>
        <v>12284</v>
      </c>
      <c r="H28" s="39">
        <v>1184</v>
      </c>
    </row>
    <row r="29" s="3" customFormat="1" ht="16.5" customHeight="1" spans="1:8">
      <c r="A29" s="35" t="s">
        <v>249</v>
      </c>
      <c r="B29" s="40" t="s">
        <v>250</v>
      </c>
      <c r="C29" s="37"/>
      <c r="D29" s="38">
        <v>200</v>
      </c>
      <c r="E29" s="38">
        <v>200</v>
      </c>
      <c r="F29" s="38"/>
      <c r="G29" s="39">
        <f>80</f>
        <v>80</v>
      </c>
      <c r="H29" s="39">
        <v>80</v>
      </c>
    </row>
    <row r="30" ht="16.5" customHeight="1" spans="1:8">
      <c r="A30" s="35" t="s">
        <v>251</v>
      </c>
      <c r="B30" s="40" t="s">
        <v>252</v>
      </c>
      <c r="C30" s="37"/>
      <c r="D30" s="38"/>
      <c r="E30" s="38"/>
      <c r="F30" s="38"/>
      <c r="G30" s="39"/>
      <c r="H30" s="39"/>
    </row>
    <row r="31" ht="16.5" customHeight="1" spans="1:8">
      <c r="A31" s="35" t="s">
        <v>253</v>
      </c>
      <c r="B31" s="40" t="s">
        <v>254</v>
      </c>
      <c r="C31" s="37"/>
      <c r="D31" s="38">
        <v>142410</v>
      </c>
      <c r="E31" s="38">
        <v>142410</v>
      </c>
      <c r="F31" s="38"/>
      <c r="G31" s="39">
        <f>103856+10566+9888</f>
        <v>124310</v>
      </c>
      <c r="H31" s="39">
        <v>9888</v>
      </c>
    </row>
    <row r="32" ht="16.5" customHeight="1" spans="1:8">
      <c r="A32" s="35" t="s">
        <v>255</v>
      </c>
      <c r="B32" s="40" t="s">
        <v>256</v>
      </c>
      <c r="C32" s="37"/>
      <c r="D32" s="38">
        <v>229080</v>
      </c>
      <c r="E32" s="38">
        <v>229080</v>
      </c>
      <c r="F32" s="38"/>
      <c r="G32" s="39">
        <f>19939+4655+185786</f>
        <v>210380</v>
      </c>
      <c r="H32" s="39">
        <v>185786</v>
      </c>
    </row>
    <row r="33" ht="16.5" customHeight="1" spans="1:8">
      <c r="A33" s="35"/>
      <c r="B33" s="40" t="s">
        <v>257</v>
      </c>
      <c r="C33" s="37"/>
      <c r="D33" s="38">
        <v>145480</v>
      </c>
      <c r="E33" s="38">
        <v>145480</v>
      </c>
      <c r="F33" s="38"/>
      <c r="G33" s="39">
        <v>145475</v>
      </c>
      <c r="H33" s="39">
        <v>145475</v>
      </c>
    </row>
    <row r="34" ht="16.5" customHeight="1" spans="1:8">
      <c r="A34" s="35" t="s">
        <v>258</v>
      </c>
      <c r="B34" s="31" t="s">
        <v>259</v>
      </c>
      <c r="C34" s="37">
        <f t="shared" ref="C34:H34" si="35">C35</f>
        <v>0</v>
      </c>
      <c r="D34" s="37">
        <f t="shared" si="35"/>
        <v>54500</v>
      </c>
      <c r="E34" s="37">
        <f t="shared" si="35"/>
        <v>54500</v>
      </c>
      <c r="F34" s="37">
        <f t="shared" si="35"/>
        <v>0</v>
      </c>
      <c r="G34" s="41">
        <f t="shared" si="35"/>
        <v>54500</v>
      </c>
      <c r="H34" s="41">
        <f t="shared" si="35"/>
        <v>0</v>
      </c>
    </row>
    <row r="35" ht="16.5" customHeight="1" spans="1:8">
      <c r="A35" s="35" t="s">
        <v>260</v>
      </c>
      <c r="B35" s="40" t="s">
        <v>261</v>
      </c>
      <c r="C35" s="37"/>
      <c r="D35" s="38">
        <v>54500</v>
      </c>
      <c r="E35" s="38">
        <v>54500</v>
      </c>
      <c r="F35" s="38"/>
      <c r="G35" s="39">
        <f>54500</f>
        <v>54500</v>
      </c>
      <c r="H35" s="39"/>
    </row>
    <row r="36" ht="16.5" customHeight="1" spans="1:8">
      <c r="A36" s="27" t="s">
        <v>262</v>
      </c>
      <c r="B36" s="31" t="s">
        <v>263</v>
      </c>
      <c r="C36" s="32">
        <f t="shared" ref="C36:H36" si="36">+C37+C38+C39+C40+C41+C42+C43</f>
        <v>0</v>
      </c>
      <c r="D36" s="32">
        <f t="shared" si="36"/>
        <v>87160</v>
      </c>
      <c r="E36" s="32">
        <f t="shared" si="36"/>
        <v>87160</v>
      </c>
      <c r="F36" s="32">
        <f t="shared" si="36"/>
        <v>0</v>
      </c>
      <c r="G36" s="33">
        <f t="shared" si="36"/>
        <v>77952</v>
      </c>
      <c r="H36" s="33">
        <f t="shared" si="36"/>
        <v>6996</v>
      </c>
    </row>
    <row r="37" ht="16.5" customHeight="1" spans="1:8">
      <c r="A37" s="35" t="s">
        <v>264</v>
      </c>
      <c r="B37" s="40" t="s">
        <v>265</v>
      </c>
      <c r="C37" s="37"/>
      <c r="D37" s="38"/>
      <c r="E37" s="38"/>
      <c r="F37" s="38"/>
      <c r="G37" s="39"/>
      <c r="H37" s="39"/>
    </row>
    <row r="38" ht="16.5" customHeight="1" spans="1:8">
      <c r="A38" s="35" t="s">
        <v>266</v>
      </c>
      <c r="B38" s="40" t="s">
        <v>267</v>
      </c>
      <c r="C38" s="37"/>
      <c r="D38" s="38"/>
      <c r="E38" s="38"/>
      <c r="F38" s="38"/>
      <c r="G38" s="39"/>
      <c r="H38" s="39"/>
    </row>
    <row r="39" s="3" customFormat="1" ht="16.5" customHeight="1" spans="1:8">
      <c r="A39" s="35" t="s">
        <v>268</v>
      </c>
      <c r="B39" s="40" t="s">
        <v>269</v>
      </c>
      <c r="C39" s="37"/>
      <c r="D39" s="38"/>
      <c r="E39" s="38"/>
      <c r="F39" s="38"/>
      <c r="G39" s="39"/>
      <c r="H39" s="39"/>
    </row>
    <row r="40" ht="16.5" customHeight="1" spans="1:8">
      <c r="A40" s="35" t="s">
        <v>270</v>
      </c>
      <c r="B40" s="42" t="s">
        <v>271</v>
      </c>
      <c r="C40" s="37"/>
      <c r="D40" s="38"/>
      <c r="E40" s="38"/>
      <c r="F40" s="38"/>
      <c r="G40" s="39"/>
      <c r="H40" s="39"/>
    </row>
    <row r="41" ht="16.5" customHeight="1" spans="1:8">
      <c r="A41" s="35" t="s">
        <v>272</v>
      </c>
      <c r="B41" s="42" t="s">
        <v>43</v>
      </c>
      <c r="C41" s="37"/>
      <c r="D41" s="38"/>
      <c r="E41" s="38"/>
      <c r="F41" s="38"/>
      <c r="G41" s="39"/>
      <c r="H41" s="39"/>
    </row>
    <row r="42" ht="16.5" customHeight="1" spans="1:8">
      <c r="A42" s="35" t="s">
        <v>273</v>
      </c>
      <c r="B42" s="42" t="s">
        <v>274</v>
      </c>
      <c r="C42" s="37"/>
      <c r="D42" s="38">
        <v>87160</v>
      </c>
      <c r="E42" s="38">
        <v>87160</v>
      </c>
      <c r="F42" s="38"/>
      <c r="G42" s="39">
        <f>64056+6900+6996</f>
        <v>77952</v>
      </c>
      <c r="H42" s="39">
        <v>6996</v>
      </c>
    </row>
    <row r="43" ht="16.5" customHeight="1" spans="1:8">
      <c r="A43" s="35" t="s">
        <v>275</v>
      </c>
      <c r="B43" s="42" t="s">
        <v>276</v>
      </c>
      <c r="C43" s="37"/>
      <c r="D43" s="38"/>
      <c r="E43" s="38"/>
      <c r="F43" s="38"/>
      <c r="G43" s="39"/>
      <c r="H43" s="39"/>
    </row>
    <row r="44" ht="16.5" customHeight="1" spans="1:8">
      <c r="A44" s="27" t="s">
        <v>277</v>
      </c>
      <c r="B44" s="31" t="s">
        <v>215</v>
      </c>
      <c r="C44" s="32">
        <f t="shared" ref="C44" si="37">+C45+C59+C58+C61+C64+C66+C67+C69+C65+C68</f>
        <v>0</v>
      </c>
      <c r="D44" s="32">
        <f t="shared" ref="D44:H44" si="38">+D45+D59+D58+D61+D64+D66+D67+D69+D65+D68</f>
        <v>248106970</v>
      </c>
      <c r="E44" s="32">
        <f t="shared" si="38"/>
        <v>228124870</v>
      </c>
      <c r="F44" s="32">
        <f t="shared" si="38"/>
        <v>0</v>
      </c>
      <c r="G44" s="33">
        <f t="shared" si="38"/>
        <v>216681985.02</v>
      </c>
      <c r="H44" s="33">
        <f t="shared" si="38"/>
        <v>16447555.28</v>
      </c>
    </row>
    <row r="45" ht="16.5" customHeight="1" spans="1:8">
      <c r="A45" s="27" t="s">
        <v>278</v>
      </c>
      <c r="B45" s="31" t="s">
        <v>279</v>
      </c>
      <c r="C45" s="32">
        <f t="shared" ref="C45" si="39">+C46+C47+C48+C49+C50+C51+C52+C53+C55</f>
        <v>0</v>
      </c>
      <c r="D45" s="32">
        <f t="shared" ref="D45:H45" si="40">+D46+D47+D48+D49+D50+D51+D52+D53+D55</f>
        <v>248001360</v>
      </c>
      <c r="E45" s="32">
        <f t="shared" si="40"/>
        <v>228019260</v>
      </c>
      <c r="F45" s="32">
        <f t="shared" si="40"/>
        <v>0</v>
      </c>
      <c r="G45" s="33">
        <f t="shared" si="40"/>
        <v>216593725.07</v>
      </c>
      <c r="H45" s="33">
        <f t="shared" si="40"/>
        <v>16433865.23</v>
      </c>
    </row>
    <row r="46" s="3" customFormat="1" ht="16.5" customHeight="1" spans="1:8">
      <c r="A46" s="35" t="s">
        <v>280</v>
      </c>
      <c r="B46" s="40" t="s">
        <v>281</v>
      </c>
      <c r="C46" s="37"/>
      <c r="D46" s="38">
        <v>42060</v>
      </c>
      <c r="E46" s="38">
        <v>42060</v>
      </c>
      <c r="F46" s="38"/>
      <c r="G46" s="39">
        <f>24838.31+4187.62+4932.55</f>
        <v>33958.48</v>
      </c>
      <c r="H46" s="39">
        <v>4932.55</v>
      </c>
    </row>
    <row r="47" s="3" customFormat="1" ht="16.5" customHeight="1" spans="1:8">
      <c r="A47" s="35" t="s">
        <v>282</v>
      </c>
      <c r="B47" s="40" t="s">
        <v>283</v>
      </c>
      <c r="C47" s="37"/>
      <c r="D47" s="38">
        <v>2000</v>
      </c>
      <c r="E47" s="38">
        <v>2000</v>
      </c>
      <c r="F47" s="38"/>
      <c r="G47" s="39">
        <f>817.4+721.35</f>
        <v>1538.75</v>
      </c>
      <c r="H47" s="39">
        <v>721.35</v>
      </c>
    </row>
    <row r="48" ht="16.5" customHeight="1" spans="1:8">
      <c r="A48" s="35" t="s">
        <v>284</v>
      </c>
      <c r="B48" s="40" t="s">
        <v>285</v>
      </c>
      <c r="C48" s="37"/>
      <c r="D48" s="38">
        <v>60000</v>
      </c>
      <c r="E48" s="38">
        <v>60000</v>
      </c>
      <c r="F48" s="38"/>
      <c r="G48" s="39">
        <f>43657.74+3014.41+1297.05</f>
        <v>47969.2</v>
      </c>
      <c r="H48" s="39">
        <v>1297.05</v>
      </c>
    </row>
    <row r="49" ht="16.5" customHeight="1" spans="1:8">
      <c r="A49" s="35" t="s">
        <v>286</v>
      </c>
      <c r="B49" s="40" t="s">
        <v>287</v>
      </c>
      <c r="C49" s="37"/>
      <c r="D49" s="38">
        <v>12000</v>
      </c>
      <c r="E49" s="38">
        <v>12000</v>
      </c>
      <c r="F49" s="38"/>
      <c r="G49" s="39">
        <f>8200+1103.22+1106.98</f>
        <v>10410.2</v>
      </c>
      <c r="H49" s="39">
        <v>1106.98</v>
      </c>
    </row>
    <row r="50" ht="16.5" customHeight="1" spans="1:8">
      <c r="A50" s="35" t="s">
        <v>288</v>
      </c>
      <c r="B50" s="40" t="s">
        <v>289</v>
      </c>
      <c r="C50" s="37"/>
      <c r="D50" s="38">
        <v>8500</v>
      </c>
      <c r="E50" s="38">
        <v>8500</v>
      </c>
      <c r="F50" s="38"/>
      <c r="G50" s="39">
        <f>4510.23+3989.68</f>
        <v>8499.91</v>
      </c>
      <c r="H50" s="39">
        <v>3989.68</v>
      </c>
    </row>
    <row r="51" ht="16.5" customHeight="1" spans="1:8">
      <c r="A51" s="35" t="s">
        <v>290</v>
      </c>
      <c r="B51" s="40" t="s">
        <v>291</v>
      </c>
      <c r="C51" s="37"/>
      <c r="D51" s="38">
        <v>1000</v>
      </c>
      <c r="E51" s="38">
        <v>1000</v>
      </c>
      <c r="F51" s="38"/>
      <c r="G51" s="39">
        <f>503.35+84.06</f>
        <v>587.41</v>
      </c>
      <c r="H51" s="39"/>
    </row>
    <row r="52" ht="16.5" customHeight="1" spans="1:8">
      <c r="A52" s="35" t="s">
        <v>292</v>
      </c>
      <c r="B52" s="40" t="s">
        <v>293</v>
      </c>
      <c r="C52" s="37"/>
      <c r="D52" s="38">
        <v>45440</v>
      </c>
      <c r="E52" s="38">
        <v>45440</v>
      </c>
      <c r="F52" s="38"/>
      <c r="G52" s="39">
        <f>34672.73+4562.62+2700.28</f>
        <v>41935.63</v>
      </c>
      <c r="H52" s="39">
        <v>2700.28</v>
      </c>
    </row>
    <row r="53" ht="16.5" customHeight="1" spans="1:8">
      <c r="A53" s="27" t="s">
        <v>294</v>
      </c>
      <c r="B53" s="31" t="s">
        <v>295</v>
      </c>
      <c r="C53" s="43">
        <f t="shared" ref="C53:H53" si="41">+C54+C89</f>
        <v>0</v>
      </c>
      <c r="D53" s="43">
        <f t="shared" si="41"/>
        <v>247643740</v>
      </c>
      <c r="E53" s="43">
        <f t="shared" si="41"/>
        <v>227661640</v>
      </c>
      <c r="F53" s="43">
        <f t="shared" si="41"/>
        <v>0</v>
      </c>
      <c r="G53" s="44">
        <f t="shared" si="41"/>
        <v>216325793.35</v>
      </c>
      <c r="H53" s="44">
        <f t="shared" si="41"/>
        <v>16408249.03</v>
      </c>
    </row>
    <row r="54" ht="16.5" customHeight="1" spans="1:8">
      <c r="A54" s="45" t="s">
        <v>296</v>
      </c>
      <c r="B54" s="46" t="s">
        <v>297</v>
      </c>
      <c r="C54" s="47"/>
      <c r="D54" s="38">
        <v>14500</v>
      </c>
      <c r="E54" s="38">
        <v>14500</v>
      </c>
      <c r="F54" s="38"/>
      <c r="G54" s="39">
        <f>7477.8+5940.53</f>
        <v>13418.33</v>
      </c>
      <c r="H54" s="39">
        <v>5940.53</v>
      </c>
    </row>
    <row r="55" s="3" customFormat="1" ht="16.5" customHeight="1" spans="1:8">
      <c r="A55" s="35" t="s">
        <v>298</v>
      </c>
      <c r="B55" s="40" t="s">
        <v>299</v>
      </c>
      <c r="C55" s="37"/>
      <c r="D55" s="38">
        <v>186620</v>
      </c>
      <c r="E55" s="38">
        <v>186620</v>
      </c>
      <c r="F55" s="38"/>
      <c r="G55" s="39">
        <f>103992.7+8171.13+10868.31</f>
        <v>123032.14</v>
      </c>
      <c r="H55" s="39">
        <v>10868.31</v>
      </c>
    </row>
    <row r="56" s="4" customFormat="1" ht="16.5" customHeight="1" spans="1:8">
      <c r="A56" s="35"/>
      <c r="B56" s="40" t="s">
        <v>300</v>
      </c>
      <c r="C56" s="37"/>
      <c r="D56" s="38">
        <v>10620</v>
      </c>
      <c r="E56" s="38">
        <v>10620</v>
      </c>
      <c r="F56" s="38"/>
      <c r="G56" s="39">
        <f>126.7</f>
        <v>126.7</v>
      </c>
      <c r="H56" s="39"/>
    </row>
    <row r="57" ht="16.5" customHeight="1" spans="1:8">
      <c r="A57" s="35"/>
      <c r="B57" s="40" t="s">
        <v>301</v>
      </c>
      <c r="C57" s="37"/>
      <c r="D57" s="38">
        <v>56000</v>
      </c>
      <c r="E57" s="38">
        <v>56000</v>
      </c>
      <c r="F57" s="38"/>
      <c r="G57" s="39">
        <f>18658.92</f>
        <v>18658.92</v>
      </c>
      <c r="H57" s="39"/>
    </row>
    <row r="58" s="3" customFormat="1" ht="16.5" customHeight="1" spans="1:8">
      <c r="A58" s="27" t="s">
        <v>302</v>
      </c>
      <c r="B58" s="40" t="s">
        <v>303</v>
      </c>
      <c r="C58" s="37"/>
      <c r="D58" s="38">
        <v>22000</v>
      </c>
      <c r="E58" s="38">
        <v>22000</v>
      </c>
      <c r="F58" s="38"/>
      <c r="G58" s="39">
        <f>21902.93</f>
        <v>21902.93</v>
      </c>
      <c r="H58" s="39"/>
    </row>
    <row r="59" s="3" customFormat="1" ht="16.5" customHeight="1" spans="1:8">
      <c r="A59" s="27" t="s">
        <v>304</v>
      </c>
      <c r="B59" s="31" t="s">
        <v>305</v>
      </c>
      <c r="C59" s="48">
        <f t="shared" ref="C59:H59" si="42">+C60</f>
        <v>0</v>
      </c>
      <c r="D59" s="48">
        <f t="shared" si="42"/>
        <v>27120</v>
      </c>
      <c r="E59" s="48">
        <f t="shared" si="42"/>
        <v>27120</v>
      </c>
      <c r="F59" s="48">
        <f t="shared" si="42"/>
        <v>0</v>
      </c>
      <c r="G59" s="49">
        <f t="shared" si="42"/>
        <v>16482.09</v>
      </c>
      <c r="H59" s="49">
        <f t="shared" si="42"/>
        <v>8264.15</v>
      </c>
    </row>
    <row r="60" s="3" customFormat="1" ht="16.5" customHeight="1" spans="1:8">
      <c r="A60" s="35" t="s">
        <v>306</v>
      </c>
      <c r="B60" s="40" t="s">
        <v>307</v>
      </c>
      <c r="C60" s="37"/>
      <c r="D60" s="38">
        <v>27120</v>
      </c>
      <c r="E60" s="38">
        <v>27120</v>
      </c>
      <c r="F60" s="38"/>
      <c r="G60" s="39">
        <f>6141.44+2076.5+8264.15</f>
        <v>16482.09</v>
      </c>
      <c r="H60" s="39">
        <v>8264.15</v>
      </c>
    </row>
    <row r="61" s="3" customFormat="1" ht="16.5" customHeight="1" spans="1:8">
      <c r="A61" s="27" t="s">
        <v>308</v>
      </c>
      <c r="B61" s="31" t="s">
        <v>309</v>
      </c>
      <c r="C61" s="32">
        <f t="shared" ref="C61:H61" si="43">+C62+C63</f>
        <v>0</v>
      </c>
      <c r="D61" s="32">
        <f t="shared" si="43"/>
        <v>880</v>
      </c>
      <c r="E61" s="32">
        <f t="shared" si="43"/>
        <v>880</v>
      </c>
      <c r="F61" s="32">
        <f t="shared" si="43"/>
        <v>0</v>
      </c>
      <c r="G61" s="33">
        <f t="shared" si="43"/>
        <v>875</v>
      </c>
      <c r="H61" s="33">
        <f t="shared" si="43"/>
        <v>0</v>
      </c>
    </row>
    <row r="62" ht="16.5" customHeight="1" spans="1:8">
      <c r="A62" s="27" t="s">
        <v>310</v>
      </c>
      <c r="B62" s="40" t="s">
        <v>311</v>
      </c>
      <c r="C62" s="37"/>
      <c r="D62" s="38">
        <v>880</v>
      </c>
      <c r="E62" s="38">
        <v>880</v>
      </c>
      <c r="F62" s="38"/>
      <c r="G62" s="39">
        <f>595+280</f>
        <v>875</v>
      </c>
      <c r="H62" s="39"/>
    </row>
    <row r="63" s="3" customFormat="1" ht="16.5" customHeight="1" spans="1:8">
      <c r="A63" s="27" t="s">
        <v>312</v>
      </c>
      <c r="B63" s="40" t="s">
        <v>313</v>
      </c>
      <c r="C63" s="37"/>
      <c r="D63" s="38"/>
      <c r="E63" s="38"/>
      <c r="F63" s="38"/>
      <c r="G63" s="39"/>
      <c r="H63" s="39"/>
    </row>
    <row r="64" ht="16.5" customHeight="1" spans="1:8">
      <c r="A64" s="35" t="s">
        <v>314</v>
      </c>
      <c r="B64" s="40" t="s">
        <v>315</v>
      </c>
      <c r="C64" s="37"/>
      <c r="D64" s="38">
        <v>1500</v>
      </c>
      <c r="E64" s="38">
        <v>1500</v>
      </c>
      <c r="F64" s="38"/>
      <c r="G64" s="39"/>
      <c r="H64" s="39"/>
    </row>
    <row r="65" ht="16.5" customHeight="1" spans="1:8">
      <c r="A65" s="35" t="s">
        <v>316</v>
      </c>
      <c r="B65" s="36" t="s">
        <v>317</v>
      </c>
      <c r="C65" s="37"/>
      <c r="D65" s="38"/>
      <c r="E65" s="38"/>
      <c r="F65" s="38"/>
      <c r="G65" s="39"/>
      <c r="H65" s="39"/>
    </row>
    <row r="66" ht="16.5" customHeight="1" spans="1:8">
      <c r="A66" s="35" t="s">
        <v>318</v>
      </c>
      <c r="B66" s="40" t="s">
        <v>319</v>
      </c>
      <c r="C66" s="37"/>
      <c r="D66" s="38"/>
      <c r="E66" s="38"/>
      <c r="F66" s="38"/>
      <c r="G66" s="39"/>
      <c r="H66" s="39"/>
    </row>
    <row r="67" ht="16.5" customHeight="1" spans="1:8">
      <c r="A67" s="35" t="s">
        <v>320</v>
      </c>
      <c r="B67" s="40" t="s">
        <v>321</v>
      </c>
      <c r="C67" s="37"/>
      <c r="D67" s="38">
        <v>3200</v>
      </c>
      <c r="E67" s="38">
        <v>3200</v>
      </c>
      <c r="F67" s="38"/>
      <c r="G67" s="39">
        <f>999.95+1376.51</f>
        <v>2376.46</v>
      </c>
      <c r="H67" s="39">
        <v>1376.51</v>
      </c>
    </row>
    <row r="68" ht="30" spans="1:8">
      <c r="A68" s="35" t="s">
        <v>322</v>
      </c>
      <c r="B68" s="40" t="s">
        <v>323</v>
      </c>
      <c r="C68" s="37"/>
      <c r="D68" s="38"/>
      <c r="E68" s="38"/>
      <c r="F68" s="38"/>
      <c r="G68" s="39"/>
      <c r="H68" s="39"/>
    </row>
    <row r="69" ht="16.5" customHeight="1" spans="1:8">
      <c r="A69" s="27" t="s">
        <v>324</v>
      </c>
      <c r="B69" s="31" t="s">
        <v>325</v>
      </c>
      <c r="C69" s="48">
        <f t="shared" ref="C69:H69" si="44">+C70+C71</f>
        <v>0</v>
      </c>
      <c r="D69" s="48">
        <f t="shared" si="44"/>
        <v>50910</v>
      </c>
      <c r="E69" s="48">
        <f t="shared" si="44"/>
        <v>50910</v>
      </c>
      <c r="F69" s="48">
        <f t="shared" si="44"/>
        <v>0</v>
      </c>
      <c r="G69" s="49">
        <f t="shared" si="44"/>
        <v>46623.47</v>
      </c>
      <c r="H69" s="49">
        <f t="shared" si="44"/>
        <v>4049.39</v>
      </c>
    </row>
    <row r="70" ht="16.5" customHeight="1" spans="1:8">
      <c r="A70" s="35" t="s">
        <v>326</v>
      </c>
      <c r="B70" s="40" t="s">
        <v>327</v>
      </c>
      <c r="C70" s="37"/>
      <c r="D70" s="38">
        <v>48610</v>
      </c>
      <c r="E70" s="38">
        <v>48610</v>
      </c>
      <c r="F70" s="38"/>
      <c r="G70" s="39">
        <f>36444.51+4049.39+4049.39</f>
        <v>44543.29</v>
      </c>
      <c r="H70" s="39">
        <v>4049.39</v>
      </c>
    </row>
    <row r="71" s="3" customFormat="1" ht="16.5" customHeight="1" spans="1:8">
      <c r="A71" s="35" t="s">
        <v>328</v>
      </c>
      <c r="B71" s="40" t="s">
        <v>329</v>
      </c>
      <c r="C71" s="37"/>
      <c r="D71" s="38">
        <v>2300</v>
      </c>
      <c r="E71" s="38">
        <v>2300</v>
      </c>
      <c r="F71" s="38"/>
      <c r="G71" s="50">
        <f>295.18+1785</f>
        <v>2080.18</v>
      </c>
      <c r="H71" s="50"/>
    </row>
    <row r="72" ht="16.5" customHeight="1" spans="1:8">
      <c r="A72" s="27" t="s">
        <v>330</v>
      </c>
      <c r="B72" s="31" t="s">
        <v>217</v>
      </c>
      <c r="C72" s="29">
        <f>+C73</f>
        <v>0</v>
      </c>
      <c r="D72" s="29">
        <f t="shared" ref="D72:H73" si="45">+D73</f>
        <v>0</v>
      </c>
      <c r="E72" s="29">
        <f t="shared" si="45"/>
        <v>0</v>
      </c>
      <c r="F72" s="29">
        <f t="shared" si="45"/>
        <v>0</v>
      </c>
      <c r="G72" s="30">
        <f t="shared" si="45"/>
        <v>0</v>
      </c>
      <c r="H72" s="30">
        <f t="shared" si="45"/>
        <v>0</v>
      </c>
    </row>
    <row r="73" ht="16.5" customHeight="1" spans="1:8">
      <c r="A73" s="51" t="s">
        <v>331</v>
      </c>
      <c r="B73" s="31" t="s">
        <v>332</v>
      </c>
      <c r="C73" s="29">
        <f>+C74</f>
        <v>0</v>
      </c>
      <c r="D73" s="29">
        <f t="shared" si="45"/>
        <v>0</v>
      </c>
      <c r="E73" s="29">
        <f t="shared" si="45"/>
        <v>0</v>
      </c>
      <c r="F73" s="29">
        <f t="shared" si="45"/>
        <v>0</v>
      </c>
      <c r="G73" s="30">
        <f t="shared" si="45"/>
        <v>0</v>
      </c>
      <c r="H73" s="30">
        <f t="shared" si="45"/>
        <v>0</v>
      </c>
    </row>
    <row r="74" s="3" customFormat="1" ht="16.5" customHeight="1" spans="1:8">
      <c r="A74" s="51" t="s">
        <v>333</v>
      </c>
      <c r="B74" s="40" t="s">
        <v>334</v>
      </c>
      <c r="C74" s="37"/>
      <c r="D74" s="38"/>
      <c r="E74" s="38"/>
      <c r="F74" s="38"/>
      <c r="G74" s="39"/>
      <c r="H74" s="39"/>
    </row>
    <row r="75" s="3" customFormat="1" ht="16.5" customHeight="1" spans="1:8">
      <c r="A75" s="51" t="s">
        <v>335</v>
      </c>
      <c r="B75" s="52" t="s">
        <v>225</v>
      </c>
      <c r="C75" s="37">
        <f t="shared" ref="C75:H75" si="46">C76+C77</f>
        <v>0</v>
      </c>
      <c r="D75" s="37">
        <f t="shared" si="46"/>
        <v>0</v>
      </c>
      <c r="E75" s="37">
        <f t="shared" si="46"/>
        <v>0</v>
      </c>
      <c r="F75" s="37">
        <f t="shared" si="46"/>
        <v>0</v>
      </c>
      <c r="G75" s="41">
        <f t="shared" si="46"/>
        <v>0</v>
      </c>
      <c r="H75" s="41">
        <f t="shared" si="46"/>
        <v>0</v>
      </c>
    </row>
    <row r="76" s="3" customFormat="1" ht="16.5" customHeight="1" spans="1:8">
      <c r="A76" s="51" t="s">
        <v>336</v>
      </c>
      <c r="B76" s="53" t="s">
        <v>337</v>
      </c>
      <c r="C76" s="37"/>
      <c r="D76" s="38"/>
      <c r="E76" s="38"/>
      <c r="F76" s="38"/>
      <c r="G76" s="39"/>
      <c r="H76" s="39"/>
    </row>
    <row r="77" ht="16.5" customHeight="1" spans="1:8">
      <c r="A77" s="51" t="s">
        <v>338</v>
      </c>
      <c r="B77" s="53" t="s">
        <v>339</v>
      </c>
      <c r="C77" s="37"/>
      <c r="D77" s="38"/>
      <c r="E77" s="38"/>
      <c r="F77" s="38"/>
      <c r="G77" s="39"/>
      <c r="H77" s="39"/>
    </row>
    <row r="78" s="3" customFormat="1" ht="16.5" customHeight="1" spans="1:8">
      <c r="A78" s="27" t="s">
        <v>340</v>
      </c>
      <c r="B78" s="31" t="s">
        <v>227</v>
      </c>
      <c r="C78" s="32">
        <f t="shared" ref="C78:H78" si="47">+C79</f>
        <v>0</v>
      </c>
      <c r="D78" s="32">
        <f t="shared" si="47"/>
        <v>45000</v>
      </c>
      <c r="E78" s="32">
        <f t="shared" si="47"/>
        <v>45000</v>
      </c>
      <c r="F78" s="32">
        <f t="shared" si="47"/>
        <v>0</v>
      </c>
      <c r="G78" s="33">
        <f t="shared" si="47"/>
        <v>19923.69</v>
      </c>
      <c r="H78" s="33">
        <f t="shared" si="47"/>
        <v>0</v>
      </c>
    </row>
    <row r="79" s="3" customFormat="1" ht="16.5" customHeight="1" spans="1:8">
      <c r="A79" s="27" t="s">
        <v>341</v>
      </c>
      <c r="B79" s="31" t="s">
        <v>229</v>
      </c>
      <c r="C79" s="32">
        <f t="shared" ref="C79" si="48">+C80+C85</f>
        <v>0</v>
      </c>
      <c r="D79" s="32">
        <f t="shared" ref="D79:H79" si="49">+D80+D85</f>
        <v>45000</v>
      </c>
      <c r="E79" s="32">
        <f t="shared" si="49"/>
        <v>45000</v>
      </c>
      <c r="F79" s="32">
        <f t="shared" si="49"/>
        <v>0</v>
      </c>
      <c r="G79" s="33">
        <f t="shared" si="49"/>
        <v>19923.69</v>
      </c>
      <c r="H79" s="33">
        <f t="shared" si="49"/>
        <v>0</v>
      </c>
    </row>
    <row r="80" s="3" customFormat="1" ht="16.5" customHeight="1" spans="1:8">
      <c r="A80" s="27" t="s">
        <v>342</v>
      </c>
      <c r="B80" s="31" t="s">
        <v>343</v>
      </c>
      <c r="C80" s="32">
        <f t="shared" ref="C80" si="50">+C82+C84+C83+C81</f>
        <v>0</v>
      </c>
      <c r="D80" s="32">
        <f t="shared" ref="D80:H80" si="51">+D82+D84+D83+D81</f>
        <v>45000</v>
      </c>
      <c r="E80" s="32">
        <f t="shared" si="51"/>
        <v>45000</v>
      </c>
      <c r="F80" s="32">
        <f t="shared" si="51"/>
        <v>0</v>
      </c>
      <c r="G80" s="33">
        <f t="shared" si="51"/>
        <v>19923.69</v>
      </c>
      <c r="H80" s="33">
        <f t="shared" si="51"/>
        <v>0</v>
      </c>
    </row>
    <row r="81" s="3" customFormat="1" ht="16.5" customHeight="1" spans="1:8">
      <c r="A81" s="27" t="s">
        <v>344</v>
      </c>
      <c r="B81" s="36" t="s">
        <v>345</v>
      </c>
      <c r="C81" s="32"/>
      <c r="D81" s="38"/>
      <c r="E81" s="38"/>
      <c r="F81" s="38"/>
      <c r="G81" s="39"/>
      <c r="H81" s="39"/>
    </row>
    <row r="82" s="3" customFormat="1" ht="16.5" customHeight="1" spans="1:8">
      <c r="A82" s="35" t="s">
        <v>346</v>
      </c>
      <c r="B82" s="40" t="s">
        <v>347</v>
      </c>
      <c r="C82" s="37"/>
      <c r="D82" s="38">
        <v>25000</v>
      </c>
      <c r="E82" s="38">
        <v>25000</v>
      </c>
      <c r="F82" s="38"/>
      <c r="G82" s="39"/>
      <c r="H82" s="39"/>
    </row>
    <row r="83" s="3" customFormat="1" ht="16.5" customHeight="1" spans="1:8">
      <c r="A83" s="35" t="s">
        <v>348</v>
      </c>
      <c r="B83" s="36" t="s">
        <v>349</v>
      </c>
      <c r="C83" s="37"/>
      <c r="D83" s="38">
        <v>20000</v>
      </c>
      <c r="E83" s="38">
        <v>20000</v>
      </c>
      <c r="F83" s="38"/>
      <c r="G83" s="39">
        <f>19923.69</f>
        <v>19923.69</v>
      </c>
      <c r="H83" s="39"/>
    </row>
    <row r="84" ht="16.5" customHeight="1" spans="1:8">
      <c r="A84" s="35" t="s">
        <v>350</v>
      </c>
      <c r="B84" s="40" t="s">
        <v>351</v>
      </c>
      <c r="C84" s="37"/>
      <c r="D84" s="38"/>
      <c r="E84" s="38"/>
      <c r="F84" s="38"/>
      <c r="G84" s="39"/>
      <c r="H84" s="39"/>
    </row>
    <row r="85" ht="16.5" customHeight="1" spans="1:8">
      <c r="A85" s="54" t="s">
        <v>352</v>
      </c>
      <c r="B85" s="36" t="s">
        <v>353</v>
      </c>
      <c r="C85" s="37"/>
      <c r="D85" s="38"/>
      <c r="E85" s="38"/>
      <c r="F85" s="38"/>
      <c r="G85" s="39"/>
      <c r="H85" s="39"/>
    </row>
    <row r="86" ht="16.5" customHeight="1" spans="1:8">
      <c r="A86" s="35" t="s">
        <v>237</v>
      </c>
      <c r="B86" s="40" t="s">
        <v>354</v>
      </c>
      <c r="C86" s="37"/>
      <c r="D86" s="38"/>
      <c r="E86" s="38"/>
      <c r="F86" s="38"/>
      <c r="G86" s="39"/>
      <c r="H86" s="39"/>
    </row>
    <row r="87" ht="16.5" customHeight="1" spans="1:8">
      <c r="A87" s="35" t="s">
        <v>355</v>
      </c>
      <c r="B87" s="40" t="s">
        <v>356</v>
      </c>
      <c r="C87" s="29">
        <f t="shared" ref="C87:H87" si="52">+C44-C89+C23+C78+C177+C75</f>
        <v>0</v>
      </c>
      <c r="D87" s="29">
        <f t="shared" si="52"/>
        <v>102245700</v>
      </c>
      <c r="E87" s="29">
        <f t="shared" si="52"/>
        <v>102245700</v>
      </c>
      <c r="F87" s="29">
        <f t="shared" si="52"/>
        <v>0</v>
      </c>
      <c r="G87" s="30">
        <f t="shared" si="52"/>
        <v>101409205.94</v>
      </c>
      <c r="H87" s="30">
        <f t="shared" si="52"/>
        <v>9731070.78</v>
      </c>
    </row>
    <row r="88" ht="16.5" customHeight="1" spans="1:8">
      <c r="A88" s="35"/>
      <c r="B88" s="40" t="s">
        <v>357</v>
      </c>
      <c r="C88" s="29"/>
      <c r="D88" s="38"/>
      <c r="E88" s="38"/>
      <c r="F88" s="38"/>
      <c r="G88" s="55">
        <f>-230.37</f>
        <v>-230.37</v>
      </c>
      <c r="H88" s="55"/>
    </row>
    <row r="89" ht="16.5" customHeight="1" spans="1:8">
      <c r="A89" s="35" t="s">
        <v>358</v>
      </c>
      <c r="B89" s="31" t="s">
        <v>359</v>
      </c>
      <c r="C89" s="56">
        <f t="shared" ref="C89" si="53">+C90+C135+C159+C161+C172+C174</f>
        <v>0</v>
      </c>
      <c r="D89" s="56">
        <f t="shared" ref="D89:H89" si="54">+D90+D135+D159+D161+D172+D174</f>
        <v>247629240</v>
      </c>
      <c r="E89" s="56">
        <f t="shared" si="54"/>
        <v>227647140</v>
      </c>
      <c r="F89" s="56">
        <f t="shared" si="54"/>
        <v>0</v>
      </c>
      <c r="G89" s="57">
        <f t="shared" si="54"/>
        <v>216312375.02</v>
      </c>
      <c r="H89" s="57">
        <f t="shared" si="54"/>
        <v>16402308.5</v>
      </c>
    </row>
    <row r="90" s="4" customFormat="1" ht="16.5" customHeight="1" spans="1:8">
      <c r="A90" s="27" t="s">
        <v>360</v>
      </c>
      <c r="B90" s="31" t="s">
        <v>361</v>
      </c>
      <c r="C90" s="32">
        <f t="shared" ref="C90" si="55">+C91+C101+C115+C131+C133</f>
        <v>0</v>
      </c>
      <c r="D90" s="32">
        <f t="shared" ref="D90:H90" si="56">+D91+D101+D115+D131+D133</f>
        <v>106544740</v>
      </c>
      <c r="E90" s="32">
        <f t="shared" si="56"/>
        <v>91305650</v>
      </c>
      <c r="F90" s="32">
        <f t="shared" si="56"/>
        <v>0</v>
      </c>
      <c r="G90" s="33">
        <f t="shared" si="56"/>
        <v>90964178.6</v>
      </c>
      <c r="H90" s="33">
        <f t="shared" si="56"/>
        <v>3871274.81</v>
      </c>
    </row>
    <row r="91" s="4" customFormat="1" ht="16.5" customHeight="1" spans="1:8">
      <c r="A91" s="35" t="s">
        <v>362</v>
      </c>
      <c r="B91" s="31" t="s">
        <v>363</v>
      </c>
      <c r="C91" s="29">
        <f t="shared" ref="C91" si="57">+C92+C98+C99+C93+C94</f>
        <v>0</v>
      </c>
      <c r="D91" s="29">
        <f t="shared" ref="D91:H91" si="58">+D92+D98+D99+D93+D94</f>
        <v>51581270</v>
      </c>
      <c r="E91" s="29">
        <f t="shared" si="58"/>
        <v>46457010</v>
      </c>
      <c r="F91" s="29">
        <f t="shared" si="58"/>
        <v>0</v>
      </c>
      <c r="G91" s="30">
        <f t="shared" si="58"/>
        <v>46302046.23</v>
      </c>
      <c r="H91" s="30">
        <f t="shared" si="58"/>
        <v>310335.57</v>
      </c>
    </row>
    <row r="92" s="4" customFormat="1" ht="16.5" customHeight="1" spans="1:8">
      <c r="A92" s="35"/>
      <c r="B92" s="36" t="s">
        <v>364</v>
      </c>
      <c r="C92" s="37"/>
      <c r="D92" s="38">
        <v>48908000</v>
      </c>
      <c r="E92" s="38">
        <v>44150000</v>
      </c>
      <c r="F92" s="38"/>
      <c r="G92" s="39">
        <f>41807410+2342590-57.49</f>
        <v>44149942.51</v>
      </c>
      <c r="H92" s="39">
        <v>-57.49</v>
      </c>
    </row>
    <row r="93" s="4" customFormat="1" ht="16.5" customHeight="1" spans="1:8">
      <c r="A93" s="35"/>
      <c r="B93" s="36" t="s">
        <v>365</v>
      </c>
      <c r="C93" s="37"/>
      <c r="D93" s="38"/>
      <c r="E93" s="38"/>
      <c r="F93" s="38"/>
      <c r="G93" s="39"/>
      <c r="H93" s="39"/>
    </row>
    <row r="94" s="4" customFormat="1" ht="16.5" customHeight="1" spans="1:8">
      <c r="A94" s="35"/>
      <c r="B94" s="58" t="s">
        <v>366</v>
      </c>
      <c r="C94" s="37">
        <f>C95+C96+C97</f>
        <v>0</v>
      </c>
      <c r="D94" s="37">
        <f t="shared" ref="D94:H94" si="59">D95+D96+D97</f>
        <v>995270</v>
      </c>
      <c r="E94" s="37">
        <f t="shared" si="59"/>
        <v>620010</v>
      </c>
      <c r="F94" s="37">
        <f t="shared" si="59"/>
        <v>0</v>
      </c>
      <c r="G94" s="41">
        <f t="shared" si="59"/>
        <v>619984</v>
      </c>
      <c r="H94" s="41">
        <f t="shared" si="59"/>
        <v>175064</v>
      </c>
    </row>
    <row r="95" s="4" customFormat="1" ht="30" spans="1:8">
      <c r="A95" s="35"/>
      <c r="B95" s="36" t="s">
        <v>367</v>
      </c>
      <c r="C95" s="37"/>
      <c r="D95" s="38">
        <v>978610</v>
      </c>
      <c r="E95" s="38">
        <v>610170</v>
      </c>
      <c r="F95" s="38"/>
      <c r="G95" s="39">
        <f>319070+125850+165240</f>
        <v>610160</v>
      </c>
      <c r="H95" s="39">
        <v>165240</v>
      </c>
    </row>
    <row r="96" s="4" customFormat="1" ht="45" spans="1:8">
      <c r="A96" s="35"/>
      <c r="B96" s="36" t="s">
        <v>368</v>
      </c>
      <c r="C96" s="37"/>
      <c r="D96" s="38">
        <v>9260</v>
      </c>
      <c r="E96" s="38">
        <v>5470</v>
      </c>
      <c r="F96" s="38"/>
      <c r="G96" s="39">
        <f>5457.83</f>
        <v>5457.83</v>
      </c>
      <c r="H96" s="39">
        <v>5457.83</v>
      </c>
    </row>
    <row r="97" s="4" customFormat="1" ht="45" spans="1:8">
      <c r="A97" s="35"/>
      <c r="B97" s="36" t="s">
        <v>369</v>
      </c>
      <c r="C97" s="37"/>
      <c r="D97" s="38">
        <v>7400</v>
      </c>
      <c r="E97" s="38">
        <v>4370</v>
      </c>
      <c r="F97" s="38"/>
      <c r="G97" s="39">
        <f>4366.17</f>
        <v>4366.17</v>
      </c>
      <c r="H97" s="39">
        <v>4366.17</v>
      </c>
    </row>
    <row r="98" s="4" customFormat="1" ht="16.5" customHeight="1" spans="1:8">
      <c r="A98" s="35"/>
      <c r="B98" s="36" t="s">
        <v>370</v>
      </c>
      <c r="C98" s="37"/>
      <c r="D98" s="38">
        <v>50000</v>
      </c>
      <c r="E98" s="38">
        <v>50000</v>
      </c>
      <c r="F98" s="38"/>
      <c r="G98" s="39">
        <f>33646.98+4923.08+3157.42</f>
        <v>41727.48</v>
      </c>
      <c r="H98" s="39">
        <v>3157.42</v>
      </c>
    </row>
    <row r="99" s="4" customFormat="1" ht="45" spans="1:8">
      <c r="A99" s="35"/>
      <c r="B99" s="36" t="s">
        <v>371</v>
      </c>
      <c r="C99" s="37"/>
      <c r="D99" s="38">
        <v>1628000</v>
      </c>
      <c r="E99" s="38">
        <v>1637000</v>
      </c>
      <c r="F99" s="38"/>
      <c r="G99" s="39">
        <f>1236240+121980.6+132171.64</f>
        <v>1490392.24</v>
      </c>
      <c r="H99" s="39">
        <v>132171.64</v>
      </c>
    </row>
    <row r="100" spans="1:8">
      <c r="A100" s="35"/>
      <c r="B100" s="40" t="s">
        <v>357</v>
      </c>
      <c r="C100" s="37"/>
      <c r="D100" s="38"/>
      <c r="E100" s="38"/>
      <c r="F100" s="38"/>
      <c r="G100" s="39">
        <f>-6800.59-2314.61</f>
        <v>-9115.2</v>
      </c>
      <c r="H100" s="39">
        <v>-2314.61</v>
      </c>
    </row>
    <row r="101" ht="30" spans="1:8">
      <c r="A101" s="35" t="s">
        <v>372</v>
      </c>
      <c r="B101" s="31" t="s">
        <v>373</v>
      </c>
      <c r="C101" s="37">
        <f t="shared" ref="C101:H101" si="60">C102+C103+C104+C105+C106+C107+C109+C108+C110</f>
        <v>0</v>
      </c>
      <c r="D101" s="37">
        <f t="shared" si="60"/>
        <v>39765680</v>
      </c>
      <c r="E101" s="37">
        <f t="shared" si="60"/>
        <v>31125800</v>
      </c>
      <c r="F101" s="37">
        <f t="shared" si="60"/>
        <v>0</v>
      </c>
      <c r="G101" s="41">
        <f t="shared" si="60"/>
        <v>31103894.6</v>
      </c>
      <c r="H101" s="41">
        <f t="shared" si="60"/>
        <v>2264869.25</v>
      </c>
    </row>
    <row r="102" ht="16.5" customHeight="1" spans="1:8">
      <c r="A102" s="35"/>
      <c r="B102" s="36" t="s">
        <v>374</v>
      </c>
      <c r="C102" s="37"/>
      <c r="D102" s="38">
        <v>391840</v>
      </c>
      <c r="E102" s="38">
        <v>366030</v>
      </c>
      <c r="F102" s="38"/>
      <c r="G102" s="39">
        <f>312049+28754.74+22874.27</f>
        <v>363678.01</v>
      </c>
      <c r="H102" s="39">
        <v>22874.27</v>
      </c>
    </row>
    <row r="103" spans="1:8">
      <c r="A103" s="35"/>
      <c r="B103" s="36" t="s">
        <v>375</v>
      </c>
      <c r="C103" s="37"/>
      <c r="D103" s="38"/>
      <c r="E103" s="38"/>
      <c r="F103" s="38"/>
      <c r="G103" s="39"/>
      <c r="H103" s="39"/>
    </row>
    <row r="104" s="3" customFormat="1" ht="16.5" customHeight="1" spans="1:8">
      <c r="A104" s="35"/>
      <c r="B104" s="36" t="s">
        <v>376</v>
      </c>
      <c r="C104" s="37"/>
      <c r="D104" s="38">
        <v>1036750</v>
      </c>
      <c r="E104" s="38">
        <v>860290</v>
      </c>
      <c r="F104" s="38"/>
      <c r="G104" s="39">
        <f>737380+101460+21450</f>
        <v>860290</v>
      </c>
      <c r="H104" s="39">
        <v>21450</v>
      </c>
    </row>
    <row r="105" ht="16.5" customHeight="1" spans="1:8">
      <c r="A105" s="35"/>
      <c r="B105" s="36" t="s">
        <v>377</v>
      </c>
      <c r="C105" s="37"/>
      <c r="D105" s="38">
        <v>16104750</v>
      </c>
      <c r="E105" s="38">
        <v>14455550</v>
      </c>
      <c r="F105" s="38"/>
      <c r="G105" s="39">
        <f>11498476.95+1593454.77+1346472.33</f>
        <v>14438404.05</v>
      </c>
      <c r="H105" s="39">
        <v>1346472.33</v>
      </c>
    </row>
    <row r="106" spans="1:8">
      <c r="A106" s="35"/>
      <c r="B106" s="59" t="s">
        <v>378</v>
      </c>
      <c r="C106" s="37"/>
      <c r="D106" s="38">
        <v>9400</v>
      </c>
      <c r="E106" s="38">
        <v>8140</v>
      </c>
      <c r="F106" s="38"/>
      <c r="G106" s="39">
        <f>7200+940</f>
        <v>8140</v>
      </c>
      <c r="H106" s="39">
        <v>940</v>
      </c>
    </row>
    <row r="107" ht="30" spans="1:8">
      <c r="A107" s="35"/>
      <c r="B107" s="36" t="s">
        <v>379</v>
      </c>
      <c r="C107" s="37"/>
      <c r="D107" s="38">
        <v>377590</v>
      </c>
      <c r="E107" s="38">
        <v>350050</v>
      </c>
      <c r="F107" s="38"/>
      <c r="G107" s="39">
        <f>287540+46000.52+16223.9</f>
        <v>349764.42</v>
      </c>
      <c r="H107" s="39">
        <v>16223.9</v>
      </c>
    </row>
    <row r="108" ht="16.5" customHeight="1" spans="1:8">
      <c r="A108" s="35"/>
      <c r="B108" s="60" t="s">
        <v>380</v>
      </c>
      <c r="C108" s="37"/>
      <c r="D108" s="38"/>
      <c r="E108" s="38"/>
      <c r="F108" s="38"/>
      <c r="G108" s="39"/>
      <c r="H108" s="39"/>
    </row>
    <row r="109" spans="1:8">
      <c r="A109" s="35"/>
      <c r="B109" s="60" t="s">
        <v>381</v>
      </c>
      <c r="C109" s="37"/>
      <c r="D109" s="38">
        <v>15401110</v>
      </c>
      <c r="E109" s="38">
        <v>10851900</v>
      </c>
      <c r="F109" s="38"/>
      <c r="G109" s="61">
        <f>9228310+910339.37+711128.79</f>
        <v>10849778.16</v>
      </c>
      <c r="H109" s="61">
        <v>711128.79</v>
      </c>
    </row>
    <row r="110" ht="16.5" customHeight="1" spans="1:8">
      <c r="A110" s="35"/>
      <c r="B110" s="62" t="s">
        <v>382</v>
      </c>
      <c r="C110" s="37">
        <f t="shared" ref="C110:H110" si="61">C111+C112+C113</f>
        <v>0</v>
      </c>
      <c r="D110" s="37">
        <f t="shared" si="61"/>
        <v>6444240</v>
      </c>
      <c r="E110" s="37">
        <f t="shared" si="61"/>
        <v>4233840</v>
      </c>
      <c r="F110" s="37">
        <f t="shared" si="61"/>
        <v>0</v>
      </c>
      <c r="G110" s="41">
        <f t="shared" si="61"/>
        <v>4233839.96</v>
      </c>
      <c r="H110" s="41">
        <f t="shared" si="61"/>
        <v>145779.96</v>
      </c>
    </row>
    <row r="111" ht="16.5" customHeight="1" spans="1:8">
      <c r="A111" s="35"/>
      <c r="B111" s="60" t="s">
        <v>383</v>
      </c>
      <c r="C111" s="37"/>
      <c r="D111" s="38">
        <v>6444240</v>
      </c>
      <c r="E111" s="38">
        <v>4233840</v>
      </c>
      <c r="F111" s="38"/>
      <c r="G111" s="39">
        <f>3366870+721190+145779.96</f>
        <v>4233839.96</v>
      </c>
      <c r="H111" s="39">
        <v>145779.96</v>
      </c>
    </row>
    <row r="112" spans="1:8">
      <c r="A112" s="35"/>
      <c r="B112" s="60" t="s">
        <v>384</v>
      </c>
      <c r="C112" s="37"/>
      <c r="D112" s="38"/>
      <c r="E112" s="38"/>
      <c r="F112" s="38"/>
      <c r="G112" s="39"/>
      <c r="H112" s="39"/>
    </row>
    <row r="113" spans="1:8">
      <c r="A113" s="35"/>
      <c r="B113" s="60" t="s">
        <v>385</v>
      </c>
      <c r="C113" s="37"/>
      <c r="D113" s="38"/>
      <c r="E113" s="38"/>
      <c r="F113" s="38"/>
      <c r="G113" s="39"/>
      <c r="H113" s="39"/>
    </row>
    <row r="114" spans="1:8">
      <c r="A114" s="35"/>
      <c r="B114" s="40" t="s">
        <v>357</v>
      </c>
      <c r="C114" s="37"/>
      <c r="D114" s="38"/>
      <c r="E114" s="38"/>
      <c r="F114" s="38"/>
      <c r="G114" s="39">
        <f>-937.05</f>
        <v>-937.05</v>
      </c>
      <c r="H114" s="39"/>
    </row>
    <row r="115" ht="36" customHeight="1" spans="1:8">
      <c r="A115" s="27" t="s">
        <v>386</v>
      </c>
      <c r="B115" s="31" t="s">
        <v>387</v>
      </c>
      <c r="C115" s="37">
        <f t="shared" ref="C115:H115" si="62">C116+C117+C118+C119+C120+C121+C122+C123+C124+C125</f>
        <v>0</v>
      </c>
      <c r="D115" s="37">
        <f t="shared" si="62"/>
        <v>1833330</v>
      </c>
      <c r="E115" s="37">
        <f t="shared" si="62"/>
        <v>1491250</v>
      </c>
      <c r="F115" s="37">
        <f t="shared" si="62"/>
        <v>0</v>
      </c>
      <c r="G115" s="41">
        <f t="shared" si="62"/>
        <v>1490647.78</v>
      </c>
      <c r="H115" s="41">
        <f t="shared" si="62"/>
        <v>107160</v>
      </c>
    </row>
    <row r="116" spans="1:8">
      <c r="A116" s="35"/>
      <c r="B116" s="36" t="s">
        <v>377</v>
      </c>
      <c r="C116" s="37"/>
      <c r="D116" s="38">
        <v>1461590</v>
      </c>
      <c r="E116" s="38">
        <v>1280250</v>
      </c>
      <c r="F116" s="38"/>
      <c r="G116" s="39">
        <f>1053920+119170+107160</f>
        <v>1280250</v>
      </c>
      <c r="H116" s="39">
        <v>107160</v>
      </c>
    </row>
    <row r="117" spans="1:8">
      <c r="A117" s="35"/>
      <c r="B117" s="63" t="s">
        <v>388</v>
      </c>
      <c r="C117" s="37"/>
      <c r="D117" s="38">
        <f>28500+15240</f>
        <v>43740</v>
      </c>
      <c r="E117" s="38">
        <v>27000</v>
      </c>
      <c r="F117" s="38"/>
      <c r="G117" s="39">
        <f>26525.68</f>
        <v>26525.68</v>
      </c>
      <c r="H117" s="39"/>
    </row>
    <row r="118" ht="16.5" customHeight="1" spans="1:8">
      <c r="A118" s="35"/>
      <c r="B118" s="64" t="s">
        <v>389</v>
      </c>
      <c r="C118" s="37"/>
      <c r="D118" s="38">
        <v>328000</v>
      </c>
      <c r="E118" s="38">
        <v>184000</v>
      </c>
      <c r="F118" s="38"/>
      <c r="G118" s="39">
        <f>183872.1</f>
        <v>183872.1</v>
      </c>
      <c r="H118" s="39"/>
    </row>
    <row r="119" spans="1:8">
      <c r="A119" s="35"/>
      <c r="B119" s="64" t="s">
        <v>390</v>
      </c>
      <c r="C119" s="37"/>
      <c r="D119" s="38"/>
      <c r="E119" s="38"/>
      <c r="F119" s="38"/>
      <c r="G119" s="39"/>
      <c r="H119" s="39"/>
    </row>
    <row r="120" ht="16.5" customHeight="1" spans="1:8">
      <c r="A120" s="35"/>
      <c r="B120" s="64" t="s">
        <v>391</v>
      </c>
      <c r="C120" s="37"/>
      <c r="D120" s="38"/>
      <c r="E120" s="38"/>
      <c r="F120" s="38"/>
      <c r="G120" s="39"/>
      <c r="H120" s="39"/>
    </row>
    <row r="121" ht="16.5" customHeight="1" spans="1:8">
      <c r="A121" s="35"/>
      <c r="B121" s="36" t="s">
        <v>374</v>
      </c>
      <c r="C121" s="37"/>
      <c r="D121" s="38"/>
      <c r="E121" s="38"/>
      <c r="F121" s="38"/>
      <c r="G121" s="39"/>
      <c r="H121" s="39"/>
    </row>
    <row r="122" ht="16.5" customHeight="1" spans="1:8">
      <c r="A122" s="35"/>
      <c r="B122" s="64" t="s">
        <v>392</v>
      </c>
      <c r="C122" s="37"/>
      <c r="D122" s="38"/>
      <c r="E122" s="38"/>
      <c r="F122" s="38"/>
      <c r="G122" s="65"/>
      <c r="H122" s="65"/>
    </row>
    <row r="123" spans="1:8">
      <c r="A123" s="35"/>
      <c r="B123" s="66" t="s">
        <v>393</v>
      </c>
      <c r="C123" s="37"/>
      <c r="D123" s="38"/>
      <c r="E123" s="38"/>
      <c r="F123" s="38"/>
      <c r="G123" s="65"/>
      <c r="H123" s="65"/>
    </row>
    <row r="124" s="3" customFormat="1" ht="30" spans="1:8">
      <c r="A124" s="35"/>
      <c r="B124" s="66" t="s">
        <v>394</v>
      </c>
      <c r="C124" s="37"/>
      <c r="D124" s="38"/>
      <c r="E124" s="38"/>
      <c r="F124" s="38"/>
      <c r="G124" s="65"/>
      <c r="H124" s="65"/>
    </row>
    <row r="125" s="3" customFormat="1" ht="30" spans="1:8">
      <c r="A125" s="35"/>
      <c r="B125" s="67" t="s">
        <v>395</v>
      </c>
      <c r="C125" s="37">
        <f t="shared" ref="C125:H125" si="63">C126+C127+C128+C129</f>
        <v>0</v>
      </c>
      <c r="D125" s="37">
        <f t="shared" si="63"/>
        <v>0</v>
      </c>
      <c r="E125" s="37">
        <f t="shared" si="63"/>
        <v>0</v>
      </c>
      <c r="F125" s="37">
        <f t="shared" si="63"/>
        <v>0</v>
      </c>
      <c r="G125" s="41">
        <f t="shared" si="63"/>
        <v>0</v>
      </c>
      <c r="H125" s="41">
        <f t="shared" si="63"/>
        <v>0</v>
      </c>
    </row>
    <row r="126" s="3" customFormat="1" spans="1:8">
      <c r="A126" s="35"/>
      <c r="B126" s="68" t="s">
        <v>396</v>
      </c>
      <c r="C126" s="37"/>
      <c r="D126" s="38"/>
      <c r="E126" s="38"/>
      <c r="F126" s="38"/>
      <c r="G126" s="65"/>
      <c r="H126" s="65"/>
    </row>
    <row r="127" s="3" customFormat="1" ht="30" spans="1:8">
      <c r="A127" s="35"/>
      <c r="B127" s="68" t="s">
        <v>397</v>
      </c>
      <c r="C127" s="37"/>
      <c r="D127" s="38"/>
      <c r="E127" s="38"/>
      <c r="F127" s="38"/>
      <c r="G127" s="65"/>
      <c r="H127" s="65"/>
    </row>
    <row r="128" s="3" customFormat="1" spans="1:8">
      <c r="A128" s="35"/>
      <c r="B128" s="68" t="s">
        <v>398</v>
      </c>
      <c r="C128" s="37"/>
      <c r="D128" s="38"/>
      <c r="E128" s="38"/>
      <c r="F128" s="38"/>
      <c r="G128" s="65"/>
      <c r="H128" s="65"/>
    </row>
    <row r="129" s="3" customFormat="1" ht="30" spans="1:8">
      <c r="A129" s="35"/>
      <c r="B129" s="68" t="s">
        <v>399</v>
      </c>
      <c r="C129" s="37"/>
      <c r="D129" s="38"/>
      <c r="E129" s="38"/>
      <c r="F129" s="38"/>
      <c r="G129" s="65"/>
      <c r="H129" s="65"/>
    </row>
    <row r="130" s="3" customFormat="1" spans="1:8">
      <c r="A130" s="35"/>
      <c r="B130" s="40" t="s">
        <v>357</v>
      </c>
      <c r="C130" s="37"/>
      <c r="D130" s="38"/>
      <c r="E130" s="38"/>
      <c r="F130" s="38"/>
      <c r="G130" s="65"/>
      <c r="H130" s="65"/>
    </row>
    <row r="131" s="3" customFormat="1" spans="1:8">
      <c r="A131" s="35" t="s">
        <v>400</v>
      </c>
      <c r="B131" s="40" t="s">
        <v>401</v>
      </c>
      <c r="C131" s="29"/>
      <c r="D131" s="38">
        <v>10473460</v>
      </c>
      <c r="E131" s="38">
        <v>9402590</v>
      </c>
      <c r="F131" s="38"/>
      <c r="G131" s="39">
        <f>7657866+855814+888910</f>
        <v>9402590</v>
      </c>
      <c r="H131" s="39">
        <v>888910</v>
      </c>
    </row>
    <row r="132" s="3" customFormat="1" ht="16.5" customHeight="1" spans="1:8">
      <c r="A132" s="35"/>
      <c r="B132" s="40" t="s">
        <v>357</v>
      </c>
      <c r="C132" s="29"/>
      <c r="D132" s="38"/>
      <c r="E132" s="38"/>
      <c r="F132" s="38"/>
      <c r="G132" s="39"/>
      <c r="H132" s="39"/>
    </row>
    <row r="133" s="3" customFormat="1" ht="16.5" customHeight="1" spans="1:8">
      <c r="A133" s="35" t="s">
        <v>402</v>
      </c>
      <c r="B133" s="40" t="s">
        <v>403</v>
      </c>
      <c r="C133" s="37"/>
      <c r="D133" s="38">
        <v>2891000</v>
      </c>
      <c r="E133" s="38">
        <v>2829000</v>
      </c>
      <c r="F133" s="38"/>
      <c r="G133" s="50">
        <f>2115000+250000+299999.99</f>
        <v>2664999.99</v>
      </c>
      <c r="H133" s="50">
        <v>299999.99</v>
      </c>
    </row>
    <row r="134" s="3" customFormat="1" ht="16.5" customHeight="1" spans="1:8">
      <c r="A134" s="35"/>
      <c r="B134" s="40" t="s">
        <v>357</v>
      </c>
      <c r="C134" s="37"/>
      <c r="D134" s="38"/>
      <c r="E134" s="38"/>
      <c r="F134" s="38"/>
      <c r="G134" s="50">
        <f>-2309.38</f>
        <v>-2309.38</v>
      </c>
      <c r="H134" s="50"/>
    </row>
    <row r="135" ht="16.5" customHeight="1" spans="1:8">
      <c r="A135" s="27" t="s">
        <v>404</v>
      </c>
      <c r="B135" s="31" t="s">
        <v>405</v>
      </c>
      <c r="C135" s="32">
        <f t="shared" ref="C135" si="64">+C136+C143+C145+C149+C155</f>
        <v>0</v>
      </c>
      <c r="D135" s="32">
        <f t="shared" ref="D135:H135" si="65">+D136+D143+D145+D149+D155</f>
        <v>46512150</v>
      </c>
      <c r="E135" s="32">
        <f t="shared" si="65"/>
        <v>44526000</v>
      </c>
      <c r="F135" s="32">
        <f t="shared" si="65"/>
        <v>0</v>
      </c>
      <c r="G135" s="33">
        <f t="shared" si="65"/>
        <v>41435073.57</v>
      </c>
      <c r="H135" s="33">
        <f t="shared" si="65"/>
        <v>4064983.94</v>
      </c>
    </row>
    <row r="136" ht="16.5" customHeight="1" spans="1:8">
      <c r="A136" s="27" t="s">
        <v>406</v>
      </c>
      <c r="B136" s="31" t="s">
        <v>407</v>
      </c>
      <c r="C136" s="29">
        <f>+C137+C140+C141</f>
        <v>0</v>
      </c>
      <c r="D136" s="29">
        <f t="shared" ref="D136:H136" si="66">+D137+D140+D141</f>
        <v>30194000</v>
      </c>
      <c r="E136" s="29">
        <f t="shared" si="66"/>
        <v>28384000</v>
      </c>
      <c r="F136" s="29">
        <f t="shared" si="66"/>
        <v>0</v>
      </c>
      <c r="G136" s="30">
        <f t="shared" si="66"/>
        <v>26823916.52</v>
      </c>
      <c r="H136" s="30">
        <f t="shared" si="66"/>
        <v>2563303.01</v>
      </c>
    </row>
    <row r="137" s="3" customFormat="1" ht="16.5" customHeight="1" spans="1:8">
      <c r="A137" s="35"/>
      <c r="B137" s="69" t="s">
        <v>408</v>
      </c>
      <c r="C137" s="37"/>
      <c r="D137" s="38">
        <v>26925000</v>
      </c>
      <c r="E137" s="38">
        <v>26175000</v>
      </c>
      <c r="F137" s="38"/>
      <c r="G137" s="39">
        <f>20119928.01+2302159.5+2378659.01</f>
        <v>24800746.52</v>
      </c>
      <c r="H137" s="39">
        <v>2378659.01</v>
      </c>
    </row>
    <row r="138" s="3" customFormat="1" ht="16.5" customHeight="1" spans="1:8">
      <c r="A138" s="35"/>
      <c r="B138" s="70" t="s">
        <v>409</v>
      </c>
      <c r="C138" s="37"/>
      <c r="D138" s="38"/>
      <c r="E138" s="38"/>
      <c r="F138" s="38"/>
      <c r="G138" s="39">
        <f>10239338.75+1124492.42</f>
        <v>11363831.17</v>
      </c>
      <c r="H138" s="39"/>
    </row>
    <row r="139" s="3" customFormat="1" ht="16.5" customHeight="1" spans="1:8">
      <c r="A139" s="35"/>
      <c r="B139" s="70" t="s">
        <v>410</v>
      </c>
      <c r="C139" s="37"/>
      <c r="D139" s="38"/>
      <c r="E139" s="38"/>
      <c r="F139" s="38"/>
      <c r="G139" s="39">
        <f>9880589.26+1177667.08</f>
        <v>11058256.34</v>
      </c>
      <c r="H139" s="39"/>
    </row>
    <row r="140" s="3" customFormat="1" ht="16.5" customHeight="1" spans="1:8">
      <c r="A140" s="35"/>
      <c r="B140" s="69" t="s">
        <v>411</v>
      </c>
      <c r="C140" s="37"/>
      <c r="D140" s="38">
        <v>3204000</v>
      </c>
      <c r="E140" s="38">
        <v>2209000</v>
      </c>
      <c r="F140" s="38"/>
      <c r="G140" s="71">
        <f>1661622+176904+184644</f>
        <v>2023170</v>
      </c>
      <c r="H140" s="71">
        <v>184644</v>
      </c>
    </row>
    <row r="141" s="3" customFormat="1" ht="30" spans="1:8">
      <c r="A141" s="35"/>
      <c r="B141" s="69" t="s">
        <v>412</v>
      </c>
      <c r="C141" s="37"/>
      <c r="D141" s="38">
        <v>65000</v>
      </c>
      <c r="E141" s="38"/>
      <c r="F141" s="38"/>
      <c r="G141" s="71"/>
      <c r="H141" s="71"/>
    </row>
    <row r="142" s="3" customFormat="1" ht="16.5" customHeight="1" spans="1:8">
      <c r="A142" s="35"/>
      <c r="B142" s="40" t="s">
        <v>357</v>
      </c>
      <c r="C142" s="37"/>
      <c r="D142" s="38"/>
      <c r="E142" s="38"/>
      <c r="F142" s="38"/>
      <c r="G142" s="71">
        <f>-243.24-517.51</f>
        <v>-760.75</v>
      </c>
      <c r="H142" s="71">
        <v>-517.51</v>
      </c>
    </row>
    <row r="143" s="3" customFormat="1" ht="16.5" customHeight="1" spans="1:8">
      <c r="A143" s="35" t="s">
        <v>413</v>
      </c>
      <c r="B143" s="72" t="s">
        <v>414</v>
      </c>
      <c r="C143" s="37"/>
      <c r="D143" s="38">
        <v>8950000</v>
      </c>
      <c r="E143" s="38">
        <v>8800000</v>
      </c>
      <c r="F143" s="38"/>
      <c r="G143" s="41">
        <f>6508483.34+681795.61+861787.2</f>
        <v>8052066.15</v>
      </c>
      <c r="H143" s="41">
        <v>861787.2</v>
      </c>
    </row>
    <row r="144" s="3" customFormat="1" ht="16.5" customHeight="1" spans="1:8">
      <c r="A144" s="35"/>
      <c r="B144" s="40" t="s">
        <v>357</v>
      </c>
      <c r="C144" s="37"/>
      <c r="D144" s="38"/>
      <c r="E144" s="38"/>
      <c r="F144" s="38"/>
      <c r="G144" s="71">
        <f>-517.51</f>
        <v>-517.51</v>
      </c>
      <c r="H144" s="71"/>
    </row>
    <row r="145" s="3" customFormat="1" ht="16.5" customHeight="1" spans="1:8">
      <c r="A145" s="27" t="s">
        <v>415</v>
      </c>
      <c r="B145" s="73" t="s">
        <v>416</v>
      </c>
      <c r="C145" s="37">
        <f t="shared" ref="C145:H145" si="67">+C146+C147</f>
        <v>0</v>
      </c>
      <c r="D145" s="37">
        <f t="shared" si="67"/>
        <v>1460000</v>
      </c>
      <c r="E145" s="37">
        <f t="shared" si="67"/>
        <v>1463000</v>
      </c>
      <c r="F145" s="37">
        <f t="shared" si="67"/>
        <v>0</v>
      </c>
      <c r="G145" s="41">
        <f t="shared" si="67"/>
        <v>1327695.4</v>
      </c>
      <c r="H145" s="41">
        <f t="shared" si="67"/>
        <v>149044.2</v>
      </c>
    </row>
    <row r="146" s="3" customFormat="1" ht="16.5" customHeight="1" spans="1:8">
      <c r="A146" s="35"/>
      <c r="B146" s="69" t="s">
        <v>408</v>
      </c>
      <c r="C146" s="37"/>
      <c r="D146" s="38">
        <v>1460000</v>
      </c>
      <c r="E146" s="38">
        <v>1463000</v>
      </c>
      <c r="F146" s="38"/>
      <c r="G146" s="39">
        <f>1025271+153380.2+149044.2</f>
        <v>1327695.4</v>
      </c>
      <c r="H146" s="39">
        <v>149044.2</v>
      </c>
    </row>
    <row r="147" s="3" customFormat="1" ht="16.5" customHeight="1" spans="1:8">
      <c r="A147" s="35"/>
      <c r="B147" s="69" t="s">
        <v>417</v>
      </c>
      <c r="C147" s="37"/>
      <c r="D147" s="38"/>
      <c r="E147" s="38"/>
      <c r="F147" s="38"/>
      <c r="G147" s="39"/>
      <c r="H147" s="39"/>
    </row>
    <row r="148" ht="16.5" customHeight="1" spans="1:8">
      <c r="A148" s="35"/>
      <c r="B148" s="40" t="s">
        <v>357</v>
      </c>
      <c r="C148" s="37"/>
      <c r="D148" s="38"/>
      <c r="E148" s="38"/>
      <c r="F148" s="38"/>
      <c r="G148" s="39"/>
      <c r="H148" s="39"/>
    </row>
    <row r="149" ht="16.5" customHeight="1" spans="1:8">
      <c r="A149" s="27" t="s">
        <v>418</v>
      </c>
      <c r="B149" s="73" t="s">
        <v>419</v>
      </c>
      <c r="C149" s="29">
        <f t="shared" ref="C149:H149" si="68">+C150+C151+C152+C153</f>
        <v>0</v>
      </c>
      <c r="D149" s="29">
        <f t="shared" si="68"/>
        <v>5426150</v>
      </c>
      <c r="E149" s="29">
        <f t="shared" si="68"/>
        <v>5398000</v>
      </c>
      <c r="F149" s="29">
        <f t="shared" si="68"/>
        <v>0</v>
      </c>
      <c r="G149" s="30">
        <f t="shared" si="68"/>
        <v>4787910</v>
      </c>
      <c r="H149" s="30">
        <f t="shared" si="68"/>
        <v>446424.03</v>
      </c>
    </row>
    <row r="150" spans="1:8">
      <c r="A150" s="35"/>
      <c r="B150" s="36" t="s">
        <v>420</v>
      </c>
      <c r="C150" s="37"/>
      <c r="D150" s="38">
        <v>5419000</v>
      </c>
      <c r="E150" s="38">
        <v>5393000</v>
      </c>
      <c r="F150" s="38"/>
      <c r="G150" s="39">
        <f>3904614.39+432831.58+446324.03</f>
        <v>4783770</v>
      </c>
      <c r="H150" s="39">
        <v>446324.03</v>
      </c>
    </row>
    <row r="151" ht="30" spans="1:8">
      <c r="A151" s="35"/>
      <c r="B151" s="36" t="s">
        <v>421</v>
      </c>
      <c r="C151" s="37"/>
      <c r="D151" s="38"/>
      <c r="E151" s="38"/>
      <c r="F151" s="38"/>
      <c r="G151" s="39"/>
      <c r="H151" s="39"/>
    </row>
    <row r="152" ht="30" spans="1:8">
      <c r="A152" s="35"/>
      <c r="B152" s="36" t="s">
        <v>422</v>
      </c>
      <c r="C152" s="37"/>
      <c r="D152" s="38">
        <v>7150</v>
      </c>
      <c r="E152" s="38">
        <v>5000</v>
      </c>
      <c r="F152" s="38"/>
      <c r="G152" s="39">
        <f>4000+40+100</f>
        <v>4140</v>
      </c>
      <c r="H152" s="39">
        <v>100</v>
      </c>
    </row>
    <row r="153" s="3" customFormat="1" ht="30" spans="1:8">
      <c r="A153" s="35"/>
      <c r="B153" s="36" t="s">
        <v>423</v>
      </c>
      <c r="C153" s="37"/>
      <c r="D153" s="38"/>
      <c r="E153" s="38"/>
      <c r="F153" s="38"/>
      <c r="G153" s="39"/>
      <c r="H153" s="39"/>
    </row>
    <row r="154" spans="1:8">
      <c r="A154" s="35"/>
      <c r="B154" s="40" t="s">
        <v>357</v>
      </c>
      <c r="C154" s="37"/>
      <c r="D154" s="38"/>
      <c r="E154" s="38"/>
      <c r="F154" s="38"/>
      <c r="G154" s="39">
        <f>-105</f>
        <v>-105</v>
      </c>
      <c r="H154" s="39"/>
    </row>
    <row r="155" ht="16.5" customHeight="1" spans="1:8">
      <c r="A155" s="27" t="s">
        <v>424</v>
      </c>
      <c r="B155" s="73" t="s">
        <v>425</v>
      </c>
      <c r="C155" s="37">
        <f t="shared" ref="C155:H155" si="69">+C156+C157</f>
        <v>0</v>
      </c>
      <c r="D155" s="37">
        <f t="shared" si="69"/>
        <v>482000</v>
      </c>
      <c r="E155" s="37">
        <f t="shared" si="69"/>
        <v>481000</v>
      </c>
      <c r="F155" s="37">
        <f t="shared" si="69"/>
        <v>0</v>
      </c>
      <c r="G155" s="41">
        <f t="shared" si="69"/>
        <v>443485.5</v>
      </c>
      <c r="H155" s="41">
        <f t="shared" si="69"/>
        <v>44425.5</v>
      </c>
    </row>
    <row r="156" ht="16.5" customHeight="1" spans="1:8">
      <c r="A156" s="27"/>
      <c r="B156" s="69" t="s">
        <v>408</v>
      </c>
      <c r="C156" s="37"/>
      <c r="D156" s="38">
        <v>482000</v>
      </c>
      <c r="E156" s="38">
        <v>481000</v>
      </c>
      <c r="F156" s="38"/>
      <c r="G156" s="39">
        <f>328423+70637+44425.5</f>
        <v>443485.5</v>
      </c>
      <c r="H156" s="39">
        <v>44425.5</v>
      </c>
    </row>
    <row r="157" ht="16.5" customHeight="1" spans="1:8">
      <c r="A157" s="35"/>
      <c r="B157" s="69" t="s">
        <v>417</v>
      </c>
      <c r="C157" s="37"/>
      <c r="D157" s="38"/>
      <c r="E157" s="38"/>
      <c r="F157" s="38"/>
      <c r="G157" s="39"/>
      <c r="H157" s="39"/>
    </row>
    <row r="158" ht="16.5" customHeight="1" spans="1:8">
      <c r="A158" s="35"/>
      <c r="B158" s="40" t="s">
        <v>357</v>
      </c>
      <c r="C158" s="37"/>
      <c r="D158" s="38"/>
      <c r="E158" s="38"/>
      <c r="F158" s="38"/>
      <c r="G158" s="39">
        <f>-44.22</f>
        <v>-44.22</v>
      </c>
      <c r="H158" s="39"/>
    </row>
    <row r="159" ht="16.5" customHeight="1" spans="1:8">
      <c r="A159" s="27" t="s">
        <v>426</v>
      </c>
      <c r="B159" s="40" t="s">
        <v>427</v>
      </c>
      <c r="C159" s="37"/>
      <c r="D159" s="38"/>
      <c r="E159" s="38"/>
      <c r="F159" s="38"/>
      <c r="G159" s="61"/>
      <c r="H159" s="61"/>
    </row>
    <row r="160" ht="16.5" customHeight="1" spans="1:8">
      <c r="A160" s="27"/>
      <c r="B160" s="40" t="s">
        <v>357</v>
      </c>
      <c r="C160" s="37"/>
      <c r="D160" s="38"/>
      <c r="E160" s="38"/>
      <c r="F160" s="38"/>
      <c r="G160" s="61"/>
      <c r="H160" s="61"/>
    </row>
    <row r="161" ht="16.5" customHeight="1" spans="1:8">
      <c r="A161" s="27" t="s">
        <v>428</v>
      </c>
      <c r="B161" s="31" t="s">
        <v>429</v>
      </c>
      <c r="C161" s="32">
        <f t="shared" ref="C161" si="70">+C162+C168</f>
        <v>0</v>
      </c>
      <c r="D161" s="32">
        <f t="shared" ref="D161:H161" si="71">+D162+D168</f>
        <v>91469630</v>
      </c>
      <c r="E161" s="32">
        <f t="shared" si="71"/>
        <v>88712770</v>
      </c>
      <c r="F161" s="32">
        <f t="shared" si="71"/>
        <v>0</v>
      </c>
      <c r="G161" s="33">
        <f t="shared" si="71"/>
        <v>80813050</v>
      </c>
      <c r="H161" s="33">
        <f t="shared" si="71"/>
        <v>7154460</v>
      </c>
    </row>
    <row r="162" ht="16.5" customHeight="1" spans="1:8">
      <c r="A162" s="35" t="s">
        <v>430</v>
      </c>
      <c r="B162" s="31" t="s">
        <v>431</v>
      </c>
      <c r="C162" s="37">
        <f t="shared" ref="C162" si="72">C163+C165+C164+C166</f>
        <v>0</v>
      </c>
      <c r="D162" s="37">
        <f t="shared" ref="D162:H162" si="73">D163+D165+D164+D166</f>
        <v>91469630</v>
      </c>
      <c r="E162" s="37">
        <f t="shared" si="73"/>
        <v>88712770</v>
      </c>
      <c r="F162" s="37">
        <f t="shared" si="73"/>
        <v>0</v>
      </c>
      <c r="G162" s="41">
        <f t="shared" si="73"/>
        <v>80813050</v>
      </c>
      <c r="H162" s="41">
        <f t="shared" si="73"/>
        <v>7154460</v>
      </c>
    </row>
    <row r="163" spans="1:8">
      <c r="A163" s="35"/>
      <c r="B163" s="36" t="s">
        <v>364</v>
      </c>
      <c r="C163" s="37"/>
      <c r="D163" s="38">
        <v>91469630</v>
      </c>
      <c r="E163" s="38">
        <v>88712770</v>
      </c>
      <c r="F163" s="38"/>
      <c r="G163" s="39">
        <f>64988160+8670430+7154460</f>
        <v>80813050</v>
      </c>
      <c r="H163" s="39">
        <v>7154460</v>
      </c>
    </row>
    <row r="164" ht="45" spans="1:8">
      <c r="A164" s="35"/>
      <c r="B164" s="36" t="s">
        <v>432</v>
      </c>
      <c r="C164" s="37"/>
      <c r="D164" s="38"/>
      <c r="E164" s="38"/>
      <c r="F164" s="38"/>
      <c r="G164" s="39"/>
      <c r="H164" s="39"/>
    </row>
    <row r="165" ht="30" spans="1:8">
      <c r="A165" s="35"/>
      <c r="B165" s="36" t="s">
        <v>433</v>
      </c>
      <c r="C165" s="37"/>
      <c r="D165" s="38"/>
      <c r="E165" s="38"/>
      <c r="F165" s="38"/>
      <c r="G165" s="61"/>
      <c r="H165" s="61"/>
    </row>
    <row r="166" spans="1:8">
      <c r="A166" s="35"/>
      <c r="B166" s="74" t="s">
        <v>434</v>
      </c>
      <c r="C166" s="37"/>
      <c r="D166" s="38"/>
      <c r="E166" s="38"/>
      <c r="F166" s="38"/>
      <c r="G166" s="39"/>
      <c r="H166" s="39"/>
    </row>
    <row r="167" spans="1:8">
      <c r="A167" s="35"/>
      <c r="B167" s="40" t="s">
        <v>357</v>
      </c>
      <c r="C167" s="37"/>
      <c r="D167" s="38"/>
      <c r="E167" s="38"/>
      <c r="F167" s="38"/>
      <c r="G167" s="39">
        <f>-116131.3-9803.25</f>
        <v>-125934.55</v>
      </c>
      <c r="H167" s="39">
        <v>-9803.25</v>
      </c>
    </row>
    <row r="168" ht="16.5" customHeight="1" spans="1:8">
      <c r="A168" s="35" t="s">
        <v>435</v>
      </c>
      <c r="B168" s="31" t="s">
        <v>436</v>
      </c>
      <c r="C168" s="37">
        <f t="shared" ref="C168:H168" si="74">C169+C170</f>
        <v>0</v>
      </c>
      <c r="D168" s="37">
        <f t="shared" si="74"/>
        <v>0</v>
      </c>
      <c r="E168" s="37">
        <f t="shared" si="74"/>
        <v>0</v>
      </c>
      <c r="F168" s="37">
        <f t="shared" si="74"/>
        <v>0</v>
      </c>
      <c r="G168" s="41">
        <f t="shared" si="74"/>
        <v>0</v>
      </c>
      <c r="H168" s="41">
        <f t="shared" si="74"/>
        <v>0</v>
      </c>
    </row>
    <row r="169" ht="16.5" customHeight="1" spans="1:8">
      <c r="A169" s="35"/>
      <c r="B169" s="36" t="s">
        <v>364</v>
      </c>
      <c r="C169" s="37"/>
      <c r="D169" s="38"/>
      <c r="E169" s="38"/>
      <c r="F169" s="38"/>
      <c r="G169" s="39"/>
      <c r="H169" s="39"/>
    </row>
    <row r="170" ht="16.5" customHeight="1" spans="1:8">
      <c r="A170" s="35"/>
      <c r="B170" s="75" t="s">
        <v>437</v>
      </c>
      <c r="C170" s="37"/>
      <c r="D170" s="38"/>
      <c r="E170" s="38"/>
      <c r="F170" s="38"/>
      <c r="G170" s="39"/>
      <c r="H170" s="39"/>
    </row>
    <row r="171" ht="16.5" customHeight="1" spans="1:8">
      <c r="A171" s="35"/>
      <c r="B171" s="40" t="s">
        <v>357</v>
      </c>
      <c r="C171" s="37"/>
      <c r="D171" s="38"/>
      <c r="E171" s="38"/>
      <c r="F171" s="38"/>
      <c r="G171" s="39"/>
      <c r="H171" s="39"/>
    </row>
    <row r="172" ht="16.5" customHeight="1" spans="1:8">
      <c r="A172" s="27" t="s">
        <v>438</v>
      </c>
      <c r="B172" s="40" t="s">
        <v>439</v>
      </c>
      <c r="C172" s="37"/>
      <c r="D172" s="38">
        <v>34000</v>
      </c>
      <c r="E172" s="38">
        <v>34000</v>
      </c>
      <c r="F172" s="38"/>
      <c r="G172" s="39">
        <f>22130+4530+4700</f>
        <v>31360</v>
      </c>
      <c r="H172" s="39">
        <v>4700</v>
      </c>
    </row>
    <row r="173" ht="16.5" customHeight="1" spans="1:8">
      <c r="A173" s="27"/>
      <c r="B173" s="40" t="s">
        <v>357</v>
      </c>
      <c r="C173" s="37"/>
      <c r="D173" s="38"/>
      <c r="E173" s="38"/>
      <c r="F173" s="38"/>
      <c r="G173" s="39"/>
      <c r="H173" s="39"/>
    </row>
    <row r="174" ht="16.5" customHeight="1" spans="1:8">
      <c r="A174" s="27" t="s">
        <v>440</v>
      </c>
      <c r="B174" s="40" t="s">
        <v>441</v>
      </c>
      <c r="C174" s="37"/>
      <c r="D174" s="38">
        <v>3068720</v>
      </c>
      <c r="E174" s="38">
        <v>3068720</v>
      </c>
      <c r="F174" s="38"/>
      <c r="G174" s="39">
        <f>1610074.51+151748.59+1306889.75</f>
        <v>3068712.85</v>
      </c>
      <c r="H174" s="39">
        <v>1306889.75</v>
      </c>
    </row>
    <row r="175" ht="16.5" customHeight="1" spans="1:8">
      <c r="A175" s="27"/>
      <c r="B175" s="40" t="s">
        <v>357</v>
      </c>
      <c r="C175" s="37"/>
      <c r="D175" s="38"/>
      <c r="E175" s="38"/>
      <c r="F175" s="38"/>
      <c r="G175" s="39">
        <f>-32995.68</f>
        <v>-32995.68</v>
      </c>
      <c r="H175" s="39"/>
    </row>
    <row r="176" spans="1:8">
      <c r="A176" s="27"/>
      <c r="B176" s="31" t="s">
        <v>442</v>
      </c>
      <c r="C176" s="37">
        <f t="shared" ref="C176" si="75">C88+C100+C114+C130+C132+C134+C142+C144+C148+C154+C158+C160+C167+C171+C173+C175</f>
        <v>0</v>
      </c>
      <c r="D176" s="37">
        <f t="shared" ref="D176:H176" si="76">D88+D100+D114+D130+D132+D134+D142+D144+D148+D154+D158+D160+D167+D171+D173+D175</f>
        <v>0</v>
      </c>
      <c r="E176" s="37">
        <f t="shared" si="76"/>
        <v>0</v>
      </c>
      <c r="F176" s="37">
        <f t="shared" si="76"/>
        <v>0</v>
      </c>
      <c r="G176" s="41">
        <f t="shared" si="76"/>
        <v>-172949.71</v>
      </c>
      <c r="H176" s="41">
        <f t="shared" si="76"/>
        <v>-12635.37</v>
      </c>
    </row>
    <row r="177" spans="1:8">
      <c r="A177" s="27" t="s">
        <v>218</v>
      </c>
      <c r="B177" s="31" t="s">
        <v>219</v>
      </c>
      <c r="C177" s="37">
        <f t="shared" ref="C177:H177" si="77">C178</f>
        <v>0</v>
      </c>
      <c r="D177" s="37">
        <f t="shared" si="77"/>
        <v>97562080</v>
      </c>
      <c r="E177" s="37">
        <f t="shared" si="77"/>
        <v>97562080</v>
      </c>
      <c r="F177" s="37">
        <f t="shared" si="77"/>
        <v>0</v>
      </c>
      <c r="G177" s="41">
        <f t="shared" si="77"/>
        <v>97209825.25</v>
      </c>
      <c r="H177" s="41">
        <f t="shared" si="77"/>
        <v>9209006</v>
      </c>
    </row>
    <row r="178" spans="1:8">
      <c r="A178" s="27" t="s">
        <v>443</v>
      </c>
      <c r="B178" s="31" t="s">
        <v>444</v>
      </c>
      <c r="C178" s="37">
        <f t="shared" ref="C178:H178" si="78">C179+C188</f>
        <v>0</v>
      </c>
      <c r="D178" s="37">
        <f t="shared" si="78"/>
        <v>97562080</v>
      </c>
      <c r="E178" s="37">
        <f t="shared" si="78"/>
        <v>97562080</v>
      </c>
      <c r="F178" s="37">
        <f t="shared" si="78"/>
        <v>0</v>
      </c>
      <c r="G178" s="41">
        <f t="shared" si="78"/>
        <v>97209825.25</v>
      </c>
      <c r="H178" s="41">
        <f t="shared" si="78"/>
        <v>9209006</v>
      </c>
    </row>
    <row r="179" ht="30" spans="1:8">
      <c r="A179" s="27" t="s">
        <v>445</v>
      </c>
      <c r="B179" s="31" t="s">
        <v>446</v>
      </c>
      <c r="C179" s="37">
        <f>C180+C183+C186+C181+C182+C187</f>
        <v>0</v>
      </c>
      <c r="D179" s="37">
        <f t="shared" ref="D179:H179" si="79">D180+D183+D186+D181+D182+D187</f>
        <v>96074580</v>
      </c>
      <c r="E179" s="37">
        <f t="shared" si="79"/>
        <v>96074580</v>
      </c>
      <c r="F179" s="37">
        <f t="shared" si="79"/>
        <v>0</v>
      </c>
      <c r="G179" s="41">
        <f t="shared" si="79"/>
        <v>95737325.25</v>
      </c>
      <c r="H179" s="41">
        <f t="shared" si="79"/>
        <v>9209006</v>
      </c>
    </row>
    <row r="180" ht="30" spans="1:8">
      <c r="A180" s="27"/>
      <c r="B180" s="40" t="s">
        <v>447</v>
      </c>
      <c r="C180" s="37"/>
      <c r="D180" s="38">
        <v>88949970</v>
      </c>
      <c r="E180" s="38">
        <v>88949970</v>
      </c>
      <c r="F180" s="38"/>
      <c r="G180" s="41">
        <f>72046118.25+8391614+8438595</f>
        <v>88876327.25</v>
      </c>
      <c r="H180" s="41">
        <v>8438595</v>
      </c>
    </row>
    <row r="181" ht="30" spans="1:8">
      <c r="A181" s="27"/>
      <c r="B181" s="40" t="s">
        <v>448</v>
      </c>
      <c r="C181" s="37"/>
      <c r="D181" s="38">
        <v>126960</v>
      </c>
      <c r="E181" s="38">
        <v>126960</v>
      </c>
      <c r="F181" s="38"/>
      <c r="G181" s="41">
        <f>63479+63478</f>
        <v>126957</v>
      </c>
      <c r="H181" s="41">
        <v>63478</v>
      </c>
    </row>
    <row r="182" ht="30" spans="1:8">
      <c r="A182" s="27"/>
      <c r="B182" s="40" t="s">
        <v>449</v>
      </c>
      <c r="C182" s="37"/>
      <c r="D182" s="38">
        <v>33020</v>
      </c>
      <c r="E182" s="38">
        <v>33020</v>
      </c>
      <c r="F182" s="38"/>
      <c r="G182" s="41">
        <f>16510+16510</f>
        <v>33020</v>
      </c>
      <c r="H182" s="41">
        <v>16510</v>
      </c>
    </row>
    <row r="183" ht="30" spans="1:8">
      <c r="A183" s="27"/>
      <c r="B183" s="40" t="s">
        <v>450</v>
      </c>
      <c r="C183" s="37">
        <f>C184+C185</f>
        <v>0</v>
      </c>
      <c r="D183" s="37">
        <f t="shared" ref="D183:H183" si="80">D184+D185</f>
        <v>6296390</v>
      </c>
      <c r="E183" s="37">
        <f t="shared" si="80"/>
        <v>6296390</v>
      </c>
      <c r="F183" s="37">
        <f t="shared" si="80"/>
        <v>0</v>
      </c>
      <c r="G183" s="41">
        <f t="shared" si="80"/>
        <v>6245579</v>
      </c>
      <c r="H183" s="41">
        <f t="shared" si="80"/>
        <v>688530</v>
      </c>
    </row>
    <row r="184" ht="75" spans="1:8">
      <c r="A184" s="27"/>
      <c r="B184" s="40" t="s">
        <v>451</v>
      </c>
      <c r="C184" s="37"/>
      <c r="D184" s="38">
        <v>3712000</v>
      </c>
      <c r="E184" s="38">
        <v>3712000</v>
      </c>
      <c r="F184" s="38"/>
      <c r="G184" s="41">
        <f>2998195+325741+337261</f>
        <v>3661197</v>
      </c>
      <c r="H184" s="41">
        <v>337261</v>
      </c>
    </row>
    <row r="185" ht="75" spans="1:8">
      <c r="A185" s="27"/>
      <c r="B185" s="40" t="s">
        <v>452</v>
      </c>
      <c r="C185" s="37"/>
      <c r="D185" s="38">
        <v>2584390</v>
      </c>
      <c r="E185" s="38">
        <v>2584390</v>
      </c>
      <c r="F185" s="38"/>
      <c r="G185" s="41">
        <f>1893447+339666+351269</f>
        <v>2584382</v>
      </c>
      <c r="H185" s="41">
        <v>351269</v>
      </c>
    </row>
    <row r="186" ht="45" spans="1:8">
      <c r="A186" s="27"/>
      <c r="B186" s="40" t="s">
        <v>453</v>
      </c>
      <c r="C186" s="37"/>
      <c r="D186" s="38">
        <v>454000</v>
      </c>
      <c r="E186" s="38">
        <v>454000</v>
      </c>
      <c r="F186" s="38"/>
      <c r="G186" s="41">
        <f>453549</f>
        <v>453549</v>
      </c>
      <c r="H186" s="41"/>
    </row>
    <row r="187" ht="45" spans="1:8">
      <c r="A187" s="27"/>
      <c r="B187" s="40" t="s">
        <v>454</v>
      </c>
      <c r="C187" s="37"/>
      <c r="D187" s="38">
        <v>214240</v>
      </c>
      <c r="E187" s="38">
        <v>214240</v>
      </c>
      <c r="F187" s="38"/>
      <c r="G187" s="41">
        <f>1893</f>
        <v>1893</v>
      </c>
      <c r="H187" s="41">
        <v>1893</v>
      </c>
    </row>
    <row r="188" spans="1:8">
      <c r="A188" s="27" t="s">
        <v>455</v>
      </c>
      <c r="B188" s="31" t="s">
        <v>456</v>
      </c>
      <c r="C188" s="37"/>
      <c r="D188" s="38">
        <v>1487500</v>
      </c>
      <c r="E188" s="38">
        <v>1487500</v>
      </c>
      <c r="F188" s="38"/>
      <c r="G188" s="41">
        <f>1472500</f>
        <v>1472500</v>
      </c>
      <c r="H188" s="41"/>
    </row>
    <row r="189" spans="1:8">
      <c r="A189" s="27" t="s">
        <v>457</v>
      </c>
      <c r="B189" s="76" t="s">
        <v>458</v>
      </c>
      <c r="C189" s="48">
        <f>+C190</f>
        <v>0</v>
      </c>
      <c r="D189" s="48">
        <f t="shared" ref="D189:H191" si="81">+D190</f>
        <v>27130160</v>
      </c>
      <c r="E189" s="48">
        <f t="shared" si="81"/>
        <v>27130160</v>
      </c>
      <c r="F189" s="48">
        <f t="shared" si="81"/>
        <v>0</v>
      </c>
      <c r="G189" s="49">
        <f t="shared" si="81"/>
        <v>23856684</v>
      </c>
      <c r="H189" s="49">
        <f t="shared" si="81"/>
        <v>867</v>
      </c>
    </row>
    <row r="190" ht="16.5" customHeight="1" spans="1:8">
      <c r="A190" s="27" t="s">
        <v>459</v>
      </c>
      <c r="B190" s="76" t="s">
        <v>211</v>
      </c>
      <c r="C190" s="48">
        <f>+C191</f>
        <v>0</v>
      </c>
      <c r="D190" s="48">
        <f t="shared" si="81"/>
        <v>27130160</v>
      </c>
      <c r="E190" s="48">
        <f t="shared" si="81"/>
        <v>27130160</v>
      </c>
      <c r="F190" s="48">
        <f t="shared" si="81"/>
        <v>0</v>
      </c>
      <c r="G190" s="49">
        <f t="shared" si="81"/>
        <v>23856684</v>
      </c>
      <c r="H190" s="49">
        <f t="shared" si="81"/>
        <v>867</v>
      </c>
    </row>
    <row r="191" ht="16.5" customHeight="1" spans="1:8">
      <c r="A191" s="27" t="s">
        <v>460</v>
      </c>
      <c r="B191" s="31" t="s">
        <v>461</v>
      </c>
      <c r="C191" s="48">
        <f>+C192</f>
        <v>0</v>
      </c>
      <c r="D191" s="48">
        <f t="shared" si="81"/>
        <v>27130160</v>
      </c>
      <c r="E191" s="48">
        <f t="shared" si="81"/>
        <v>27130160</v>
      </c>
      <c r="F191" s="48">
        <f t="shared" si="81"/>
        <v>0</v>
      </c>
      <c r="G191" s="49">
        <f t="shared" si="81"/>
        <v>23856684</v>
      </c>
      <c r="H191" s="49">
        <f t="shared" si="81"/>
        <v>867</v>
      </c>
    </row>
    <row r="192" ht="16.5" customHeight="1" spans="1:8">
      <c r="A192" s="35" t="s">
        <v>462</v>
      </c>
      <c r="B192" s="76" t="s">
        <v>463</v>
      </c>
      <c r="C192" s="32">
        <f t="shared" ref="C192:H192" si="82">C193</f>
        <v>0</v>
      </c>
      <c r="D192" s="32">
        <f t="shared" si="82"/>
        <v>27130160</v>
      </c>
      <c r="E192" s="32">
        <f t="shared" si="82"/>
        <v>27130160</v>
      </c>
      <c r="F192" s="32">
        <f t="shared" si="82"/>
        <v>0</v>
      </c>
      <c r="G192" s="33">
        <f t="shared" si="82"/>
        <v>23856684</v>
      </c>
      <c r="H192" s="33">
        <f t="shared" si="82"/>
        <v>867</v>
      </c>
    </row>
    <row r="193" ht="16.5" customHeight="1" spans="1:8">
      <c r="A193" s="35" t="s">
        <v>464</v>
      </c>
      <c r="B193" s="76" t="s">
        <v>465</v>
      </c>
      <c r="C193" s="32">
        <f t="shared" ref="C193:H193" si="83">C195+C196+C197</f>
        <v>0</v>
      </c>
      <c r="D193" s="32">
        <f t="shared" si="83"/>
        <v>27130160</v>
      </c>
      <c r="E193" s="32">
        <f t="shared" si="83"/>
        <v>27130160</v>
      </c>
      <c r="F193" s="32">
        <f t="shared" si="83"/>
        <v>0</v>
      </c>
      <c r="G193" s="33">
        <f t="shared" si="83"/>
        <v>23856684</v>
      </c>
      <c r="H193" s="33">
        <f t="shared" si="83"/>
        <v>867</v>
      </c>
    </row>
    <row r="194" ht="16.5" customHeight="1" spans="1:8">
      <c r="A194" s="27" t="s">
        <v>466</v>
      </c>
      <c r="B194" s="76" t="s">
        <v>467</v>
      </c>
      <c r="C194" s="32">
        <f t="shared" ref="C194:H194" si="84">C195</f>
        <v>0</v>
      </c>
      <c r="D194" s="32">
        <f t="shared" si="84"/>
        <v>14349250</v>
      </c>
      <c r="E194" s="32">
        <f t="shared" si="84"/>
        <v>14349250</v>
      </c>
      <c r="F194" s="32">
        <f t="shared" si="84"/>
        <v>0</v>
      </c>
      <c r="G194" s="33">
        <f t="shared" si="84"/>
        <v>12390078</v>
      </c>
      <c r="H194" s="33">
        <f t="shared" si="84"/>
        <v>1466</v>
      </c>
    </row>
    <row r="195" ht="16.5" customHeight="1" spans="1:8">
      <c r="A195" s="35" t="s">
        <v>468</v>
      </c>
      <c r="B195" s="77" t="s">
        <v>469</v>
      </c>
      <c r="C195" s="37"/>
      <c r="D195" s="38">
        <v>14349250</v>
      </c>
      <c r="E195" s="38">
        <v>14349250</v>
      </c>
      <c r="F195" s="38"/>
      <c r="G195" s="78">
        <f>11546338+841577+697+560+906</f>
        <v>12390078</v>
      </c>
      <c r="H195" s="78">
        <f>560+906</f>
        <v>1466</v>
      </c>
    </row>
    <row r="196" ht="16.5" customHeight="1" spans="1:8">
      <c r="A196" s="35" t="s">
        <v>470</v>
      </c>
      <c r="B196" s="77" t="s">
        <v>471</v>
      </c>
      <c r="C196" s="37"/>
      <c r="D196" s="38">
        <v>12780910</v>
      </c>
      <c r="E196" s="38">
        <v>12780910</v>
      </c>
      <c r="F196" s="38"/>
      <c r="G196" s="78">
        <f>10672154+799999+1000</f>
        <v>11473153</v>
      </c>
      <c r="H196" s="78">
        <v>1000</v>
      </c>
    </row>
    <row r="197" ht="16.5" customHeight="1" spans="1:8">
      <c r="A197" s="35"/>
      <c r="B197" s="46" t="s">
        <v>472</v>
      </c>
      <c r="C197" s="37"/>
      <c r="D197" s="38"/>
      <c r="E197" s="38"/>
      <c r="F197" s="38"/>
      <c r="G197" s="39">
        <f>-4948-1599</f>
        <v>-6547</v>
      </c>
      <c r="H197" s="39">
        <v>-1599</v>
      </c>
    </row>
    <row r="198" ht="30" spans="1:8">
      <c r="A198" s="35" t="s">
        <v>222</v>
      </c>
      <c r="B198" s="79" t="s">
        <v>223</v>
      </c>
      <c r="C198" s="80">
        <f t="shared" ref="C198" si="85">C203+C199</f>
        <v>0</v>
      </c>
      <c r="D198" s="80">
        <f t="shared" ref="D198:H198" si="86">D203+D199</f>
        <v>0</v>
      </c>
      <c r="E198" s="80">
        <f t="shared" si="86"/>
        <v>0</v>
      </c>
      <c r="F198" s="80">
        <f t="shared" si="86"/>
        <v>0</v>
      </c>
      <c r="G198" s="81">
        <f t="shared" si="86"/>
        <v>0</v>
      </c>
      <c r="H198" s="81">
        <f t="shared" si="86"/>
        <v>0</v>
      </c>
    </row>
    <row r="199" spans="1:8">
      <c r="A199" s="35" t="s">
        <v>473</v>
      </c>
      <c r="B199" s="79" t="s">
        <v>474</v>
      </c>
      <c r="C199" s="80">
        <f t="shared" ref="C199" si="87">C200+C201+C202</f>
        <v>0</v>
      </c>
      <c r="D199" s="80">
        <f t="shared" ref="D199:H199" si="88">D200+D201+D202</f>
        <v>0</v>
      </c>
      <c r="E199" s="80">
        <f t="shared" si="88"/>
        <v>0</v>
      </c>
      <c r="F199" s="80">
        <f t="shared" si="88"/>
        <v>0</v>
      </c>
      <c r="G199" s="81">
        <f t="shared" si="88"/>
        <v>0</v>
      </c>
      <c r="H199" s="81">
        <f t="shared" si="88"/>
        <v>0</v>
      </c>
    </row>
    <row r="200" spans="1:8">
      <c r="A200" s="35" t="s">
        <v>475</v>
      </c>
      <c r="B200" s="79" t="s">
        <v>476</v>
      </c>
      <c r="C200" s="80"/>
      <c r="D200" s="38"/>
      <c r="E200" s="38"/>
      <c r="F200" s="38"/>
      <c r="G200" s="81"/>
      <c r="H200" s="81"/>
    </row>
    <row r="201" spans="1:8">
      <c r="A201" s="35" t="s">
        <v>477</v>
      </c>
      <c r="B201" s="79" t="s">
        <v>478</v>
      </c>
      <c r="C201" s="80"/>
      <c r="D201" s="38"/>
      <c r="E201" s="38"/>
      <c r="F201" s="38"/>
      <c r="G201" s="81"/>
      <c r="H201" s="81"/>
    </row>
    <row r="202" spans="1:8">
      <c r="A202" s="35" t="s">
        <v>479</v>
      </c>
      <c r="B202" s="79" t="s">
        <v>480</v>
      </c>
      <c r="C202" s="80"/>
      <c r="D202" s="38"/>
      <c r="E202" s="38"/>
      <c r="F202" s="38"/>
      <c r="G202" s="81"/>
      <c r="H202" s="81"/>
    </row>
    <row r="203" spans="1:8">
      <c r="A203" s="35" t="s">
        <v>481</v>
      </c>
      <c r="B203" s="79" t="s">
        <v>482</v>
      </c>
      <c r="C203" s="80">
        <f t="shared" ref="C203:H203" si="89">C204+C205+C206</f>
        <v>0</v>
      </c>
      <c r="D203" s="80">
        <f t="shared" si="89"/>
        <v>0</v>
      </c>
      <c r="E203" s="80">
        <f t="shared" si="89"/>
        <v>0</v>
      </c>
      <c r="F203" s="80">
        <f t="shared" si="89"/>
        <v>0</v>
      </c>
      <c r="G203" s="81">
        <f t="shared" si="89"/>
        <v>0</v>
      </c>
      <c r="H203" s="81">
        <f t="shared" si="89"/>
        <v>0</v>
      </c>
    </row>
    <row r="204" spans="1:8">
      <c r="A204" s="35" t="s">
        <v>483</v>
      </c>
      <c r="B204" s="82" t="s">
        <v>484</v>
      </c>
      <c r="C204" s="78"/>
      <c r="D204" s="38"/>
      <c r="E204" s="38"/>
      <c r="F204" s="38"/>
      <c r="G204" s="39"/>
      <c r="H204" s="39"/>
    </row>
    <row r="205" spans="1:8">
      <c r="A205" s="35" t="s">
        <v>485</v>
      </c>
      <c r="B205" s="82" t="s">
        <v>486</v>
      </c>
      <c r="C205" s="78"/>
      <c r="D205" s="38"/>
      <c r="E205" s="38"/>
      <c r="F205" s="38"/>
      <c r="G205" s="39"/>
      <c r="H205" s="39"/>
    </row>
    <row r="206" spans="1:8">
      <c r="A206" s="35" t="s">
        <v>487</v>
      </c>
      <c r="B206" s="82" t="s">
        <v>480</v>
      </c>
      <c r="C206" s="78"/>
      <c r="D206" s="38"/>
      <c r="E206" s="38"/>
      <c r="F206" s="38"/>
      <c r="G206" s="39"/>
      <c r="H206" s="39"/>
    </row>
    <row r="207" spans="1:8">
      <c r="A207" s="35" t="s">
        <v>488</v>
      </c>
      <c r="B207" s="79" t="s">
        <v>489</v>
      </c>
      <c r="C207" s="80">
        <f>C208</f>
        <v>0</v>
      </c>
      <c r="D207" s="80">
        <f t="shared" ref="D207:H208" si="90">D208</f>
        <v>0</v>
      </c>
      <c r="E207" s="80">
        <f t="shared" si="90"/>
        <v>0</v>
      </c>
      <c r="F207" s="80">
        <f t="shared" si="90"/>
        <v>0</v>
      </c>
      <c r="G207" s="81">
        <f t="shared" si="90"/>
        <v>0</v>
      </c>
      <c r="H207" s="81">
        <f t="shared" si="90"/>
        <v>0</v>
      </c>
    </row>
    <row r="208" spans="1:8">
      <c r="A208" s="35" t="s">
        <v>490</v>
      </c>
      <c r="B208" s="79" t="s">
        <v>211</v>
      </c>
      <c r="C208" s="80">
        <f>C209</f>
        <v>0</v>
      </c>
      <c r="D208" s="80">
        <f t="shared" si="90"/>
        <v>0</v>
      </c>
      <c r="E208" s="80">
        <f t="shared" si="90"/>
        <v>0</v>
      </c>
      <c r="F208" s="80">
        <f t="shared" si="90"/>
        <v>0</v>
      </c>
      <c r="G208" s="81">
        <f t="shared" si="90"/>
        <v>0</v>
      </c>
      <c r="H208" s="81">
        <f t="shared" si="90"/>
        <v>0</v>
      </c>
    </row>
    <row r="209" ht="30" spans="1:8">
      <c r="A209" s="35" t="s">
        <v>491</v>
      </c>
      <c r="B209" s="79" t="s">
        <v>223</v>
      </c>
      <c r="C209" s="80">
        <f t="shared" ref="C209" si="91">C212</f>
        <v>0</v>
      </c>
      <c r="D209" s="80">
        <f t="shared" ref="D209:H209" si="92">D212</f>
        <v>0</v>
      </c>
      <c r="E209" s="80">
        <f t="shared" si="92"/>
        <v>0</v>
      </c>
      <c r="F209" s="80">
        <f t="shared" si="92"/>
        <v>0</v>
      </c>
      <c r="G209" s="81">
        <f t="shared" si="92"/>
        <v>0</v>
      </c>
      <c r="H209" s="81">
        <f t="shared" si="92"/>
        <v>0</v>
      </c>
    </row>
    <row r="210" spans="1:8">
      <c r="A210" s="35" t="s">
        <v>492</v>
      </c>
      <c r="B210" s="79" t="s">
        <v>236</v>
      </c>
      <c r="C210" s="80">
        <f t="shared" ref="C210:C215" si="93">C211</f>
        <v>0</v>
      </c>
      <c r="D210" s="80">
        <f t="shared" ref="D210:H212" si="94">D211</f>
        <v>0</v>
      </c>
      <c r="E210" s="80">
        <f t="shared" si="94"/>
        <v>0</v>
      </c>
      <c r="F210" s="80">
        <f t="shared" si="94"/>
        <v>0</v>
      </c>
      <c r="G210" s="81">
        <f t="shared" si="94"/>
        <v>0</v>
      </c>
      <c r="H210" s="81">
        <f t="shared" si="94"/>
        <v>0</v>
      </c>
    </row>
    <row r="211" spans="1:8">
      <c r="A211" s="35" t="s">
        <v>493</v>
      </c>
      <c r="B211" s="79" t="s">
        <v>211</v>
      </c>
      <c r="C211" s="80">
        <f t="shared" si="93"/>
        <v>0</v>
      </c>
      <c r="D211" s="80">
        <f t="shared" si="94"/>
        <v>0</v>
      </c>
      <c r="E211" s="80">
        <f t="shared" si="94"/>
        <v>0</v>
      </c>
      <c r="F211" s="80">
        <f t="shared" si="94"/>
        <v>0</v>
      </c>
      <c r="G211" s="81">
        <f t="shared" si="94"/>
        <v>0</v>
      </c>
      <c r="H211" s="81">
        <f t="shared" si="94"/>
        <v>0</v>
      </c>
    </row>
    <row r="212" ht="30" spans="1:8">
      <c r="A212" s="35" t="s">
        <v>494</v>
      </c>
      <c r="B212" s="82" t="s">
        <v>223</v>
      </c>
      <c r="C212" s="80">
        <f t="shared" si="93"/>
        <v>0</v>
      </c>
      <c r="D212" s="80">
        <f t="shared" si="94"/>
        <v>0</v>
      </c>
      <c r="E212" s="80">
        <f t="shared" si="94"/>
        <v>0</v>
      </c>
      <c r="F212" s="80">
        <f t="shared" si="94"/>
        <v>0</v>
      </c>
      <c r="G212" s="81">
        <f t="shared" si="94"/>
        <v>0</v>
      </c>
      <c r="H212" s="81">
        <f t="shared" si="94"/>
        <v>0</v>
      </c>
    </row>
    <row r="213" spans="1:8">
      <c r="A213" s="35" t="s">
        <v>495</v>
      </c>
      <c r="B213" s="79" t="s">
        <v>482</v>
      </c>
      <c r="C213" s="80">
        <f t="shared" si="93"/>
        <v>0</v>
      </c>
      <c r="D213" s="80">
        <f t="shared" ref="D213:H215" si="95">D214</f>
        <v>0</v>
      </c>
      <c r="E213" s="80">
        <f t="shared" si="95"/>
        <v>0</v>
      </c>
      <c r="F213" s="80">
        <f t="shared" si="95"/>
        <v>0</v>
      </c>
      <c r="G213" s="81">
        <f t="shared" si="95"/>
        <v>0</v>
      </c>
      <c r="H213" s="81">
        <f t="shared" si="95"/>
        <v>0</v>
      </c>
    </row>
    <row r="214" spans="1:8">
      <c r="A214" s="35" t="s">
        <v>496</v>
      </c>
      <c r="B214" s="79" t="s">
        <v>486</v>
      </c>
      <c r="C214" s="80">
        <f t="shared" si="93"/>
        <v>0</v>
      </c>
      <c r="D214" s="80">
        <f t="shared" si="95"/>
        <v>0</v>
      </c>
      <c r="E214" s="80">
        <f t="shared" si="95"/>
        <v>0</v>
      </c>
      <c r="F214" s="80">
        <f t="shared" si="95"/>
        <v>0</v>
      </c>
      <c r="G214" s="81">
        <f t="shared" si="95"/>
        <v>0</v>
      </c>
      <c r="H214" s="81">
        <f t="shared" si="95"/>
        <v>0</v>
      </c>
    </row>
    <row r="215" spans="1:8">
      <c r="A215" s="35" t="s">
        <v>497</v>
      </c>
      <c r="B215" s="79" t="s">
        <v>498</v>
      </c>
      <c r="C215" s="80">
        <f t="shared" si="93"/>
        <v>0</v>
      </c>
      <c r="D215" s="80">
        <f t="shared" si="95"/>
        <v>0</v>
      </c>
      <c r="E215" s="80">
        <f t="shared" si="95"/>
        <v>0</v>
      </c>
      <c r="F215" s="80">
        <f t="shared" si="95"/>
        <v>0</v>
      </c>
      <c r="G215" s="81">
        <f t="shared" si="95"/>
        <v>0</v>
      </c>
      <c r="H215" s="81">
        <f t="shared" si="95"/>
        <v>0</v>
      </c>
    </row>
    <row r="216" spans="1:8">
      <c r="A216" s="35" t="s">
        <v>499</v>
      </c>
      <c r="B216" s="82" t="s">
        <v>500</v>
      </c>
      <c r="C216" s="78"/>
      <c r="D216" s="38"/>
      <c r="E216" s="38"/>
      <c r="F216" s="38"/>
      <c r="G216" s="39"/>
      <c r="H216" s="39"/>
    </row>
    <row r="219" spans="2:5">
      <c r="B219" s="8" t="s">
        <v>196</v>
      </c>
      <c r="E219" s="8" t="s">
        <v>197</v>
      </c>
    </row>
    <row r="220" spans="2:5">
      <c r="B220" s="8" t="s">
        <v>198</v>
      </c>
      <c r="E220" s="8" t="s">
        <v>501</v>
      </c>
    </row>
  </sheetData>
  <protectedRanges>
    <protectedRange sqref="C1:C3 B2" name="Zonă1_1" securityDescriptor="O:WDG:WDD:(A;;CC;;;WD)"/>
    <protectedRange sqref="G116:H124 G46:H51 G152:H154 G70:H70 G37:H40 G126:H130 G103:H108 G62:H66 G81:H85 G92:H93 G54:H57 G150:H150 G111:H114 G137:H139 G25:H33 G35:H35 G95:H100" name="Zonă3"/>
    <protectedRange sqref="B1 B3" name="Zonă1_1_1_1_1_1" securityDescriptor="O:WDG:WDD:(A;;CC;;;WD)"/>
  </protectedRanges>
  <printOptions horizontalCentered="1"/>
  <pageMargins left="0.75" right="0.196527777777778" top="0.550694444444444" bottom="0.18" header="0.17" footer="0.17"/>
  <pageSetup paperSize="1" scale="5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VENITURI</vt:lpstr>
      <vt:lpstr>CHELTUIELI</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User</cp:lastModifiedBy>
  <dcterms:created xsi:type="dcterms:W3CDTF">2020-08-07T11:14:00Z</dcterms:created>
  <dcterms:modified xsi:type="dcterms:W3CDTF">2021-01-11T07:40:21Z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1033-11.2.0.9937</vt:lpwstr>
  </property>
</Properties>
</file>