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120" activeTab="0"/>
  </bookViews>
  <sheets>
    <sheet name="MARTIE 2015" sheetId="1" r:id="rId1"/>
    <sheet name="FEBRUARIE 2015" sheetId="2" r:id="rId2"/>
    <sheet name="plati ianuarie 2015" sheetId="3" r:id="rId3"/>
    <sheet name="plati farmacii med c+g" sheetId="4" r:id="rId4"/>
  </sheets>
  <definedNames>
    <definedName name="_xlnm.Print_Area" localSheetId="3">'plati farmacii med c+g'!$A$1:$O$79</definedName>
    <definedName name="_xlnm.Print_Titles" localSheetId="3">'plati farmacii med c+g'!$8:$8</definedName>
  </definedNames>
  <calcPr fullCalcOnLoad="1"/>
</workbook>
</file>

<file path=xl/sharedStrings.xml><?xml version="1.0" encoding="utf-8"?>
<sst xmlns="http://schemas.openxmlformats.org/spreadsheetml/2006/main" count="321" uniqueCount="104">
  <si>
    <t>CASA JUDETEANA DE ASIGURARI DE SANATATE VASLUI</t>
  </si>
  <si>
    <t xml:space="preserve">SITUATIA PLATILOR PE FURNIZORI DE MEDICAMENTE COMPENSATE SI GRATUITE </t>
  </si>
  <si>
    <t>Nr.crt.</t>
  </si>
  <si>
    <t>Denumire Farmacie</t>
  </si>
  <si>
    <t>TOTAL</t>
  </si>
  <si>
    <t>BALSAM</t>
  </si>
  <si>
    <t xml:space="preserve">BIOSFARM </t>
  </si>
  <si>
    <t>CARMYSYM</t>
  </si>
  <si>
    <t xml:space="preserve">CHIMFARM </t>
  </si>
  <si>
    <t xml:space="preserve">CONDUR </t>
  </si>
  <si>
    <t>CORAGAFARM</t>
  </si>
  <si>
    <t>DANIELOPOLU</t>
  </si>
  <si>
    <t xml:space="preserve">ELIXIR </t>
  </si>
  <si>
    <t xml:space="preserve">FARMAB </t>
  </si>
  <si>
    <t xml:space="preserve">FARMACO GAMA </t>
  </si>
  <si>
    <t xml:space="preserve">FARMNOVA </t>
  </si>
  <si>
    <t xml:space="preserve">GEDEON RICHTER FARMACIA </t>
  </si>
  <si>
    <t xml:space="preserve">GREEN VISION CONSULTING </t>
  </si>
  <si>
    <t xml:space="preserve">HYPOCRATE </t>
  </si>
  <si>
    <t>INAFARM STAR</t>
  </si>
  <si>
    <t xml:space="preserve">LAVIRA TRANSPORT </t>
  </si>
  <si>
    <t xml:space="preserve">MEDIMFARM </t>
  </si>
  <si>
    <t xml:space="preserve">MOLDOFARM INVEST </t>
  </si>
  <si>
    <t>NICOLINA FARM</t>
  </si>
  <si>
    <t xml:space="preserve">PLANTAGO TEHNOFARM </t>
  </si>
  <si>
    <t xml:space="preserve">RA </t>
  </si>
  <si>
    <t xml:space="preserve">ROMOLD </t>
  </si>
  <si>
    <t xml:space="preserve">ROPHARMA </t>
  </si>
  <si>
    <t>ROSIFARM</t>
  </si>
  <si>
    <t>ARTEMISIA FARM</t>
  </si>
  <si>
    <t xml:space="preserve">SANTAVIC FARM </t>
  </si>
  <si>
    <t>S.I.E.P.C.O.F.A.R.</t>
  </si>
  <si>
    <t xml:space="preserve">SANTAC </t>
  </si>
  <si>
    <t>SASVIRO</t>
  </si>
  <si>
    <t xml:space="preserve">ALPHA MED </t>
  </si>
  <si>
    <t xml:space="preserve">AVALUX-STAR </t>
  </si>
  <si>
    <t xml:space="preserve">CAMPANULA FARM </t>
  </si>
  <si>
    <t xml:space="preserve">CRATEGUS PHARMA </t>
  </si>
  <si>
    <t xml:space="preserve">DALYA </t>
  </si>
  <si>
    <t xml:space="preserve">DAMIDAR </t>
  </si>
  <si>
    <t xml:space="preserve">DAVILLA </t>
  </si>
  <si>
    <t xml:space="preserve">ELEFARM </t>
  </si>
  <si>
    <t xml:space="preserve">FARMONI IMPEX </t>
  </si>
  <si>
    <t xml:space="preserve">GRUP IRI FARM </t>
  </si>
  <si>
    <t xml:space="preserve">HERFARM </t>
  </si>
  <si>
    <t xml:space="preserve">LEVENTICA </t>
  </si>
  <si>
    <t xml:space="preserve">MEDFARM </t>
  </si>
  <si>
    <t xml:space="preserve">MENTOGELY </t>
  </si>
  <si>
    <t xml:space="preserve">NIKI PHARM </t>
  </si>
  <si>
    <t>PANROSE FARM</t>
  </si>
  <si>
    <t xml:space="preserve">PRIMULA </t>
  </si>
  <si>
    <t xml:space="preserve">PROFILACT FARM </t>
  </si>
  <si>
    <t xml:space="preserve">PUNCTFARM </t>
  </si>
  <si>
    <t xml:space="preserve">RUBI FARM </t>
  </si>
  <si>
    <t xml:space="preserve">SANIFARM </t>
  </si>
  <si>
    <t xml:space="preserve">SIRACO FARM </t>
  </si>
  <si>
    <t xml:space="preserve">VILLAGE POSTPHARMCY </t>
  </si>
  <si>
    <t xml:space="preserve">VITAFARM </t>
  </si>
  <si>
    <t xml:space="preserve">VIVIAN </t>
  </si>
  <si>
    <t xml:space="preserve">SENSIBLU </t>
  </si>
  <si>
    <t xml:space="preserve">SIBPHARMAMED </t>
  </si>
  <si>
    <t>SPATIFILIUS</t>
  </si>
  <si>
    <t xml:space="preserve">TEHNOFARM BAVARIA -IMPEX </t>
  </si>
  <si>
    <t xml:space="preserve">TELKAPHARM </t>
  </si>
  <si>
    <t>TERAPIA SRL BARLAD</t>
  </si>
  <si>
    <t>TONIC LIFE FARMA</t>
  </si>
  <si>
    <t xml:space="preserve">VITALPHARM </t>
  </si>
  <si>
    <t>VOIN</t>
  </si>
  <si>
    <t>TOTAL :</t>
  </si>
  <si>
    <t>CASA JUDETEANA DE ASIGURARI VASLUI</t>
  </si>
  <si>
    <t xml:space="preserve">Plati medicamente compensate si gratuite </t>
  </si>
  <si>
    <t>HELIANTHI</t>
  </si>
  <si>
    <t>PARACELSUS</t>
  </si>
  <si>
    <t>PROFARM COMP</t>
  </si>
  <si>
    <t>MYRRHA FARM SRL</t>
  </si>
  <si>
    <t>ADRYMAR</t>
  </si>
  <si>
    <t>Total general</t>
  </si>
  <si>
    <t>HELIANTHY</t>
  </si>
  <si>
    <t xml:space="preserve">MYRRHA FARM SRL </t>
  </si>
  <si>
    <t xml:space="preserve">PARACELSUS </t>
  </si>
  <si>
    <t xml:space="preserve">ADRYMAR </t>
  </si>
  <si>
    <t xml:space="preserve">          efectuate pe luna ianuarie 2015</t>
  </si>
  <si>
    <t xml:space="preserve">         EFECTUATE LUNAR PE ANUL 2015</t>
  </si>
  <si>
    <t>Plati med c+g ianuarie 2015</t>
  </si>
  <si>
    <t>Plati med c+g februarie 2015</t>
  </si>
  <si>
    <t>Plati med c+g martie 2015</t>
  </si>
  <si>
    <t>Plati med c+g aprilie 2015</t>
  </si>
  <si>
    <t>Plati med c+g mai 2015</t>
  </si>
  <si>
    <t>Plati med c+g iunie 2015</t>
  </si>
  <si>
    <t>Plati med c+g iulie 2015</t>
  </si>
  <si>
    <t>Plati med c+g august 2015</t>
  </si>
  <si>
    <t>Plati med c+g septembrie 2015</t>
  </si>
  <si>
    <t>Plati med c+g octombrie 2015</t>
  </si>
  <si>
    <t>Plati med c+g noiembrie 2015</t>
  </si>
  <si>
    <t>Plati med c+g decembrie 2015</t>
  </si>
  <si>
    <t xml:space="preserve">MEDFARM SRL </t>
  </si>
  <si>
    <t>CATENA HYGEIA SRL</t>
  </si>
  <si>
    <t>ONIAGROFARM SRL</t>
  </si>
  <si>
    <t xml:space="preserve">          efectuate pe luna februarie 2015</t>
  </si>
  <si>
    <t>VITAFARM srl</t>
  </si>
  <si>
    <t>VIVIAN SRL</t>
  </si>
  <si>
    <t>VITALPHARM SRL</t>
  </si>
  <si>
    <t xml:space="preserve">          efectuate pe luna martie 2015</t>
  </si>
  <si>
    <t>returnat 31,03,15, 128.453,26 lei (suma achitata in 26,03,15)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</si>
</sst>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20" borderId="7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5" fillId="0" borderId="2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0" borderId="7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3" applyNumberFormat="0" applyAlignment="0" applyProtection="0"/>
    <xf numFmtId="0" fontId="1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4" fontId="0" fillId="24" borderId="10" xfId="0" applyNumberFormat="1" applyFill="1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tă" xfId="62"/>
    <cellStyle name="Note" xfId="63"/>
    <cellStyle name="Output" xfId="64"/>
    <cellStyle name="Percent" xfId="65"/>
    <cellStyle name="Text avertism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9.57421875" style="0" customWidth="1"/>
    <col min="3" max="3" width="14.00390625" style="0" customWidth="1"/>
    <col min="4" max="4" width="15.140625" style="0" customWidth="1"/>
  </cols>
  <sheetData>
    <row r="1" spans="1:3" ht="12.75">
      <c r="A1" s="1" t="s">
        <v>69</v>
      </c>
      <c r="B1" s="1"/>
      <c r="C1" s="1"/>
    </row>
    <row r="4" spans="2:4" ht="12.75">
      <c r="B4" s="1" t="s">
        <v>70</v>
      </c>
      <c r="D4" s="1"/>
    </row>
    <row r="5" spans="2:4" ht="12.75">
      <c r="B5" s="1" t="s">
        <v>102</v>
      </c>
      <c r="D5" s="1"/>
    </row>
    <row r="6" spans="3:4" ht="12.75">
      <c r="C6" s="1"/>
      <c r="D6" s="1"/>
    </row>
    <row r="7" spans="3:4" ht="12.75">
      <c r="C7" s="1"/>
      <c r="D7" s="1"/>
    </row>
    <row r="9" spans="1:3" ht="29.25" customHeight="1">
      <c r="A9" s="2" t="s">
        <v>2</v>
      </c>
      <c r="B9" s="3" t="s">
        <v>3</v>
      </c>
      <c r="C9" s="12" t="s">
        <v>76</v>
      </c>
    </row>
    <row r="10" spans="1:3" ht="12.75">
      <c r="A10" s="4">
        <v>1</v>
      </c>
      <c r="B10" s="4" t="s">
        <v>80</v>
      </c>
      <c r="C10" s="5">
        <f>699.25+6149.53+8520.47</f>
        <v>15369.25</v>
      </c>
    </row>
    <row r="11" spans="1:3" ht="12.75">
      <c r="A11" s="4">
        <v>2</v>
      </c>
      <c r="B11" s="4" t="s">
        <v>34</v>
      </c>
      <c r="C11" s="5">
        <f>236.6+8980.16</f>
        <v>9216.76</v>
      </c>
    </row>
    <row r="12" spans="1:3" ht="12.75">
      <c r="A12" s="4">
        <v>3</v>
      </c>
      <c r="B12" s="4" t="s">
        <v>29</v>
      </c>
      <c r="C12" s="5">
        <f>1468.8+1542.5+13069.34+7220.2</f>
        <v>23300.84</v>
      </c>
    </row>
    <row r="13" spans="1:3" ht="12.75">
      <c r="A13" s="4">
        <v>4</v>
      </c>
      <c r="B13" s="4" t="s">
        <v>35</v>
      </c>
      <c r="C13" s="5">
        <f>11695.02+150906.7+30000+14000+37364.73</f>
        <v>243966.45</v>
      </c>
    </row>
    <row r="14" spans="1:3" ht="12.75">
      <c r="A14" s="4">
        <v>5</v>
      </c>
      <c r="B14" s="4" t="s">
        <v>5</v>
      </c>
      <c r="C14" s="5">
        <f>1703.39+39089.82</f>
        <v>40793.21</v>
      </c>
    </row>
    <row r="15" spans="1:3" ht="12.75">
      <c r="A15" s="4">
        <v>6</v>
      </c>
      <c r="B15" s="4" t="s">
        <v>6</v>
      </c>
      <c r="C15" s="5">
        <f>7158.98+224871.38</f>
        <v>232030.36000000002</v>
      </c>
    </row>
    <row r="16" spans="1:3" ht="12.75">
      <c r="A16" s="4">
        <v>7</v>
      </c>
      <c r="B16" s="4" t="s">
        <v>36</v>
      </c>
      <c r="C16" s="5">
        <f>280.38+8772.14</f>
        <v>9052.519999999999</v>
      </c>
    </row>
    <row r="17" spans="1:3" ht="12.75">
      <c r="A17" s="4">
        <v>8</v>
      </c>
      <c r="B17" s="4" t="s">
        <v>7</v>
      </c>
      <c r="C17" s="5">
        <v>6879.5</v>
      </c>
    </row>
    <row r="18" spans="1:3" ht="12.75">
      <c r="A18" s="4">
        <v>9</v>
      </c>
      <c r="B18" s="4" t="s">
        <v>96</v>
      </c>
      <c r="C18" s="5">
        <f>2890.42+46994.83</f>
        <v>49885.25</v>
      </c>
    </row>
    <row r="19" spans="1:3" ht="12.75">
      <c r="A19" s="4">
        <v>10</v>
      </c>
      <c r="B19" s="4" t="s">
        <v>8</v>
      </c>
      <c r="C19" s="5">
        <f>1928.07+32294.59</f>
        <v>34222.66</v>
      </c>
    </row>
    <row r="20" spans="1:3" ht="12.75">
      <c r="A20" s="4">
        <v>11</v>
      </c>
      <c r="B20" s="4" t="s">
        <v>9</v>
      </c>
      <c r="C20" s="5">
        <f>637.08+18937.93</f>
        <v>19575.010000000002</v>
      </c>
    </row>
    <row r="21" spans="1:3" ht="12.75">
      <c r="A21" s="4">
        <v>12</v>
      </c>
      <c r="B21" s="4" t="s">
        <v>10</v>
      </c>
      <c r="C21" s="5">
        <f>960.63+7846.67</f>
        <v>8807.3</v>
      </c>
    </row>
    <row r="22" spans="1:3" ht="12.75">
      <c r="A22" s="4">
        <v>13</v>
      </c>
      <c r="B22" s="4" t="s">
        <v>37</v>
      </c>
      <c r="C22" s="5">
        <f>3902.03+93763.91</f>
        <v>97665.94</v>
      </c>
    </row>
    <row r="23" spans="1:3" ht="12.75">
      <c r="A23" s="4">
        <v>14</v>
      </c>
      <c r="B23" s="4" t="s">
        <v>38</v>
      </c>
      <c r="C23" s="5">
        <f>1976.09+12550.16+1658.14+9931.06+10000</f>
        <v>36115.45</v>
      </c>
    </row>
    <row r="24" spans="1:3" ht="12.75">
      <c r="A24" s="4">
        <v>15</v>
      </c>
      <c r="B24" s="4" t="s">
        <v>39</v>
      </c>
      <c r="C24" s="5">
        <f>236.81+2195.37+1390.08</f>
        <v>3822.2599999999998</v>
      </c>
    </row>
    <row r="25" spans="1:3" ht="12.75">
      <c r="A25" s="4">
        <v>16</v>
      </c>
      <c r="B25" s="4" t="s">
        <v>11</v>
      </c>
      <c r="C25" s="5">
        <f>857.38+32207.81+28898.57+19101.43</f>
        <v>81065.19</v>
      </c>
    </row>
    <row r="26" spans="1:3" ht="12.75">
      <c r="A26" s="4">
        <v>17</v>
      </c>
      <c r="B26" s="4" t="s">
        <v>40</v>
      </c>
      <c r="C26" s="5">
        <f>3788.51+30686.88</f>
        <v>34475.39</v>
      </c>
    </row>
    <row r="27" spans="1:3" ht="12.75">
      <c r="A27" s="4">
        <v>18</v>
      </c>
      <c r="B27" s="6" t="s">
        <v>41</v>
      </c>
      <c r="C27" s="5">
        <f>3207.61+56890.85</f>
        <v>60098.46</v>
      </c>
    </row>
    <row r="28" spans="1:3" ht="12.75">
      <c r="A28" s="4">
        <v>19</v>
      </c>
      <c r="B28" s="4" t="s">
        <v>12</v>
      </c>
      <c r="C28" s="5">
        <f>3496.89+135663.01</f>
        <v>139159.90000000002</v>
      </c>
    </row>
    <row r="29" spans="1:3" ht="12.75">
      <c r="A29" s="4">
        <v>20</v>
      </c>
      <c r="B29" s="4" t="s">
        <v>13</v>
      </c>
      <c r="C29" s="5">
        <f>6471.07+74658.66</f>
        <v>81129.73000000001</v>
      </c>
    </row>
    <row r="30" spans="1:3" ht="12.75">
      <c r="A30" s="4">
        <v>21</v>
      </c>
      <c r="B30" s="4" t="s">
        <v>14</v>
      </c>
      <c r="C30" s="5">
        <f>973.13+11002.49</f>
        <v>11975.619999999999</v>
      </c>
    </row>
    <row r="31" spans="1:3" ht="12.75">
      <c r="A31" s="4">
        <v>22</v>
      </c>
      <c r="B31" s="4" t="s">
        <v>15</v>
      </c>
      <c r="C31" s="5">
        <f>16628.86+228801.38+106944.49</f>
        <v>352374.73</v>
      </c>
    </row>
    <row r="32" spans="1:3" ht="12.75">
      <c r="A32" s="4">
        <v>23</v>
      </c>
      <c r="B32" s="4" t="s">
        <v>42</v>
      </c>
      <c r="C32" s="5">
        <f>149.27+11314.32</f>
        <v>11463.59</v>
      </c>
    </row>
    <row r="33" spans="1:3" ht="12.75">
      <c r="A33" s="4">
        <v>24</v>
      </c>
      <c r="B33" s="4" t="s">
        <v>16</v>
      </c>
      <c r="C33" s="5">
        <f>1603.85+55426.18</f>
        <v>57030.03</v>
      </c>
    </row>
    <row r="34" spans="1:3" ht="12.75">
      <c r="A34" s="4">
        <v>25</v>
      </c>
      <c r="B34" s="4" t="s">
        <v>17</v>
      </c>
      <c r="C34" s="5">
        <f>47.43+6285.66</f>
        <v>6333.09</v>
      </c>
    </row>
    <row r="35" spans="1:3" ht="12.75">
      <c r="A35" s="4">
        <v>26</v>
      </c>
      <c r="B35" s="4" t="s">
        <v>43</v>
      </c>
      <c r="C35" s="5">
        <f>1335.72+17685.98</f>
        <v>19021.7</v>
      </c>
    </row>
    <row r="36" spans="1:3" ht="12.75">
      <c r="A36" s="4">
        <v>27</v>
      </c>
      <c r="B36" s="4" t="s">
        <v>71</v>
      </c>
      <c r="C36" s="5">
        <f>985.53+10531.36</f>
        <v>11516.890000000001</v>
      </c>
    </row>
    <row r="37" spans="1:3" ht="12.75">
      <c r="A37" s="4">
        <v>28</v>
      </c>
      <c r="B37" s="4" t="s">
        <v>44</v>
      </c>
      <c r="C37" s="5">
        <f>1783.86+17153.19</f>
        <v>18937.05</v>
      </c>
    </row>
    <row r="38" spans="1:3" ht="12.75">
      <c r="A38" s="4">
        <v>29</v>
      </c>
      <c r="B38" s="4" t="s">
        <v>18</v>
      </c>
      <c r="C38" s="5">
        <f>62.48+21907.45</f>
        <v>21969.93</v>
      </c>
    </row>
    <row r="39" spans="1:3" ht="12.75">
      <c r="A39" s="4">
        <v>30</v>
      </c>
      <c r="B39" s="4" t="s">
        <v>19</v>
      </c>
      <c r="C39" s="5">
        <f>2558.71+71955.27+3354.12+15900+42000</f>
        <v>135768.1</v>
      </c>
    </row>
    <row r="40" spans="1:3" ht="12.75">
      <c r="A40" s="4">
        <v>31</v>
      </c>
      <c r="B40" s="4" t="s">
        <v>20</v>
      </c>
      <c r="C40" s="5">
        <f>31403.42+707189.53</f>
        <v>738592.9500000001</v>
      </c>
    </row>
    <row r="41" spans="1:3" ht="12.75">
      <c r="A41" s="4">
        <v>32</v>
      </c>
      <c r="B41" s="4" t="s">
        <v>45</v>
      </c>
      <c r="C41" s="5">
        <f>1328.64+27627.5</f>
        <v>28956.14</v>
      </c>
    </row>
    <row r="42" spans="1:3" ht="12.75">
      <c r="A42" s="4">
        <v>33</v>
      </c>
      <c r="B42" s="4" t="s">
        <v>95</v>
      </c>
      <c r="C42" s="5">
        <f>3513.82+70559.92</f>
        <v>74073.74</v>
      </c>
    </row>
    <row r="43" spans="1:3" ht="12.75">
      <c r="A43" s="4">
        <v>34</v>
      </c>
      <c r="B43" s="4" t="s">
        <v>21</v>
      </c>
      <c r="C43" s="5">
        <f>2104.82+93538.19</f>
        <v>95643.01000000001</v>
      </c>
    </row>
    <row r="44" spans="1:3" ht="12.75">
      <c r="A44" s="4">
        <v>35</v>
      </c>
      <c r="B44" s="4" t="s">
        <v>47</v>
      </c>
      <c r="C44" s="5">
        <f>1749.19+29007.33</f>
        <v>30756.52</v>
      </c>
    </row>
    <row r="45" spans="1:3" ht="12.75">
      <c r="A45" s="4">
        <v>36</v>
      </c>
      <c r="B45" s="6" t="s">
        <v>22</v>
      </c>
      <c r="C45" s="5">
        <f>641.63+55727</f>
        <v>56368.63</v>
      </c>
    </row>
    <row r="46" spans="1:3" ht="12.75">
      <c r="A46" s="4">
        <v>37</v>
      </c>
      <c r="B46" s="4" t="s">
        <v>74</v>
      </c>
      <c r="C46" s="5">
        <f>1464.02+12953.46+5006.12</f>
        <v>19423.6</v>
      </c>
    </row>
    <row r="47" spans="1:3" ht="12.75">
      <c r="A47" s="4">
        <v>38</v>
      </c>
      <c r="B47" s="6" t="s">
        <v>23</v>
      </c>
      <c r="C47" s="5">
        <v>24808.99</v>
      </c>
    </row>
    <row r="48" spans="1:3" ht="12.75">
      <c r="A48" s="4">
        <v>39</v>
      </c>
      <c r="B48" s="4" t="s">
        <v>48</v>
      </c>
      <c r="C48" s="5">
        <f>3034.39+29966.72</f>
        <v>33001.11</v>
      </c>
    </row>
    <row r="49" spans="1:3" ht="12.75">
      <c r="A49" s="4">
        <v>40</v>
      </c>
      <c r="B49" s="4" t="s">
        <v>97</v>
      </c>
      <c r="C49" s="5">
        <f>326.28+2274.13</f>
        <v>2600.41</v>
      </c>
    </row>
    <row r="50" spans="1:3" ht="12.75">
      <c r="A50" s="4">
        <v>41</v>
      </c>
      <c r="B50" s="4" t="s">
        <v>49</v>
      </c>
      <c r="C50" s="5">
        <f>1008.77+18.52+25347.24</f>
        <v>26374.530000000002</v>
      </c>
    </row>
    <row r="51" spans="1:3" ht="12.75">
      <c r="A51" s="4">
        <v>42</v>
      </c>
      <c r="B51" s="4" t="s">
        <v>79</v>
      </c>
      <c r="C51" s="5">
        <f>530.92+8152.94</f>
        <v>8683.859999999999</v>
      </c>
    </row>
    <row r="52" spans="1:3" ht="12.75">
      <c r="A52" s="4">
        <v>43</v>
      </c>
      <c r="B52" s="4" t="s">
        <v>24</v>
      </c>
      <c r="C52" s="5">
        <f>2892.39+52768.53</f>
        <v>55660.92</v>
      </c>
    </row>
    <row r="53" spans="1:3" ht="12.75">
      <c r="A53" s="4">
        <v>44</v>
      </c>
      <c r="B53" s="4" t="s">
        <v>50</v>
      </c>
      <c r="C53" s="5">
        <f>451.72+3763.52</f>
        <v>4215.24</v>
      </c>
    </row>
    <row r="54" spans="1:3" ht="12.75">
      <c r="A54" s="4">
        <v>45</v>
      </c>
      <c r="B54" s="4" t="s">
        <v>73</v>
      </c>
      <c r="C54" s="5">
        <f>2199.23+24351.18</f>
        <v>26550.41</v>
      </c>
    </row>
    <row r="55" spans="1:3" ht="12.75">
      <c r="A55" s="4">
        <v>46</v>
      </c>
      <c r="B55" s="4" t="s">
        <v>51</v>
      </c>
      <c r="C55" s="5">
        <f>3608.33+25290.18</f>
        <v>28898.510000000002</v>
      </c>
    </row>
    <row r="56" spans="1:3" ht="12.75">
      <c r="A56" s="4">
        <v>47</v>
      </c>
      <c r="B56" s="6" t="s">
        <v>52</v>
      </c>
      <c r="C56" s="5">
        <f>3222.53+72643.75</f>
        <v>75866.28</v>
      </c>
    </row>
    <row r="57" spans="1:3" ht="12.75">
      <c r="A57" s="4">
        <v>48</v>
      </c>
      <c r="B57" s="4" t="s">
        <v>25</v>
      </c>
      <c r="C57" s="5">
        <f>4257.06+102348.77+40000+74575.52</f>
        <v>221181.35000000003</v>
      </c>
    </row>
    <row r="58" spans="1:3" ht="12.75">
      <c r="A58" s="4">
        <v>49</v>
      </c>
      <c r="B58" s="4" t="s">
        <v>26</v>
      </c>
      <c r="C58" s="5">
        <f>284.4+2837.81</f>
        <v>3122.21</v>
      </c>
    </row>
    <row r="59" spans="1:3" ht="12.75">
      <c r="A59" s="4">
        <v>50</v>
      </c>
      <c r="B59" s="4" t="s">
        <v>27</v>
      </c>
      <c r="C59" s="5">
        <f>26820.65+1389912.41+57378.55</f>
        <v>1474111.6099999999</v>
      </c>
    </row>
    <row r="60" spans="1:3" ht="12.75">
      <c r="A60" s="4">
        <v>51</v>
      </c>
      <c r="B60" s="4" t="s">
        <v>28</v>
      </c>
      <c r="C60" s="5">
        <f>7506.86+191871.11</f>
        <v>199377.96999999997</v>
      </c>
    </row>
    <row r="61" spans="1:3" ht="12.75">
      <c r="A61" s="4">
        <v>52</v>
      </c>
      <c r="B61" s="4" t="s">
        <v>53</v>
      </c>
      <c r="C61" s="5">
        <f>106.57+10512.38</f>
        <v>10618.949999999999</v>
      </c>
    </row>
    <row r="62" spans="1:4" ht="12.75">
      <c r="A62" s="4">
        <v>53</v>
      </c>
      <c r="B62" s="4" t="s">
        <v>31</v>
      </c>
      <c r="C62" s="5">
        <f>8701.8+29527.17+128453.26</f>
        <v>166682.22999999998</v>
      </c>
      <c r="D62" s="15" t="s">
        <v>103</v>
      </c>
    </row>
    <row r="63" spans="1:3" ht="12.75">
      <c r="A63" s="4">
        <v>54</v>
      </c>
      <c r="B63" s="4" t="s">
        <v>54</v>
      </c>
      <c r="C63" s="5">
        <f>869.61+20372.37+9838.25</f>
        <v>31080.23</v>
      </c>
    </row>
    <row r="64" spans="1:3" ht="12.75">
      <c r="A64" s="4">
        <v>55</v>
      </c>
      <c r="B64" s="4" t="s">
        <v>32</v>
      </c>
      <c r="C64" s="5">
        <f>2864.15+7380.12+37000+12655.02</f>
        <v>59899.29000000001</v>
      </c>
    </row>
    <row r="65" spans="1:3" ht="12.75">
      <c r="A65" s="4">
        <v>56</v>
      </c>
      <c r="B65" s="4" t="s">
        <v>30</v>
      </c>
      <c r="C65" s="5">
        <f>6953.77+76950.15</f>
        <v>83903.92</v>
      </c>
    </row>
    <row r="66" spans="1:3" ht="12.75">
      <c r="A66" s="4">
        <v>57</v>
      </c>
      <c r="B66" s="4" t="s">
        <v>33</v>
      </c>
      <c r="C66" s="5">
        <f>2498.21+31602.24</f>
        <v>34100.450000000004</v>
      </c>
    </row>
    <row r="67" spans="1:3" ht="12.75">
      <c r="A67" s="4">
        <v>58</v>
      </c>
      <c r="B67" s="4" t="s">
        <v>59</v>
      </c>
      <c r="C67" s="5">
        <f>9729.9+539293.16</f>
        <v>549023.06</v>
      </c>
    </row>
    <row r="68" spans="1:3" ht="12.75">
      <c r="A68" s="4">
        <v>59</v>
      </c>
      <c r="B68" s="4" t="s">
        <v>60</v>
      </c>
      <c r="C68" s="5">
        <f>486.29+1815.43+31142.87</f>
        <v>33444.59</v>
      </c>
    </row>
    <row r="69" spans="1:3" ht="12.75">
      <c r="A69" s="4">
        <v>60</v>
      </c>
      <c r="B69" s="4" t="s">
        <v>55</v>
      </c>
      <c r="C69" s="5">
        <f>965.39+6561.6</f>
        <v>7526.990000000001</v>
      </c>
    </row>
    <row r="70" spans="1:3" ht="12.75">
      <c r="A70" s="4">
        <v>61</v>
      </c>
      <c r="B70" s="4" t="s">
        <v>61</v>
      </c>
      <c r="C70" s="5">
        <f>430.37+763.61+10902.27</f>
        <v>12096.25</v>
      </c>
    </row>
    <row r="71" spans="1:3" ht="12.75">
      <c r="A71" s="4">
        <v>62</v>
      </c>
      <c r="B71" s="4" t="s">
        <v>62</v>
      </c>
      <c r="C71" s="5">
        <f>1440.26+11079.79+5000</f>
        <v>17520.050000000003</v>
      </c>
    </row>
    <row r="72" spans="1:3" ht="12.75">
      <c r="A72" s="4">
        <v>63</v>
      </c>
      <c r="B72" s="4" t="s">
        <v>63</v>
      </c>
      <c r="C72" s="5">
        <f>1512.88+18195.84</f>
        <v>19708.72</v>
      </c>
    </row>
    <row r="73" spans="1:3" ht="12.75">
      <c r="A73" s="4">
        <v>64</v>
      </c>
      <c r="B73" s="4" t="s">
        <v>64</v>
      </c>
      <c r="C73" s="5">
        <f>1118.52+15141.71</f>
        <v>16260.23</v>
      </c>
    </row>
    <row r="74" spans="1:3" ht="12.75">
      <c r="A74" s="4">
        <v>65</v>
      </c>
      <c r="B74" s="4" t="s">
        <v>65</v>
      </c>
      <c r="C74" s="5">
        <f>974.74+21226.59</f>
        <v>22201.33</v>
      </c>
    </row>
    <row r="75" spans="1:3" ht="12.75">
      <c r="A75" s="4">
        <v>66</v>
      </c>
      <c r="B75" s="4" t="s">
        <v>56</v>
      </c>
      <c r="C75" s="5">
        <f>2573.66+28839.72</f>
        <v>31413.38</v>
      </c>
    </row>
    <row r="76" spans="1:3" ht="12.75">
      <c r="A76" s="4">
        <v>67</v>
      </c>
      <c r="B76" s="4" t="s">
        <v>99</v>
      </c>
      <c r="C76" s="5">
        <f>1128.38+24120.5</f>
        <v>25248.88</v>
      </c>
    </row>
    <row r="77" spans="1:3" ht="12.75">
      <c r="A77" s="4">
        <v>68</v>
      </c>
      <c r="B77" s="4" t="s">
        <v>101</v>
      </c>
      <c r="C77" s="5">
        <f>9463.61+89969.44</f>
        <v>99433.05</v>
      </c>
    </row>
    <row r="78" spans="1:3" ht="12.75">
      <c r="A78" s="4">
        <v>69</v>
      </c>
      <c r="B78" s="4" t="s">
        <v>100</v>
      </c>
      <c r="C78" s="5">
        <f>2632.45+11378.27</f>
        <v>14010.720000000001</v>
      </c>
    </row>
    <row r="79" spans="1:3" ht="12.75">
      <c r="A79" s="4">
        <v>70</v>
      </c>
      <c r="B79" s="4" t="s">
        <v>67</v>
      </c>
      <c r="C79" s="5">
        <f>9622.57+161404.96</f>
        <v>171027.53</v>
      </c>
    </row>
    <row r="80" spans="1:3" ht="12.75">
      <c r="A80" s="4"/>
      <c r="B80" s="8" t="s">
        <v>68</v>
      </c>
      <c r="C80" s="9">
        <f>SUM(C10:C79)</f>
        <v>6506490.000000001</v>
      </c>
    </row>
    <row r="83" ht="12.75">
      <c r="C83">
        <f>243980+5477722.65+59652.68+106944.49+163440.86+158379.41+292784.46+2195.37+1390.08</f>
        <v>6506490.000000001</v>
      </c>
    </row>
    <row r="84" ht="12.75">
      <c r="C84" s="11">
        <f>+C80-C83</f>
        <v>0</v>
      </c>
    </row>
    <row r="87" ht="12.75">
      <c r="C87">
        <f>243980+6262510</f>
        <v>6506490</v>
      </c>
    </row>
    <row r="88" ht="12.75">
      <c r="C88" s="11">
        <f>+C80-C87</f>
        <v>0</v>
      </c>
    </row>
  </sheetData>
  <sheetProtection/>
  <printOptions/>
  <pageMargins left="0.5511811023622047" right="0.5511811023622047" top="0.2362204724409449" bottom="0.2755905511811024" header="0.196850393700787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61">
      <selection activeCell="C89" sqref="C89"/>
    </sheetView>
  </sheetViews>
  <sheetFormatPr defaultColWidth="9.140625" defaultRowHeight="12.75"/>
  <cols>
    <col min="2" max="2" width="3.57421875" style="0" customWidth="1"/>
    <col min="3" max="3" width="29.140625" style="0" bestFit="1" customWidth="1"/>
    <col min="4" max="4" width="13.00390625" style="0" customWidth="1"/>
  </cols>
  <sheetData>
    <row r="1" spans="1:3" ht="12.75">
      <c r="A1" s="1" t="s">
        <v>69</v>
      </c>
      <c r="B1" s="1"/>
      <c r="C1" s="1"/>
    </row>
    <row r="4" spans="3:4" ht="12.75">
      <c r="C4" s="1" t="s">
        <v>70</v>
      </c>
      <c r="D4" s="1"/>
    </row>
    <row r="5" spans="3:4" ht="12.75">
      <c r="C5" s="1" t="s">
        <v>98</v>
      </c>
      <c r="D5" s="1"/>
    </row>
    <row r="6" spans="3:4" ht="12.75">
      <c r="C6" s="1"/>
      <c r="D6" s="1"/>
    </row>
    <row r="7" spans="3:4" ht="12.75">
      <c r="C7" s="1"/>
      <c r="D7" s="1"/>
    </row>
    <row r="9" spans="2:4" ht="29.25" customHeight="1">
      <c r="B9" s="2" t="s">
        <v>2</v>
      </c>
      <c r="C9" s="3" t="s">
        <v>3</v>
      </c>
      <c r="D9" s="12" t="s">
        <v>76</v>
      </c>
    </row>
    <row r="10" spans="2:4" ht="12.75">
      <c r="B10" s="4">
        <v>1</v>
      </c>
      <c r="C10" s="4" t="s">
        <v>80</v>
      </c>
      <c r="D10" s="5">
        <f>8255.79+5747.07</f>
        <v>14002.86</v>
      </c>
    </row>
    <row r="11" spans="2:4" ht="12.75">
      <c r="B11" s="4">
        <v>2</v>
      </c>
      <c r="C11" s="4" t="s">
        <v>34</v>
      </c>
      <c r="D11" s="5">
        <v>2296.05</v>
      </c>
    </row>
    <row r="12" spans="2:4" ht="12.75">
      <c r="B12" s="4">
        <v>3</v>
      </c>
      <c r="C12" s="4" t="s">
        <v>29</v>
      </c>
      <c r="D12" s="5">
        <f>2506.16+10264.26+16518.39</f>
        <v>29288.809999999998</v>
      </c>
    </row>
    <row r="13" spans="2:4" ht="12.75">
      <c r="B13" s="4">
        <v>4</v>
      </c>
      <c r="C13" s="4" t="s">
        <v>35</v>
      </c>
      <c r="D13" s="5">
        <f>59808.77+51256.14+24485+30000+71127</f>
        <v>236676.91</v>
      </c>
    </row>
    <row r="14" spans="2:4" ht="12.75">
      <c r="B14" s="4">
        <v>5</v>
      </c>
      <c r="C14" s="4" t="s">
        <v>5</v>
      </c>
      <c r="D14" s="5">
        <v>48561.45</v>
      </c>
    </row>
    <row r="15" spans="2:4" ht="12.75">
      <c r="B15" s="4">
        <v>6</v>
      </c>
      <c r="C15" s="4" t="s">
        <v>6</v>
      </c>
      <c r="D15" s="5">
        <v>248384.88</v>
      </c>
    </row>
    <row r="16" spans="2:4" ht="12.75">
      <c r="B16" s="4">
        <v>7</v>
      </c>
      <c r="C16" s="4" t="s">
        <v>36</v>
      </c>
      <c r="D16" s="5">
        <v>9299.46</v>
      </c>
    </row>
    <row r="17" spans="2:4" ht="12.75">
      <c r="B17" s="4">
        <v>8</v>
      </c>
      <c r="C17" s="4" t="s">
        <v>7</v>
      </c>
      <c r="D17" s="5">
        <v>10348.83</v>
      </c>
    </row>
    <row r="18" spans="2:4" ht="12.75">
      <c r="B18" s="4">
        <v>9</v>
      </c>
      <c r="C18" s="4" t="s">
        <v>96</v>
      </c>
      <c r="D18" s="5"/>
    </row>
    <row r="19" spans="2:4" ht="12.75">
      <c r="B19" s="4">
        <v>10</v>
      </c>
      <c r="C19" s="4" t="s">
        <v>8</v>
      </c>
      <c r="D19" s="5">
        <v>36253.69</v>
      </c>
    </row>
    <row r="20" spans="2:4" ht="12.75">
      <c r="B20" s="4">
        <v>11</v>
      </c>
      <c r="C20" s="4" t="s">
        <v>9</v>
      </c>
      <c r="D20" s="5">
        <v>22402.62</v>
      </c>
    </row>
    <row r="21" spans="2:4" ht="12.75">
      <c r="B21" s="4">
        <v>12</v>
      </c>
      <c r="C21" s="4" t="s">
        <v>10</v>
      </c>
      <c r="D21" s="5">
        <v>7699.29</v>
      </c>
    </row>
    <row r="22" spans="2:4" ht="12.75">
      <c r="B22" s="4">
        <v>13</v>
      </c>
      <c r="C22" s="4" t="s">
        <v>37</v>
      </c>
      <c r="D22" s="5">
        <v>84418.42</v>
      </c>
    </row>
    <row r="23" spans="2:4" ht="12.75">
      <c r="B23" s="4">
        <v>14</v>
      </c>
      <c r="C23" s="4" t="s">
        <v>38</v>
      </c>
      <c r="D23" s="5">
        <f>4638.03+10000+22000+1254.65</f>
        <v>37892.68</v>
      </c>
    </row>
    <row r="24" spans="2:4" ht="12.75">
      <c r="B24" s="4">
        <v>15</v>
      </c>
      <c r="C24" s="4" t="s">
        <v>39</v>
      </c>
      <c r="D24" s="5">
        <v>5528.78</v>
      </c>
    </row>
    <row r="25" spans="2:4" ht="12.75">
      <c r="B25" s="4">
        <v>16</v>
      </c>
      <c r="C25" s="4" t="s">
        <v>11</v>
      </c>
      <c r="D25" s="5">
        <f>1672.4+51163.69+42875</f>
        <v>95711.09</v>
      </c>
    </row>
    <row r="26" spans="2:4" ht="12.75">
      <c r="B26" s="4">
        <v>17</v>
      </c>
      <c r="C26" s="4" t="s">
        <v>40</v>
      </c>
      <c r="D26" s="5">
        <v>30035.52</v>
      </c>
    </row>
    <row r="27" spans="2:4" ht="12.75">
      <c r="B27" s="4">
        <v>18</v>
      </c>
      <c r="C27" s="6" t="s">
        <v>41</v>
      </c>
      <c r="D27" s="5">
        <v>53918.42</v>
      </c>
    </row>
    <row r="28" spans="2:4" ht="12.75">
      <c r="B28" s="4">
        <v>19</v>
      </c>
      <c r="C28" s="4" t="s">
        <v>12</v>
      </c>
      <c r="D28" s="5">
        <v>180750.08</v>
      </c>
    </row>
    <row r="29" spans="2:4" ht="12.75">
      <c r="B29" s="4">
        <v>20</v>
      </c>
      <c r="C29" s="4" t="s">
        <v>13</v>
      </c>
      <c r="D29" s="5">
        <v>88416.25</v>
      </c>
    </row>
    <row r="30" spans="2:4" ht="12.75">
      <c r="B30" s="4">
        <v>21</v>
      </c>
      <c r="C30" s="4" t="s">
        <v>14</v>
      </c>
      <c r="D30" s="5">
        <v>14680.46</v>
      </c>
    </row>
    <row r="31" spans="2:4" ht="12.75">
      <c r="B31" s="4">
        <v>22</v>
      </c>
      <c r="C31" s="4" t="s">
        <v>15</v>
      </c>
      <c r="D31" s="5">
        <f>196636.63+134021.73</f>
        <v>330658.36</v>
      </c>
    </row>
    <row r="32" spans="2:4" ht="12.75">
      <c r="B32" s="4">
        <v>23</v>
      </c>
      <c r="C32" s="4" t="s">
        <v>42</v>
      </c>
      <c r="D32" s="5">
        <v>13674.35</v>
      </c>
    </row>
    <row r="33" spans="2:4" ht="12.75">
      <c r="B33" s="4">
        <v>24</v>
      </c>
      <c r="C33" s="4" t="s">
        <v>16</v>
      </c>
      <c r="D33" s="5">
        <v>68031.52</v>
      </c>
    </row>
    <row r="34" spans="2:4" ht="12.75">
      <c r="B34" s="4">
        <v>25</v>
      </c>
      <c r="C34" s="4" t="s">
        <v>17</v>
      </c>
      <c r="D34" s="5">
        <v>8247.84</v>
      </c>
    </row>
    <row r="35" spans="2:4" ht="12.75">
      <c r="B35" s="4">
        <v>26</v>
      </c>
      <c r="C35" s="4" t="s">
        <v>43</v>
      </c>
      <c r="D35" s="5">
        <v>18961.57</v>
      </c>
    </row>
    <row r="36" spans="2:4" ht="12.75">
      <c r="B36" s="4">
        <v>27</v>
      </c>
      <c r="C36" s="4" t="s">
        <v>71</v>
      </c>
      <c r="D36" s="5">
        <v>11735.57</v>
      </c>
    </row>
    <row r="37" spans="2:4" ht="12.75">
      <c r="B37" s="4">
        <v>28</v>
      </c>
      <c r="C37" s="4" t="s">
        <v>44</v>
      </c>
      <c r="D37" s="5">
        <v>23562.37</v>
      </c>
    </row>
    <row r="38" spans="2:4" ht="12.75">
      <c r="B38" s="4">
        <v>29</v>
      </c>
      <c r="C38" s="4" t="s">
        <v>18</v>
      </c>
      <c r="D38" s="5">
        <v>24477.66</v>
      </c>
    </row>
    <row r="39" spans="2:4" ht="12.75">
      <c r="B39" s="4">
        <v>30</v>
      </c>
      <c r="C39" s="4" t="s">
        <v>19</v>
      </c>
      <c r="D39" s="5">
        <f>50326.36+27159+69000</f>
        <v>146485.36</v>
      </c>
    </row>
    <row r="40" spans="2:4" ht="12.75">
      <c r="B40" s="4">
        <v>31</v>
      </c>
      <c r="C40" s="4" t="s">
        <v>20</v>
      </c>
      <c r="D40" s="5">
        <v>687437.93</v>
      </c>
    </row>
    <row r="41" spans="2:4" ht="12.75">
      <c r="B41" s="4">
        <v>32</v>
      </c>
      <c r="C41" s="4" t="s">
        <v>45</v>
      </c>
      <c r="D41" s="5">
        <v>27087.93</v>
      </c>
    </row>
    <row r="42" spans="2:4" ht="12.75">
      <c r="B42" s="4">
        <v>33</v>
      </c>
      <c r="C42" s="4" t="s">
        <v>95</v>
      </c>
      <c r="D42" s="5">
        <v>72847.31</v>
      </c>
    </row>
    <row r="43" spans="2:4" ht="12.75">
      <c r="B43" s="4">
        <v>34</v>
      </c>
      <c r="C43" s="4" t="s">
        <v>21</v>
      </c>
      <c r="D43" s="5">
        <v>111114.84</v>
      </c>
    </row>
    <row r="44" spans="2:4" ht="12.75">
      <c r="B44" s="4">
        <v>35</v>
      </c>
      <c r="C44" s="4" t="s">
        <v>47</v>
      </c>
      <c r="D44" s="5">
        <v>30536.98</v>
      </c>
    </row>
    <row r="45" spans="2:4" ht="12.75">
      <c r="B45" s="4">
        <v>36</v>
      </c>
      <c r="C45" s="6" t="s">
        <v>22</v>
      </c>
      <c r="D45" s="5">
        <v>37818.37</v>
      </c>
    </row>
    <row r="46" spans="2:4" ht="12.75">
      <c r="B46" s="4">
        <v>37</v>
      </c>
      <c r="C46" s="4" t="s">
        <v>74</v>
      </c>
      <c r="D46" s="5">
        <f>14372.66+5000</f>
        <v>19372.66</v>
      </c>
    </row>
    <row r="47" spans="2:4" ht="12.75">
      <c r="B47" s="4">
        <v>38</v>
      </c>
      <c r="C47" s="6" t="s">
        <v>23</v>
      </c>
      <c r="D47" s="5">
        <v>27102.95</v>
      </c>
    </row>
    <row r="48" spans="2:4" ht="12.75">
      <c r="B48" s="4">
        <v>39</v>
      </c>
      <c r="C48" s="4" t="s">
        <v>48</v>
      </c>
      <c r="D48" s="5">
        <v>34204.84</v>
      </c>
    </row>
    <row r="49" spans="2:4" ht="12.75">
      <c r="B49" s="4">
        <v>40</v>
      </c>
      <c r="C49" s="4" t="s">
        <v>97</v>
      </c>
      <c r="D49" s="5">
        <v>2921.39</v>
      </c>
    </row>
    <row r="50" spans="2:4" ht="12.75">
      <c r="B50" s="4">
        <v>41</v>
      </c>
      <c r="C50" s="4" t="s">
        <v>49</v>
      </c>
      <c r="D50" s="5">
        <f>10000+35573.74</f>
        <v>45573.74</v>
      </c>
    </row>
    <row r="51" spans="2:4" ht="12.75">
      <c r="B51" s="4">
        <v>42</v>
      </c>
      <c r="C51" s="4" t="s">
        <v>79</v>
      </c>
      <c r="D51" s="5">
        <v>9626.09</v>
      </c>
    </row>
    <row r="52" spans="2:4" ht="12.75">
      <c r="B52" s="4">
        <v>43</v>
      </c>
      <c r="C52" s="4" t="s">
        <v>24</v>
      </c>
      <c r="D52" s="5">
        <v>56331.96</v>
      </c>
    </row>
    <row r="53" spans="2:4" ht="12.75">
      <c r="B53" s="4">
        <v>44</v>
      </c>
      <c r="C53" s="4" t="s">
        <v>50</v>
      </c>
      <c r="D53" s="5">
        <v>4961.82</v>
      </c>
    </row>
    <row r="54" spans="2:4" ht="12.75">
      <c r="B54" s="4">
        <v>45</v>
      </c>
      <c r="C54" s="4" t="s">
        <v>73</v>
      </c>
      <c r="D54" s="5">
        <v>25696.56</v>
      </c>
    </row>
    <row r="55" spans="2:4" ht="12.75">
      <c r="B55" s="4">
        <v>46</v>
      </c>
      <c r="C55" s="4" t="s">
        <v>51</v>
      </c>
      <c r="D55" s="5">
        <v>29256.37</v>
      </c>
    </row>
    <row r="56" spans="2:4" ht="12.75">
      <c r="B56" s="4">
        <v>47</v>
      </c>
      <c r="C56" s="6" t="s">
        <v>52</v>
      </c>
      <c r="D56" s="5">
        <v>74350.74</v>
      </c>
    </row>
    <row r="57" spans="2:4" ht="12.75">
      <c r="B57" s="4">
        <v>48</v>
      </c>
      <c r="C57" s="4" t="s">
        <v>25</v>
      </c>
      <c r="D57" s="5">
        <f>49564.98+92541+86766.8</f>
        <v>228872.78000000003</v>
      </c>
    </row>
    <row r="58" spans="2:4" ht="12.75">
      <c r="B58" s="4">
        <v>49</v>
      </c>
      <c r="C58" s="4" t="s">
        <v>26</v>
      </c>
      <c r="D58" s="5">
        <v>2931.42</v>
      </c>
    </row>
    <row r="59" spans="2:4" ht="12.75">
      <c r="B59" s="4">
        <v>50</v>
      </c>
      <c r="C59" s="4" t="s">
        <v>27</v>
      </c>
      <c r="D59" s="5">
        <f>1479551.15+56082.31</f>
        <v>1535633.46</v>
      </c>
    </row>
    <row r="60" spans="2:4" ht="12.75">
      <c r="B60" s="4">
        <v>51</v>
      </c>
      <c r="C60" s="4" t="s">
        <v>28</v>
      </c>
      <c r="D60" s="5">
        <v>212326.24</v>
      </c>
    </row>
    <row r="61" spans="2:4" ht="12.75">
      <c r="B61" s="4">
        <v>52</v>
      </c>
      <c r="C61" s="4" t="s">
        <v>53</v>
      </c>
      <c r="D61" s="5">
        <v>8488.3</v>
      </c>
    </row>
    <row r="62" spans="2:4" ht="12.75">
      <c r="B62" s="4">
        <v>53</v>
      </c>
      <c r="C62" s="4" t="s">
        <v>31</v>
      </c>
      <c r="D62" s="5">
        <v>127356.85</v>
      </c>
    </row>
    <row r="63" spans="2:4" ht="12.75">
      <c r="B63" s="4">
        <v>54</v>
      </c>
      <c r="C63" s="4" t="s">
        <v>54</v>
      </c>
      <c r="D63" s="5">
        <f>2096.75+9838.25+13890.98+5000</f>
        <v>30825.98</v>
      </c>
    </row>
    <row r="64" spans="2:4" ht="12.75">
      <c r="B64" s="4">
        <v>55</v>
      </c>
      <c r="C64" s="4" t="s">
        <v>32</v>
      </c>
      <c r="D64" s="5">
        <f>177.29+16116.13+35000</f>
        <v>51293.42</v>
      </c>
    </row>
    <row r="65" spans="2:4" ht="12.75">
      <c r="B65" s="4">
        <v>56</v>
      </c>
      <c r="C65" s="4" t="s">
        <v>30</v>
      </c>
      <c r="D65" s="5">
        <v>83934.8</v>
      </c>
    </row>
    <row r="66" spans="2:4" ht="12.75">
      <c r="B66" s="4">
        <v>57</v>
      </c>
      <c r="C66" s="4" t="s">
        <v>33</v>
      </c>
      <c r="D66" s="5">
        <v>34406.5</v>
      </c>
    </row>
    <row r="67" spans="2:4" ht="12.75">
      <c r="B67" s="4">
        <v>58</v>
      </c>
      <c r="C67" s="4" t="s">
        <v>59</v>
      </c>
      <c r="D67" s="5">
        <v>715001.39</v>
      </c>
    </row>
    <row r="68" spans="2:4" ht="12.75">
      <c r="B68" s="4">
        <v>59</v>
      </c>
      <c r="C68" s="4" t="s">
        <v>60</v>
      </c>
      <c r="D68" s="5">
        <v>38692.58</v>
      </c>
    </row>
    <row r="69" spans="2:4" ht="12.75">
      <c r="B69" s="4">
        <v>60</v>
      </c>
      <c r="C69" s="4" t="s">
        <v>55</v>
      </c>
      <c r="D69" s="5">
        <f>611.34+4985.87</f>
        <v>5597.21</v>
      </c>
    </row>
    <row r="70" spans="2:4" ht="12.75">
      <c r="B70" s="4">
        <v>61</v>
      </c>
      <c r="C70" s="4" t="s">
        <v>61</v>
      </c>
      <c r="D70" s="5">
        <f>617.82+12074.07</f>
        <v>12691.89</v>
      </c>
    </row>
    <row r="71" spans="2:4" ht="12.75">
      <c r="B71" s="4">
        <v>62</v>
      </c>
      <c r="C71" s="4" t="s">
        <v>62</v>
      </c>
      <c r="D71" s="5">
        <f>4694.74+10000</f>
        <v>14694.74</v>
      </c>
    </row>
    <row r="72" spans="2:4" ht="12.75">
      <c r="B72" s="4">
        <v>63</v>
      </c>
      <c r="C72" s="4" t="s">
        <v>63</v>
      </c>
      <c r="D72" s="5">
        <v>16677.77</v>
      </c>
    </row>
    <row r="73" spans="2:4" ht="12.75">
      <c r="B73" s="4">
        <v>64</v>
      </c>
      <c r="C73" s="4" t="s">
        <v>64</v>
      </c>
      <c r="D73" s="5">
        <v>19553.27</v>
      </c>
    </row>
    <row r="74" spans="2:4" ht="12.75">
      <c r="B74" s="4">
        <v>65</v>
      </c>
      <c r="C74" s="4" t="s">
        <v>65</v>
      </c>
      <c r="D74" s="5">
        <v>27732.94</v>
      </c>
    </row>
    <row r="75" spans="2:4" ht="12.75">
      <c r="B75" s="4">
        <v>66</v>
      </c>
      <c r="C75" s="4" t="s">
        <v>56</v>
      </c>
      <c r="D75" s="5">
        <v>32057.92</v>
      </c>
    </row>
    <row r="76" spans="2:4" ht="12.75">
      <c r="B76" s="4">
        <v>67</v>
      </c>
      <c r="C76" s="4" t="s">
        <v>99</v>
      </c>
      <c r="D76" s="5">
        <v>28975.43</v>
      </c>
    </row>
    <row r="77" spans="2:4" ht="12.75">
      <c r="B77" s="4">
        <v>68</v>
      </c>
      <c r="C77" s="4" t="s">
        <v>101</v>
      </c>
      <c r="D77" s="5">
        <v>98184.52</v>
      </c>
    </row>
    <row r="78" spans="2:4" ht="12.75">
      <c r="B78" s="4">
        <v>69</v>
      </c>
      <c r="C78" s="4" t="s">
        <v>100</v>
      </c>
      <c r="D78" s="5">
        <v>14183.8</v>
      </c>
    </row>
    <row r="79" spans="2:4" ht="12.75">
      <c r="B79" s="4">
        <v>70</v>
      </c>
      <c r="C79" s="4" t="s">
        <v>67</v>
      </c>
      <c r="D79" s="5">
        <v>167843.16</v>
      </c>
    </row>
    <row r="80" spans="2:4" ht="12.75">
      <c r="B80" s="4"/>
      <c r="C80" s="8" t="s">
        <v>68</v>
      </c>
      <c r="D80" s="9">
        <f>SUM(D10:D79)</f>
        <v>6706599.999999999</v>
      </c>
    </row>
  </sheetData>
  <sheetProtection/>
  <printOptions/>
  <pageMargins left="0.75" right="0.75" top="0.23" bottom="0.29" header="0.19" footer="0.2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37">
      <selection activeCell="D25" sqref="D25"/>
    </sheetView>
  </sheetViews>
  <sheetFormatPr defaultColWidth="9.140625" defaultRowHeight="12.75"/>
  <cols>
    <col min="2" max="2" width="3.57421875" style="0" customWidth="1"/>
    <col min="3" max="3" width="29.140625" style="0" bestFit="1" customWidth="1"/>
    <col min="4" max="4" width="13.00390625" style="0" customWidth="1"/>
  </cols>
  <sheetData>
    <row r="1" spans="1:3" ht="12.75">
      <c r="A1" s="1" t="s">
        <v>69</v>
      </c>
      <c r="B1" s="1"/>
      <c r="C1" s="1"/>
    </row>
    <row r="4" spans="3:4" ht="12.75">
      <c r="C4" s="1" t="s">
        <v>70</v>
      </c>
      <c r="D4" s="1"/>
    </row>
    <row r="5" spans="3:4" ht="12.75">
      <c r="C5" s="1" t="s">
        <v>81</v>
      </c>
      <c r="D5" s="1"/>
    </row>
    <row r="6" spans="3:4" ht="12.75">
      <c r="C6" s="1"/>
      <c r="D6" s="1"/>
    </row>
    <row r="7" spans="3:4" ht="12.75">
      <c r="C7" s="1"/>
      <c r="D7" s="1"/>
    </row>
    <row r="9" spans="2:4" ht="29.25" customHeight="1">
      <c r="B9" s="2" t="s">
        <v>2</v>
      </c>
      <c r="C9" s="3" t="s">
        <v>3</v>
      </c>
      <c r="D9" s="12" t="s">
        <v>76</v>
      </c>
    </row>
    <row r="10" spans="2:4" ht="12.75">
      <c r="B10" s="4">
        <v>1</v>
      </c>
      <c r="C10" s="4" t="s">
        <v>80</v>
      </c>
      <c r="D10" s="5">
        <f>7683.85+837.59</f>
        <v>8521.44</v>
      </c>
    </row>
    <row r="11" spans="2:4" ht="12.75">
      <c r="B11" s="4">
        <v>2</v>
      </c>
      <c r="C11" s="4" t="s">
        <v>34</v>
      </c>
      <c r="D11" s="5">
        <f>929.97+2585.26+300.81</f>
        <v>3816.0400000000004</v>
      </c>
    </row>
    <row r="12" spans="2:4" ht="12.75">
      <c r="B12" s="4">
        <v>3</v>
      </c>
      <c r="C12" s="4" t="s">
        <v>29</v>
      </c>
      <c r="D12" s="5">
        <f>1741.71+3941.79+9249.96+1234.01</f>
        <v>16167.47</v>
      </c>
    </row>
    <row r="13" spans="2:4" ht="12.75">
      <c r="B13" s="4">
        <v>4</v>
      </c>
      <c r="C13" s="4" t="s">
        <v>35</v>
      </c>
      <c r="D13" s="5">
        <f>117673.3+25860.9+9590.96+24169.99+13907.89</f>
        <v>191203.03999999998</v>
      </c>
    </row>
    <row r="14" spans="2:4" ht="12.75">
      <c r="B14" s="4">
        <v>5</v>
      </c>
      <c r="C14" s="4" t="s">
        <v>5</v>
      </c>
      <c r="D14" s="5">
        <f>24938.79+2392.79</f>
        <v>27331.58</v>
      </c>
    </row>
    <row r="15" spans="2:4" ht="12.75">
      <c r="B15" s="4">
        <v>6</v>
      </c>
      <c r="C15" s="4" t="s">
        <v>6</v>
      </c>
      <c r="D15" s="5">
        <f>132617.03+8092.5</f>
        <v>140709.53</v>
      </c>
    </row>
    <row r="16" spans="2:4" ht="12.75">
      <c r="B16" s="4">
        <v>7</v>
      </c>
      <c r="C16" s="4" t="s">
        <v>36</v>
      </c>
      <c r="D16" s="5">
        <f>5820.87+257.71+76.58+490.3</f>
        <v>6645.46</v>
      </c>
    </row>
    <row r="17" spans="2:4" ht="12.75">
      <c r="B17" s="4">
        <v>8</v>
      </c>
      <c r="C17" s="4" t="s">
        <v>7</v>
      </c>
      <c r="D17" s="5">
        <f>6678.84+338.36</f>
        <v>7017.2</v>
      </c>
    </row>
    <row r="18" spans="2:4" ht="12.75">
      <c r="B18" s="4">
        <v>9</v>
      </c>
      <c r="C18" s="4" t="s">
        <v>96</v>
      </c>
      <c r="D18" s="5">
        <v>2109.77</v>
      </c>
    </row>
    <row r="19" spans="2:4" ht="12.75">
      <c r="B19" s="4">
        <v>10</v>
      </c>
      <c r="C19" s="4" t="s">
        <v>8</v>
      </c>
      <c r="D19" s="5">
        <f>24610.1+1333.74</f>
        <v>25943.84</v>
      </c>
    </row>
    <row r="20" spans="2:4" ht="12.75">
      <c r="B20" s="4">
        <v>11</v>
      </c>
      <c r="C20" s="4" t="s">
        <v>9</v>
      </c>
      <c r="D20" s="5">
        <f>13141.84+981.88</f>
        <v>14123.72</v>
      </c>
    </row>
    <row r="21" spans="2:4" ht="12.75">
      <c r="B21" s="4">
        <v>12</v>
      </c>
      <c r="C21" s="4" t="s">
        <v>10</v>
      </c>
      <c r="D21" s="5">
        <f>4785.03+1279.94</f>
        <v>6064.969999999999</v>
      </c>
    </row>
    <row r="22" spans="2:4" ht="12.75">
      <c r="B22" s="4">
        <v>13</v>
      </c>
      <c r="C22" s="4" t="s">
        <v>37</v>
      </c>
      <c r="D22" s="5">
        <f>53258.81+3565.58</f>
        <v>56824.39</v>
      </c>
    </row>
    <row r="23" spans="2:4" ht="12.75">
      <c r="B23" s="4">
        <v>14</v>
      </c>
      <c r="C23" s="4" t="s">
        <v>38</v>
      </c>
      <c r="D23" s="5">
        <f>7818.12+6631+6631+1940.33</f>
        <v>23020.449999999997</v>
      </c>
    </row>
    <row r="24" spans="2:4" ht="12.75">
      <c r="B24" s="4">
        <v>15</v>
      </c>
      <c r="C24" s="4" t="s">
        <v>39</v>
      </c>
      <c r="D24" s="5">
        <f>2206.1+668.53+188.51</f>
        <v>3063.1400000000003</v>
      </c>
    </row>
    <row r="25" spans="2:4" ht="12.75">
      <c r="B25" s="4">
        <v>16</v>
      </c>
      <c r="C25" s="4" t="s">
        <v>11</v>
      </c>
      <c r="D25" s="5">
        <f>15757.52+9482.33+8854.68+21300.57+1694.6</f>
        <v>57089.7</v>
      </c>
    </row>
    <row r="26" spans="2:4" ht="12.75">
      <c r="B26" s="4">
        <v>17</v>
      </c>
      <c r="C26" s="4" t="s">
        <v>40</v>
      </c>
      <c r="D26" s="5">
        <f>20686.27+3887.89</f>
        <v>24574.16</v>
      </c>
    </row>
    <row r="27" spans="2:4" ht="12.75">
      <c r="B27" s="4">
        <v>18</v>
      </c>
      <c r="C27" s="6" t="s">
        <v>41</v>
      </c>
      <c r="D27" s="5">
        <f>39051.18+2821.67</f>
        <v>41872.85</v>
      </c>
    </row>
    <row r="28" spans="2:4" ht="12.75">
      <c r="B28" s="4">
        <v>19</v>
      </c>
      <c r="C28" s="4" t="s">
        <v>12</v>
      </c>
      <c r="D28" s="5">
        <f>65687.86+3531.59</f>
        <v>69219.45</v>
      </c>
    </row>
    <row r="29" spans="2:4" ht="12.75">
      <c r="B29" s="4">
        <v>20</v>
      </c>
      <c r="C29" s="4" t="s">
        <v>13</v>
      </c>
      <c r="D29" s="5">
        <f>48571.73+5704.19</f>
        <v>54275.920000000006</v>
      </c>
    </row>
    <row r="30" spans="2:4" ht="12.75">
      <c r="B30" s="4">
        <v>21</v>
      </c>
      <c r="C30" s="4" t="s">
        <v>14</v>
      </c>
      <c r="D30" s="5">
        <f>7405.21+364.69+1127.79</f>
        <v>8897.689999999999</v>
      </c>
    </row>
    <row r="31" spans="2:4" ht="12.75">
      <c r="B31" s="4">
        <v>22</v>
      </c>
      <c r="C31" s="4" t="s">
        <v>15</v>
      </c>
      <c r="D31" s="5">
        <f>204318.39+19424.2</f>
        <v>223742.59000000003</v>
      </c>
    </row>
    <row r="32" spans="2:4" ht="12.75">
      <c r="B32" s="4">
        <v>23</v>
      </c>
      <c r="C32" s="4" t="s">
        <v>42</v>
      </c>
      <c r="D32" s="5">
        <f>7962.06+128.49</f>
        <v>8090.55</v>
      </c>
    </row>
    <row r="33" spans="2:4" ht="12.75">
      <c r="B33" s="4">
        <v>24</v>
      </c>
      <c r="C33" s="4" t="s">
        <v>16</v>
      </c>
      <c r="D33" s="5">
        <f>51869.45+745.62+1015.49</f>
        <v>53630.56</v>
      </c>
    </row>
    <row r="34" spans="2:4" ht="12.75">
      <c r="B34" s="4">
        <v>25</v>
      </c>
      <c r="C34" s="4" t="s">
        <v>17</v>
      </c>
      <c r="D34" s="5">
        <f>5896.15+314.98+13.89</f>
        <v>6225.0199999999995</v>
      </c>
    </row>
    <row r="35" spans="2:4" ht="12.75">
      <c r="B35" s="4">
        <v>26</v>
      </c>
      <c r="C35" s="4" t="s">
        <v>43</v>
      </c>
      <c r="D35" s="5">
        <f>12747.35+1385.94</f>
        <v>14133.29</v>
      </c>
    </row>
    <row r="36" spans="2:4" ht="12.75">
      <c r="B36" s="4">
        <v>27</v>
      </c>
      <c r="C36" s="4" t="s">
        <v>71</v>
      </c>
      <c r="D36" s="5">
        <f>6675.42+633.9</f>
        <v>7309.32</v>
      </c>
    </row>
    <row r="37" spans="2:4" ht="12.75">
      <c r="B37" s="4">
        <v>28</v>
      </c>
      <c r="C37" s="4" t="s">
        <v>44</v>
      </c>
      <c r="D37" s="5">
        <f>15165.56+1350.6</f>
        <v>16516.16</v>
      </c>
    </row>
    <row r="38" spans="2:4" ht="12.75">
      <c r="B38" s="4">
        <v>29</v>
      </c>
      <c r="C38" s="4" t="s">
        <v>18</v>
      </c>
      <c r="D38" s="5">
        <f>7298.62+908.89+84.25</f>
        <v>8291.76</v>
      </c>
    </row>
    <row r="39" spans="2:4" ht="12.75">
      <c r="B39" s="4">
        <v>30</v>
      </c>
      <c r="C39" s="4" t="s">
        <v>19</v>
      </c>
      <c r="D39" s="5">
        <f>21305.07+27850.2+3830.8+16218.76+1733.94+75.16+2741.83</f>
        <v>73755.76000000001</v>
      </c>
    </row>
    <row r="40" spans="2:4" ht="12.75">
      <c r="B40" s="4">
        <v>31</v>
      </c>
      <c r="C40" s="4" t="s">
        <v>20</v>
      </c>
      <c r="D40" s="5">
        <f>417244.23+24000+75.3+31183.9</f>
        <v>472503.43</v>
      </c>
    </row>
    <row r="41" spans="2:4" ht="12.75">
      <c r="B41" s="4">
        <v>32</v>
      </c>
      <c r="C41" s="4" t="s">
        <v>45</v>
      </c>
      <c r="D41" s="5">
        <f>17764.84+786.83</f>
        <v>18551.670000000002</v>
      </c>
    </row>
    <row r="42" spans="2:4" ht="12.75">
      <c r="B42" s="4">
        <v>33</v>
      </c>
      <c r="C42" s="4" t="s">
        <v>95</v>
      </c>
      <c r="D42" s="5">
        <f>43826.72+3123.93</f>
        <v>46950.65</v>
      </c>
    </row>
    <row r="43" spans="2:4" ht="12.75">
      <c r="B43" s="4">
        <v>34</v>
      </c>
      <c r="C43" s="4" t="s">
        <v>21</v>
      </c>
      <c r="D43" s="5">
        <f>58648.82+2225.86</f>
        <v>60874.68</v>
      </c>
    </row>
    <row r="44" spans="2:4" ht="12.75">
      <c r="B44" s="4">
        <v>35</v>
      </c>
      <c r="C44" s="4" t="s">
        <v>47</v>
      </c>
      <c r="D44" s="5">
        <f>16739.21+1200</f>
        <v>17939.21</v>
      </c>
    </row>
    <row r="45" spans="2:4" ht="12.75">
      <c r="B45" s="4">
        <v>36</v>
      </c>
      <c r="C45" s="6" t="s">
        <v>22</v>
      </c>
      <c r="D45" s="5">
        <f>50583.91+824.39</f>
        <v>51408.3</v>
      </c>
    </row>
    <row r="46" spans="2:4" ht="12.75">
      <c r="B46" s="4">
        <v>37</v>
      </c>
      <c r="C46" s="4" t="s">
        <v>74</v>
      </c>
      <c r="D46" s="5">
        <f>9998.31+1845.62+1465.08</f>
        <v>13309.01</v>
      </c>
    </row>
    <row r="47" spans="2:4" ht="12.75">
      <c r="B47" s="4">
        <v>38</v>
      </c>
      <c r="C47" s="6" t="s">
        <v>23</v>
      </c>
      <c r="D47" s="5">
        <f>14343.05+228.97</f>
        <v>14572.019999999999</v>
      </c>
    </row>
    <row r="48" spans="2:4" ht="12.75">
      <c r="B48" s="4">
        <v>39</v>
      </c>
      <c r="C48" s="4" t="s">
        <v>48</v>
      </c>
      <c r="D48" s="5">
        <f>18997.09+2999.28</f>
        <v>21996.37</v>
      </c>
    </row>
    <row r="49" spans="2:4" ht="12.75">
      <c r="B49" s="4">
        <v>40</v>
      </c>
      <c r="C49" s="4" t="s">
        <v>97</v>
      </c>
      <c r="D49" s="5">
        <v>249.1</v>
      </c>
    </row>
    <row r="50" spans="2:4" ht="12.75">
      <c r="B50" s="4">
        <v>41</v>
      </c>
      <c r="C50" s="4" t="s">
        <v>49</v>
      </c>
      <c r="D50" s="5">
        <f>6516.61+1849.17+19270.02+890.77</f>
        <v>28526.57</v>
      </c>
    </row>
    <row r="51" spans="2:4" ht="12.75">
      <c r="B51" s="4">
        <v>42</v>
      </c>
      <c r="C51" s="4" t="s">
        <v>79</v>
      </c>
      <c r="D51" s="5">
        <f>3206.53+316.91+479.05</f>
        <v>4002.4900000000002</v>
      </c>
    </row>
    <row r="52" spans="2:4" ht="12.75">
      <c r="B52" s="4">
        <v>43</v>
      </c>
      <c r="C52" s="4" t="s">
        <v>24</v>
      </c>
      <c r="D52" s="5">
        <f>28143.29+2806.13</f>
        <v>30949.420000000002</v>
      </c>
    </row>
    <row r="53" spans="2:4" ht="12.75">
      <c r="B53" s="4">
        <v>44</v>
      </c>
      <c r="C53" s="4" t="s">
        <v>50</v>
      </c>
      <c r="D53" s="5">
        <f>2605.22+404.55</f>
        <v>3009.77</v>
      </c>
    </row>
    <row r="54" spans="2:4" ht="12.75">
      <c r="B54" s="4">
        <v>45</v>
      </c>
      <c r="C54" s="4" t="s">
        <v>73</v>
      </c>
      <c r="D54" s="5">
        <f>11957+1893.43</f>
        <v>13850.43</v>
      </c>
    </row>
    <row r="55" spans="2:4" ht="12.75">
      <c r="B55" s="4">
        <v>46</v>
      </c>
      <c r="C55" s="4" t="s">
        <v>51</v>
      </c>
      <c r="D55" s="5">
        <f>16240.34+3767.42</f>
        <v>20007.760000000002</v>
      </c>
    </row>
    <row r="56" spans="2:4" ht="12.75">
      <c r="B56" s="4">
        <v>47</v>
      </c>
      <c r="C56" s="6" t="s">
        <v>52</v>
      </c>
      <c r="D56" s="5">
        <f>46471.91+3129.85</f>
        <v>49601.76</v>
      </c>
    </row>
    <row r="57" spans="2:4" ht="12.75">
      <c r="B57" s="4">
        <v>48</v>
      </c>
      <c r="C57" s="4" t="s">
        <v>25</v>
      </c>
      <c r="D57" s="5">
        <f>103629.27+41152.68+4339.97</f>
        <v>149121.92</v>
      </c>
    </row>
    <row r="58" spans="2:4" ht="12.75">
      <c r="B58" s="4">
        <v>49</v>
      </c>
      <c r="C58" s="4" t="s">
        <v>26</v>
      </c>
      <c r="D58" s="5">
        <f>1680.99+323.83+400.46</f>
        <v>2405.2799999999997</v>
      </c>
    </row>
    <row r="59" spans="2:4" ht="12.75">
      <c r="B59" s="4">
        <v>50</v>
      </c>
      <c r="C59" s="4" t="s">
        <v>27</v>
      </c>
      <c r="D59" s="5">
        <f>902752.56+27340.03</f>
        <v>930092.5900000001</v>
      </c>
    </row>
    <row r="60" spans="2:4" ht="12.75">
      <c r="B60" s="4">
        <v>51</v>
      </c>
      <c r="C60" s="4" t="s">
        <v>28</v>
      </c>
      <c r="D60" s="5">
        <f>126006.53+6998.98</f>
        <v>133005.51</v>
      </c>
    </row>
    <row r="61" spans="2:4" ht="12.75">
      <c r="B61" s="4">
        <v>52</v>
      </c>
      <c r="C61" s="4" t="s">
        <v>53</v>
      </c>
      <c r="D61" s="5">
        <f>6458.95+289.05</f>
        <v>6748</v>
      </c>
    </row>
    <row r="62" spans="2:4" ht="12.75">
      <c r="B62" s="4">
        <v>53</v>
      </c>
      <c r="C62" s="4" t="s">
        <v>31</v>
      </c>
      <c r="D62" s="5">
        <f>73684.9+9443.89</f>
        <v>83128.79</v>
      </c>
    </row>
    <row r="63" spans="2:4" ht="12.75">
      <c r="B63" s="4">
        <v>54</v>
      </c>
      <c r="C63" s="4" t="s">
        <v>54</v>
      </c>
      <c r="D63" s="5">
        <f>13307.42+3374.6+942.9</f>
        <v>17624.920000000002</v>
      </c>
    </row>
    <row r="64" spans="2:4" ht="12.75">
      <c r="B64" s="4">
        <v>55</v>
      </c>
      <c r="C64" s="4" t="s">
        <v>32</v>
      </c>
      <c r="D64" s="5">
        <f>25197.9+11529.64+1278.44+2344.98</f>
        <v>40350.96000000001</v>
      </c>
    </row>
    <row r="65" spans="2:4" ht="12.75">
      <c r="B65" s="4">
        <v>56</v>
      </c>
      <c r="C65" s="4" t="s">
        <v>30</v>
      </c>
      <c r="D65" s="5">
        <f>53730.7+6453.49</f>
        <v>60184.189999999995</v>
      </c>
    </row>
    <row r="66" spans="2:4" ht="12.75">
      <c r="B66" s="4">
        <v>57</v>
      </c>
      <c r="C66" s="4" t="s">
        <v>33</v>
      </c>
      <c r="D66" s="5">
        <f>6809.48+10079.67+2949.17</f>
        <v>19838.32</v>
      </c>
    </row>
    <row r="67" spans="2:4" ht="12.75">
      <c r="B67" s="4">
        <v>58</v>
      </c>
      <c r="C67" s="4" t="s">
        <v>59</v>
      </c>
      <c r="D67" s="5">
        <f>364195.42+23835.52+79.65+10441.25</f>
        <v>398551.84</v>
      </c>
    </row>
    <row r="68" spans="2:4" ht="12.75">
      <c r="B68" s="4">
        <v>59</v>
      </c>
      <c r="C68" s="4" t="s">
        <v>60</v>
      </c>
      <c r="D68" s="5">
        <f>28337.81+10.9+1822.38</f>
        <v>30171.090000000004</v>
      </c>
    </row>
    <row r="69" spans="2:4" ht="12.75">
      <c r="B69" s="4">
        <v>60</v>
      </c>
      <c r="C69" s="4" t="s">
        <v>55</v>
      </c>
      <c r="D69" s="5">
        <f>428.38+4362.94+721</f>
        <v>5512.32</v>
      </c>
    </row>
    <row r="70" spans="2:4" ht="12.75">
      <c r="B70" s="4">
        <v>61</v>
      </c>
      <c r="C70" s="4" t="s">
        <v>61</v>
      </c>
      <c r="D70" s="5">
        <f>549.12+6676.01+610.89</f>
        <v>7836.02</v>
      </c>
    </row>
    <row r="71" spans="2:4" ht="12.75">
      <c r="B71" s="4">
        <v>62</v>
      </c>
      <c r="C71" s="4" t="s">
        <v>62</v>
      </c>
      <c r="D71" s="5">
        <f>2453.6+6631+1786.97</f>
        <v>10871.57</v>
      </c>
    </row>
    <row r="72" spans="2:4" ht="12.75">
      <c r="B72" s="4">
        <v>63</v>
      </c>
      <c r="C72" s="4" t="s">
        <v>63</v>
      </c>
      <c r="D72" s="5">
        <f>10017.75+195.5+1617.97</f>
        <v>11831.22</v>
      </c>
    </row>
    <row r="73" spans="2:4" ht="12.75">
      <c r="B73" s="4">
        <v>64</v>
      </c>
      <c r="C73" s="4" t="s">
        <v>64</v>
      </c>
      <c r="D73" s="5">
        <f>13784.58+840.12</f>
        <v>14624.7</v>
      </c>
    </row>
    <row r="74" spans="2:4" ht="12.75">
      <c r="B74" s="4">
        <v>65</v>
      </c>
      <c r="C74" s="4" t="s">
        <v>65</v>
      </c>
      <c r="D74" s="5">
        <f>14408.48+1060.04</f>
        <v>15468.52</v>
      </c>
    </row>
    <row r="75" spans="2:4" ht="12.75">
      <c r="B75" s="4">
        <v>66</v>
      </c>
      <c r="C75" s="4" t="s">
        <v>56</v>
      </c>
      <c r="D75" s="5">
        <f>17555.69+2852.24</f>
        <v>20407.93</v>
      </c>
    </row>
    <row r="76" spans="2:4" ht="12.75">
      <c r="B76" s="4">
        <v>67</v>
      </c>
      <c r="C76" s="4" t="s">
        <v>57</v>
      </c>
      <c r="D76" s="5">
        <f>18934.46+1567.45</f>
        <v>20501.91</v>
      </c>
    </row>
    <row r="77" spans="2:4" ht="12.75">
      <c r="B77" s="4">
        <v>68</v>
      </c>
      <c r="C77" s="4" t="s">
        <v>66</v>
      </c>
      <c r="D77" s="5">
        <f>64198.09+8352.16</f>
        <v>72550.25</v>
      </c>
    </row>
    <row r="78" spans="2:4" ht="12.75">
      <c r="B78" s="4">
        <v>69</v>
      </c>
      <c r="C78" s="4" t="s">
        <v>58</v>
      </c>
      <c r="D78" s="5">
        <f>8417.1+1948.06</f>
        <v>10365.16</v>
      </c>
    </row>
    <row r="79" spans="2:4" ht="12.75">
      <c r="B79" s="4">
        <v>70</v>
      </c>
      <c r="C79" s="4" t="s">
        <v>67</v>
      </c>
      <c r="D79" s="5">
        <f>105608.4+6021.77+189.01+9958.35</f>
        <v>121777.53</v>
      </c>
    </row>
    <row r="80" spans="2:4" ht="12.75">
      <c r="B80" s="4"/>
      <c r="C80" s="8" t="s">
        <v>68</v>
      </c>
      <c r="D80" s="9">
        <f>SUM(D10:D79)</f>
        <v>4251460</v>
      </c>
    </row>
  </sheetData>
  <sheetProtection/>
  <printOptions/>
  <pageMargins left="0.75" right="0.75" top="0.23" bottom="0.29" header="0.19" footer="0.2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A1">
      <selection activeCell="E83" sqref="E83"/>
    </sheetView>
  </sheetViews>
  <sheetFormatPr defaultColWidth="9.140625" defaultRowHeight="12.75"/>
  <cols>
    <col min="1" max="1" width="3.8515625" style="0" customWidth="1"/>
    <col min="2" max="2" width="26.140625" style="0" customWidth="1"/>
    <col min="3" max="3" width="12.57421875" style="0" customWidth="1"/>
    <col min="4" max="5" width="11.57421875" style="0" customWidth="1"/>
    <col min="6" max="6" width="14.00390625" style="0" customWidth="1"/>
    <col min="7" max="7" width="13.7109375" style="0" customWidth="1"/>
    <col min="8" max="8" width="13.00390625" style="0" customWidth="1"/>
    <col min="9" max="14" width="13.140625" style="0" customWidth="1"/>
    <col min="15" max="15" width="13.57421875" style="0" customWidth="1"/>
    <col min="16" max="16" width="12.7109375" style="0" bestFit="1" customWidth="1"/>
  </cols>
  <sheetData>
    <row r="1" spans="1:4" ht="12.75">
      <c r="A1" s="1" t="s">
        <v>0</v>
      </c>
      <c r="B1" s="1"/>
      <c r="C1" s="1"/>
      <c r="D1" s="1"/>
    </row>
    <row r="4" spans="5:8" ht="12.75">
      <c r="E4" s="1" t="s">
        <v>1</v>
      </c>
      <c r="F4" s="1"/>
      <c r="G4" s="1"/>
      <c r="H4" s="1"/>
    </row>
    <row r="5" spans="5:8" ht="12.75">
      <c r="E5" s="1"/>
      <c r="F5" s="1" t="s">
        <v>82</v>
      </c>
      <c r="G5" s="1"/>
      <c r="H5" s="1"/>
    </row>
    <row r="8" spans="1:15" ht="51">
      <c r="A8" s="2" t="s">
        <v>2</v>
      </c>
      <c r="B8" s="3" t="s">
        <v>3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4</v>
      </c>
    </row>
    <row r="9" spans="1:15" ht="12.75">
      <c r="A9" s="2">
        <v>1</v>
      </c>
      <c r="B9" s="13" t="s">
        <v>75</v>
      </c>
      <c r="C9" s="5">
        <f>7683.85+837.59</f>
        <v>8521.44</v>
      </c>
      <c r="D9" s="5">
        <f>8255.79+5747.07</f>
        <v>14002.86</v>
      </c>
      <c r="E9" s="14">
        <f>+'MARTIE 2015'!C10</f>
        <v>15369.25</v>
      </c>
      <c r="F9" s="14"/>
      <c r="G9" s="14"/>
      <c r="H9" s="14"/>
      <c r="I9" s="14"/>
      <c r="J9" s="14"/>
      <c r="K9" s="14"/>
      <c r="L9" s="14"/>
      <c r="M9" s="5"/>
      <c r="N9" s="5"/>
      <c r="O9" s="5">
        <f>C9+D9+E9+F9+G9+H9+I9+J9+K9+L9+M9+N9</f>
        <v>37893.55</v>
      </c>
    </row>
    <row r="10" spans="1:15" ht="12.75">
      <c r="A10" s="2">
        <v>2</v>
      </c>
      <c r="B10" s="4" t="s">
        <v>34</v>
      </c>
      <c r="C10" s="5">
        <f>929.97+2585.26+300.81</f>
        <v>3816.0400000000004</v>
      </c>
      <c r="D10" s="5">
        <v>2296.05</v>
      </c>
      <c r="E10" s="14">
        <f>+'MARTIE 2015'!C11</f>
        <v>9216.76</v>
      </c>
      <c r="F10" s="5"/>
      <c r="G10" s="5"/>
      <c r="H10" s="5"/>
      <c r="I10" s="5"/>
      <c r="J10" s="5"/>
      <c r="K10" s="5"/>
      <c r="L10" s="5"/>
      <c r="M10" s="5"/>
      <c r="N10" s="5"/>
      <c r="O10" s="5">
        <f aca="true" t="shared" si="0" ref="O10:O68">C10+D10+E10+F10+G10+H10+I10+J10+K10+L10+M10+N10</f>
        <v>15328.85</v>
      </c>
    </row>
    <row r="11" spans="1:15" ht="12.75">
      <c r="A11" s="2">
        <v>3</v>
      </c>
      <c r="B11" s="4" t="s">
        <v>29</v>
      </c>
      <c r="C11" s="5">
        <f>1741.71+3941.79+9249.96+1234.01</f>
        <v>16167.47</v>
      </c>
      <c r="D11" s="5">
        <f>2506.16+10264.26+16518.39</f>
        <v>29288.809999999998</v>
      </c>
      <c r="E11" s="14">
        <f>+'MARTIE 2015'!C12</f>
        <v>23300.84</v>
      </c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68757.12</v>
      </c>
    </row>
    <row r="12" spans="1:15" ht="12.75">
      <c r="A12" s="2">
        <v>4</v>
      </c>
      <c r="B12" s="4" t="s">
        <v>35</v>
      </c>
      <c r="C12" s="5">
        <f>117673.3+25860.9+9590.96+24169.99+13907.89</f>
        <v>191203.03999999998</v>
      </c>
      <c r="D12" s="5">
        <f>59808.77+51256.14+24485+30000+71127</f>
        <v>236676.91</v>
      </c>
      <c r="E12" s="14">
        <f>+'MARTIE 2015'!C13</f>
        <v>243966.45</v>
      </c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671846.3999999999</v>
      </c>
    </row>
    <row r="13" spans="1:15" ht="12.75">
      <c r="A13" s="2">
        <v>5</v>
      </c>
      <c r="B13" s="4" t="s">
        <v>5</v>
      </c>
      <c r="C13" s="5">
        <f>24938.79+2392.79</f>
        <v>27331.58</v>
      </c>
      <c r="D13" s="5">
        <v>48561.45</v>
      </c>
      <c r="E13" s="14">
        <f>+'MARTIE 2015'!C14</f>
        <v>40793.21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116686.23999999999</v>
      </c>
    </row>
    <row r="14" spans="1:15" ht="12.75">
      <c r="A14" s="2">
        <v>6</v>
      </c>
      <c r="B14" s="4" t="s">
        <v>6</v>
      </c>
      <c r="C14" s="5">
        <f>132617.03+8092.5</f>
        <v>140709.53</v>
      </c>
      <c r="D14" s="5">
        <v>248384.88</v>
      </c>
      <c r="E14" s="14">
        <f>+'MARTIE 2015'!C15</f>
        <v>232030.36000000002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621124.77</v>
      </c>
    </row>
    <row r="15" spans="1:15" ht="12.75">
      <c r="A15" s="2">
        <v>7</v>
      </c>
      <c r="B15" s="4" t="s">
        <v>36</v>
      </c>
      <c r="C15" s="5">
        <f>5820.87+257.71+76.58+490.3</f>
        <v>6645.46</v>
      </c>
      <c r="D15" s="5">
        <v>9299.46</v>
      </c>
      <c r="E15" s="14">
        <f>+'MARTIE 2015'!C16</f>
        <v>9052.519999999999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24997.439999999995</v>
      </c>
    </row>
    <row r="16" spans="1:15" ht="12.75">
      <c r="A16" s="2">
        <v>8</v>
      </c>
      <c r="B16" s="4" t="s">
        <v>7</v>
      </c>
      <c r="C16" s="5">
        <f>6678.84+338.36</f>
        <v>7017.2</v>
      </c>
      <c r="D16" s="5">
        <v>10348.83</v>
      </c>
      <c r="E16" s="14">
        <f>+'MARTIE 2015'!C17</f>
        <v>6879.5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24245.53</v>
      </c>
    </row>
    <row r="17" spans="1:15" ht="12.75">
      <c r="A17" s="2">
        <v>9</v>
      </c>
      <c r="B17" s="4" t="s">
        <v>96</v>
      </c>
      <c r="C17" s="5">
        <v>2109.77</v>
      </c>
      <c r="D17" s="5"/>
      <c r="E17" s="14">
        <f>+'MARTIE 2015'!C18</f>
        <v>49885.25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51995.02</v>
      </c>
    </row>
    <row r="18" spans="1:15" ht="12.75">
      <c r="A18" s="2">
        <v>10</v>
      </c>
      <c r="B18" s="4" t="s">
        <v>8</v>
      </c>
      <c r="C18" s="5">
        <f>24610.1+1333.74</f>
        <v>25943.84</v>
      </c>
      <c r="D18" s="5">
        <v>36253.69</v>
      </c>
      <c r="E18" s="14">
        <f>+'MARTIE 2015'!C19</f>
        <v>34222.66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96420.19</v>
      </c>
    </row>
    <row r="19" spans="1:15" ht="12.75">
      <c r="A19" s="2">
        <v>11</v>
      </c>
      <c r="B19" s="4" t="s">
        <v>9</v>
      </c>
      <c r="C19" s="5">
        <f>13141.84+981.88</f>
        <v>14123.72</v>
      </c>
      <c r="D19" s="5">
        <v>22402.62</v>
      </c>
      <c r="E19" s="14">
        <f>+'MARTIE 2015'!C20</f>
        <v>19575.010000000002</v>
      </c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56101.35</v>
      </c>
    </row>
    <row r="20" spans="1:15" ht="12.75">
      <c r="A20" s="2">
        <v>12</v>
      </c>
      <c r="B20" s="4" t="s">
        <v>10</v>
      </c>
      <c r="C20" s="5">
        <f>4785.03+1279.94</f>
        <v>6064.969999999999</v>
      </c>
      <c r="D20" s="5">
        <v>7699.29</v>
      </c>
      <c r="E20" s="14">
        <f>+'MARTIE 2015'!C21</f>
        <v>8807.3</v>
      </c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22571.559999999998</v>
      </c>
    </row>
    <row r="21" spans="1:15" ht="12.75">
      <c r="A21" s="2">
        <v>13</v>
      </c>
      <c r="B21" s="4" t="s">
        <v>37</v>
      </c>
      <c r="C21" s="5">
        <f>53258.81+3565.58</f>
        <v>56824.39</v>
      </c>
      <c r="D21" s="5">
        <v>84418.42</v>
      </c>
      <c r="E21" s="14">
        <f>+'MARTIE 2015'!C22</f>
        <v>97665.94</v>
      </c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238908.75</v>
      </c>
    </row>
    <row r="22" spans="1:15" ht="12.75">
      <c r="A22" s="2">
        <v>14</v>
      </c>
      <c r="B22" s="4" t="s">
        <v>38</v>
      </c>
      <c r="C22" s="5">
        <f>7818.12+6631+6631+1940.33</f>
        <v>23020.449999999997</v>
      </c>
      <c r="D22" s="5">
        <f>4638.03+10000+22000+1254.65</f>
        <v>37892.68</v>
      </c>
      <c r="E22" s="14">
        <f>+'MARTIE 2015'!C23</f>
        <v>36115.45</v>
      </c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97028.57999999999</v>
      </c>
    </row>
    <row r="23" spans="1:15" ht="12.75">
      <c r="A23" s="2">
        <v>15</v>
      </c>
      <c r="B23" s="4" t="s">
        <v>39</v>
      </c>
      <c r="C23" s="5">
        <f>2206.1+668.53+188.51</f>
        <v>3063.1400000000003</v>
      </c>
      <c r="D23" s="5">
        <v>5528.78</v>
      </c>
      <c r="E23" s="14">
        <f>+'MARTIE 2015'!C24</f>
        <v>3822.2599999999998</v>
      </c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12414.18</v>
      </c>
    </row>
    <row r="24" spans="1:15" ht="12.75">
      <c r="A24" s="2">
        <v>16</v>
      </c>
      <c r="B24" s="4" t="s">
        <v>11</v>
      </c>
      <c r="C24" s="5">
        <f>15757.52+9482.33+8854.68+21300.57+1694.6</f>
        <v>57089.7</v>
      </c>
      <c r="D24" s="5">
        <f>1672.4+51163.69+42875</f>
        <v>95711.09</v>
      </c>
      <c r="E24" s="14">
        <f>+'MARTIE 2015'!C25</f>
        <v>81065.19</v>
      </c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233865.97999999998</v>
      </c>
    </row>
    <row r="25" spans="1:15" ht="12.75">
      <c r="A25" s="2">
        <v>17</v>
      </c>
      <c r="B25" s="4" t="s">
        <v>40</v>
      </c>
      <c r="C25" s="5">
        <f>20686.27+3887.89</f>
        <v>24574.16</v>
      </c>
      <c r="D25" s="5">
        <v>30035.52</v>
      </c>
      <c r="E25" s="14">
        <f>+'MARTIE 2015'!C26</f>
        <v>34475.39</v>
      </c>
      <c r="F25" s="5"/>
      <c r="G25" s="5"/>
      <c r="H25" s="5"/>
      <c r="I25" s="5"/>
      <c r="J25" s="5"/>
      <c r="K25" s="5"/>
      <c r="L25" s="5"/>
      <c r="M25" s="5"/>
      <c r="N25" s="5"/>
      <c r="O25" s="5">
        <f t="shared" si="0"/>
        <v>89085.07</v>
      </c>
    </row>
    <row r="26" spans="1:15" ht="12.75">
      <c r="A26" s="2">
        <v>18</v>
      </c>
      <c r="B26" s="6" t="s">
        <v>41</v>
      </c>
      <c r="C26" s="5">
        <f>39051.18+2821.67</f>
        <v>41872.85</v>
      </c>
      <c r="D26" s="5">
        <v>53918.42</v>
      </c>
      <c r="E26" s="14">
        <f>+'MARTIE 2015'!C27</f>
        <v>60098.46</v>
      </c>
      <c r="F26" s="7"/>
      <c r="G26" s="7"/>
      <c r="H26" s="7"/>
      <c r="I26" s="5"/>
      <c r="J26" s="5"/>
      <c r="K26" s="5"/>
      <c r="L26" s="5"/>
      <c r="M26" s="5"/>
      <c r="N26" s="5"/>
      <c r="O26" s="5">
        <f t="shared" si="0"/>
        <v>155889.72999999998</v>
      </c>
    </row>
    <row r="27" spans="1:15" ht="12.75">
      <c r="A27" s="2">
        <v>19</v>
      </c>
      <c r="B27" s="4" t="s">
        <v>12</v>
      </c>
      <c r="C27" s="5">
        <f>65687.86+3531.59</f>
        <v>69219.45</v>
      </c>
      <c r="D27" s="5">
        <v>180750.08</v>
      </c>
      <c r="E27" s="14">
        <f>+'MARTIE 2015'!C28</f>
        <v>139159.90000000002</v>
      </c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389129.43</v>
      </c>
    </row>
    <row r="28" spans="1:15" ht="12.75">
      <c r="A28" s="2">
        <v>20</v>
      </c>
      <c r="B28" s="4" t="s">
        <v>13</v>
      </c>
      <c r="C28" s="5">
        <f>48571.73+5704.19</f>
        <v>54275.920000000006</v>
      </c>
      <c r="D28" s="5">
        <v>88416.25</v>
      </c>
      <c r="E28" s="14">
        <f>+'MARTIE 2015'!C29</f>
        <v>81129.73000000001</v>
      </c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223821.90000000002</v>
      </c>
    </row>
    <row r="29" spans="1:15" ht="12.75">
      <c r="A29" s="2">
        <v>21</v>
      </c>
      <c r="B29" s="4" t="s">
        <v>14</v>
      </c>
      <c r="C29" s="5">
        <f>7405.21+364.69+1127.79</f>
        <v>8897.689999999999</v>
      </c>
      <c r="D29" s="5">
        <v>14680.46</v>
      </c>
      <c r="E29" s="14">
        <f>+'MARTIE 2015'!C30</f>
        <v>11975.619999999999</v>
      </c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35553.77</v>
      </c>
    </row>
    <row r="30" spans="1:15" ht="12.75">
      <c r="A30" s="2">
        <v>22</v>
      </c>
      <c r="B30" s="4" t="s">
        <v>15</v>
      </c>
      <c r="C30" s="5">
        <f>204318.39+19424.2</f>
        <v>223742.59000000003</v>
      </c>
      <c r="D30" s="5">
        <f>196636.63+134021.73</f>
        <v>330658.36</v>
      </c>
      <c r="E30" s="14">
        <f>+'MARTIE 2015'!C31</f>
        <v>352374.73</v>
      </c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906775.6799999999</v>
      </c>
    </row>
    <row r="31" spans="1:15" ht="12.75">
      <c r="A31" s="2">
        <v>23</v>
      </c>
      <c r="B31" s="4" t="s">
        <v>42</v>
      </c>
      <c r="C31" s="5">
        <f>7962.06+128.49</f>
        <v>8090.55</v>
      </c>
      <c r="D31" s="5">
        <v>13674.35</v>
      </c>
      <c r="E31" s="14">
        <f>+'MARTIE 2015'!C32</f>
        <v>11463.59</v>
      </c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33228.490000000005</v>
      </c>
    </row>
    <row r="32" spans="1:15" ht="12.75">
      <c r="A32" s="2">
        <v>24</v>
      </c>
      <c r="B32" s="4" t="s">
        <v>16</v>
      </c>
      <c r="C32" s="5">
        <f>51869.45+745.62+1015.49</f>
        <v>53630.56</v>
      </c>
      <c r="D32" s="5">
        <v>68031.52</v>
      </c>
      <c r="E32" s="14">
        <f>+'MARTIE 2015'!C33</f>
        <v>57030.03</v>
      </c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178692.11</v>
      </c>
    </row>
    <row r="33" spans="1:15" ht="12.75">
      <c r="A33" s="2">
        <v>25</v>
      </c>
      <c r="B33" s="4" t="s">
        <v>17</v>
      </c>
      <c r="C33" s="5">
        <f>5896.15+314.98+13.89</f>
        <v>6225.0199999999995</v>
      </c>
      <c r="D33" s="5">
        <v>8247.84</v>
      </c>
      <c r="E33" s="14">
        <f>+'MARTIE 2015'!C34</f>
        <v>6333.09</v>
      </c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20805.95</v>
      </c>
    </row>
    <row r="34" spans="1:15" ht="12.75">
      <c r="A34" s="2">
        <v>26</v>
      </c>
      <c r="B34" s="4" t="s">
        <v>43</v>
      </c>
      <c r="C34" s="5">
        <f>12747.35+1385.94</f>
        <v>14133.29</v>
      </c>
      <c r="D34" s="5">
        <v>18961.57</v>
      </c>
      <c r="E34" s="14">
        <f>+'MARTIE 2015'!C35</f>
        <v>19021.7</v>
      </c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52116.56</v>
      </c>
    </row>
    <row r="35" spans="1:15" ht="12.75">
      <c r="A35" s="2">
        <v>27</v>
      </c>
      <c r="B35" s="4" t="s">
        <v>77</v>
      </c>
      <c r="C35" s="5">
        <f>6675.42+633.9</f>
        <v>7309.32</v>
      </c>
      <c r="D35" s="5">
        <v>11735.57</v>
      </c>
      <c r="E35" s="14">
        <f>+'MARTIE 2015'!C36</f>
        <v>11516.890000000001</v>
      </c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30561.78</v>
      </c>
    </row>
    <row r="36" spans="1:15" ht="12.75">
      <c r="A36" s="2">
        <v>28</v>
      </c>
      <c r="B36" s="4" t="s">
        <v>44</v>
      </c>
      <c r="C36" s="5">
        <f>15165.56+1350.6</f>
        <v>16516.16</v>
      </c>
      <c r="D36" s="5">
        <v>23562.37</v>
      </c>
      <c r="E36" s="14">
        <f>+'MARTIE 2015'!C37</f>
        <v>18937.05</v>
      </c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59015.58</v>
      </c>
    </row>
    <row r="37" spans="1:15" ht="12.75">
      <c r="A37" s="2">
        <v>29</v>
      </c>
      <c r="B37" s="4" t="s">
        <v>18</v>
      </c>
      <c r="C37" s="5">
        <f>7298.62+908.89+84.25</f>
        <v>8291.76</v>
      </c>
      <c r="D37" s="5">
        <v>24477.66</v>
      </c>
      <c r="E37" s="14">
        <f>+'MARTIE 2015'!C38</f>
        <v>21969.93</v>
      </c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54739.35</v>
      </c>
    </row>
    <row r="38" spans="1:15" ht="12.75">
      <c r="A38" s="2">
        <v>30</v>
      </c>
      <c r="B38" s="4" t="s">
        <v>19</v>
      </c>
      <c r="C38" s="5">
        <f>21305.07+27850.2+3830.8+16218.76+1733.94+75.16+2741.83</f>
        <v>73755.76000000001</v>
      </c>
      <c r="D38" s="5">
        <f>50326.36+27159+69000</f>
        <v>146485.36</v>
      </c>
      <c r="E38" s="14">
        <f>+'MARTIE 2015'!C39</f>
        <v>135768.1</v>
      </c>
      <c r="F38" s="5"/>
      <c r="G38" s="5"/>
      <c r="H38" s="5"/>
      <c r="I38" s="5"/>
      <c r="J38" s="5"/>
      <c r="K38" s="5"/>
      <c r="L38" s="5"/>
      <c r="M38" s="5"/>
      <c r="N38" s="5"/>
      <c r="O38" s="5">
        <f t="shared" si="0"/>
        <v>356009.22</v>
      </c>
    </row>
    <row r="39" spans="1:15" ht="12.75">
      <c r="A39" s="2">
        <v>31</v>
      </c>
      <c r="B39" s="4" t="s">
        <v>20</v>
      </c>
      <c r="C39" s="5">
        <f>417244.23+24000+75.3+31183.9</f>
        <v>472503.43</v>
      </c>
      <c r="D39" s="5">
        <v>687437.93</v>
      </c>
      <c r="E39" s="14">
        <f>+'MARTIE 2015'!C40</f>
        <v>738592.9500000001</v>
      </c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1898534.31</v>
      </c>
    </row>
    <row r="40" spans="1:15" ht="12.75">
      <c r="A40" s="2">
        <v>32</v>
      </c>
      <c r="B40" s="4" t="s">
        <v>45</v>
      </c>
      <c r="C40" s="5">
        <f>17764.84+786.83</f>
        <v>18551.670000000002</v>
      </c>
      <c r="D40" s="5">
        <v>27087.93</v>
      </c>
      <c r="E40" s="14">
        <f>+'MARTIE 2015'!C41</f>
        <v>28956.14</v>
      </c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74595.74</v>
      </c>
    </row>
    <row r="41" spans="1:15" ht="12.75">
      <c r="A41" s="2">
        <v>33</v>
      </c>
      <c r="B41" s="4" t="s">
        <v>46</v>
      </c>
      <c r="C41" s="5">
        <f>43826.72+3123.93</f>
        <v>46950.65</v>
      </c>
      <c r="D41" s="5">
        <v>72847.31</v>
      </c>
      <c r="E41" s="14">
        <f>+'MARTIE 2015'!C42</f>
        <v>74073.74</v>
      </c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193871.7</v>
      </c>
    </row>
    <row r="42" spans="1:15" ht="12.75">
      <c r="A42" s="2">
        <v>34</v>
      </c>
      <c r="B42" s="4" t="s">
        <v>21</v>
      </c>
      <c r="C42" s="5">
        <f>58648.82+2225.86</f>
        <v>60874.68</v>
      </c>
      <c r="D42" s="5">
        <v>111114.84</v>
      </c>
      <c r="E42" s="14">
        <f>+'MARTIE 2015'!C43</f>
        <v>95643.01000000001</v>
      </c>
      <c r="F42" s="5"/>
      <c r="G42" s="5"/>
      <c r="H42" s="5"/>
      <c r="I42" s="5"/>
      <c r="J42" s="5"/>
      <c r="K42" s="5"/>
      <c r="L42" s="5"/>
      <c r="M42" s="5"/>
      <c r="N42" s="5"/>
      <c r="O42" s="5">
        <f t="shared" si="0"/>
        <v>267632.53</v>
      </c>
    </row>
    <row r="43" spans="1:15" ht="12.75">
      <c r="A43" s="2">
        <v>35</v>
      </c>
      <c r="B43" s="4" t="s">
        <v>47</v>
      </c>
      <c r="C43" s="5">
        <f>16739.21+1200</f>
        <v>17939.21</v>
      </c>
      <c r="D43" s="5">
        <v>30536.98</v>
      </c>
      <c r="E43" s="14">
        <f>+'MARTIE 2015'!C44</f>
        <v>30756.52</v>
      </c>
      <c r="F43" s="5"/>
      <c r="G43" s="5"/>
      <c r="H43" s="5"/>
      <c r="I43" s="5"/>
      <c r="J43" s="5"/>
      <c r="K43" s="5"/>
      <c r="L43" s="5"/>
      <c r="M43" s="5"/>
      <c r="N43" s="5"/>
      <c r="O43" s="5">
        <f t="shared" si="0"/>
        <v>79232.71</v>
      </c>
    </row>
    <row r="44" spans="1:15" ht="12.75">
      <c r="A44" s="2">
        <v>36</v>
      </c>
      <c r="B44" s="6" t="s">
        <v>22</v>
      </c>
      <c r="C44" s="5">
        <f>50583.91+824.39</f>
        <v>51408.3</v>
      </c>
      <c r="D44" s="5">
        <v>37818.37</v>
      </c>
      <c r="E44" s="14">
        <f>+'MARTIE 2015'!C45</f>
        <v>56368.63</v>
      </c>
      <c r="F44" s="7"/>
      <c r="G44" s="7"/>
      <c r="H44" s="5"/>
      <c r="I44" s="5"/>
      <c r="J44" s="5"/>
      <c r="K44" s="5"/>
      <c r="L44" s="5"/>
      <c r="M44" s="5"/>
      <c r="N44" s="5"/>
      <c r="O44" s="5">
        <f t="shared" si="0"/>
        <v>145595.30000000002</v>
      </c>
    </row>
    <row r="45" spans="1:15" ht="12.75">
      <c r="A45" s="2">
        <v>37</v>
      </c>
      <c r="B45" s="6" t="s">
        <v>78</v>
      </c>
      <c r="C45" s="5">
        <f>9998.31+1845.62+1465.08</f>
        <v>13309.01</v>
      </c>
      <c r="D45" s="5">
        <f>14372.66+5000</f>
        <v>19372.66</v>
      </c>
      <c r="E45" s="14">
        <f>+'MARTIE 2015'!C46</f>
        <v>19423.6</v>
      </c>
      <c r="F45" s="7"/>
      <c r="G45" s="7"/>
      <c r="H45" s="5"/>
      <c r="I45" s="5"/>
      <c r="J45" s="5"/>
      <c r="K45" s="5"/>
      <c r="L45" s="5"/>
      <c r="M45" s="5"/>
      <c r="N45" s="5"/>
      <c r="O45" s="5">
        <f t="shared" si="0"/>
        <v>52105.27</v>
      </c>
    </row>
    <row r="46" spans="1:15" ht="12.75">
      <c r="A46" s="2">
        <v>38</v>
      </c>
      <c r="B46" s="6" t="s">
        <v>23</v>
      </c>
      <c r="C46" s="5">
        <f>14343.05+228.97</f>
        <v>14572.019999999999</v>
      </c>
      <c r="D46" s="5">
        <v>27102.95</v>
      </c>
      <c r="E46" s="14">
        <f>+'MARTIE 2015'!C47</f>
        <v>24808.99</v>
      </c>
      <c r="F46" s="7"/>
      <c r="G46" s="7"/>
      <c r="H46" s="5"/>
      <c r="I46" s="5"/>
      <c r="J46" s="5"/>
      <c r="K46" s="5"/>
      <c r="L46" s="5"/>
      <c r="M46" s="5"/>
      <c r="N46" s="5"/>
      <c r="O46" s="5">
        <f t="shared" si="0"/>
        <v>66483.96</v>
      </c>
    </row>
    <row r="47" spans="1:15" ht="12.75">
      <c r="A47" s="2">
        <v>39</v>
      </c>
      <c r="B47" s="4" t="s">
        <v>48</v>
      </c>
      <c r="C47" s="5">
        <f>18997.09+2999.28</f>
        <v>21996.37</v>
      </c>
      <c r="D47" s="5">
        <v>34204.84</v>
      </c>
      <c r="E47" s="14">
        <f>+'MARTIE 2015'!C48</f>
        <v>33001.11</v>
      </c>
      <c r="F47" s="5"/>
      <c r="G47" s="5"/>
      <c r="H47" s="5"/>
      <c r="I47" s="5"/>
      <c r="J47" s="5"/>
      <c r="K47" s="5"/>
      <c r="L47" s="5"/>
      <c r="M47" s="5"/>
      <c r="N47" s="5"/>
      <c r="O47" s="5">
        <f t="shared" si="0"/>
        <v>89202.31999999999</v>
      </c>
    </row>
    <row r="48" spans="1:15" ht="12.75">
      <c r="A48" s="2">
        <v>40</v>
      </c>
      <c r="B48" s="4" t="s">
        <v>97</v>
      </c>
      <c r="C48" s="5">
        <v>249.1</v>
      </c>
      <c r="D48" s="5">
        <v>2921.39</v>
      </c>
      <c r="E48" s="14">
        <f>+'MARTIE 2015'!C49</f>
        <v>2600.41</v>
      </c>
      <c r="F48" s="5"/>
      <c r="G48" s="5"/>
      <c r="H48" s="5"/>
      <c r="I48" s="5"/>
      <c r="J48" s="5"/>
      <c r="K48" s="5"/>
      <c r="L48" s="5"/>
      <c r="M48" s="5"/>
      <c r="N48" s="5"/>
      <c r="O48" s="5">
        <f t="shared" si="0"/>
        <v>5770.9</v>
      </c>
    </row>
    <row r="49" spans="1:15" ht="12.75">
      <c r="A49" s="2">
        <v>41</v>
      </c>
      <c r="B49" s="4" t="s">
        <v>49</v>
      </c>
      <c r="C49" s="5">
        <f>6516.61+1849.17+19270.02+890.77</f>
        <v>28526.57</v>
      </c>
      <c r="D49" s="5">
        <f>10000+35573.74</f>
        <v>45573.74</v>
      </c>
      <c r="E49" s="14">
        <f>+'MARTIE 2015'!C50</f>
        <v>26374.530000000002</v>
      </c>
      <c r="F49" s="5"/>
      <c r="G49" s="5"/>
      <c r="H49" s="5"/>
      <c r="I49" s="5"/>
      <c r="J49" s="5"/>
      <c r="K49" s="5"/>
      <c r="L49" s="5"/>
      <c r="M49" s="5"/>
      <c r="N49" s="5"/>
      <c r="O49" s="5">
        <f t="shared" si="0"/>
        <v>100474.84</v>
      </c>
    </row>
    <row r="50" spans="1:15" ht="12.75">
      <c r="A50" s="2">
        <v>42</v>
      </c>
      <c r="B50" s="4" t="s">
        <v>72</v>
      </c>
      <c r="C50" s="5">
        <f>3206.53+316.91+479.05</f>
        <v>4002.4900000000002</v>
      </c>
      <c r="D50" s="5">
        <v>9626.09</v>
      </c>
      <c r="E50" s="14">
        <f>+'MARTIE 2015'!C51</f>
        <v>8683.859999999999</v>
      </c>
      <c r="F50" s="5"/>
      <c r="G50" s="5"/>
      <c r="H50" s="5"/>
      <c r="I50" s="5"/>
      <c r="J50" s="5"/>
      <c r="K50" s="5"/>
      <c r="L50" s="5"/>
      <c r="M50" s="5"/>
      <c r="N50" s="5"/>
      <c r="O50" s="5">
        <f t="shared" si="0"/>
        <v>22312.44</v>
      </c>
    </row>
    <row r="51" spans="1:15" ht="12.75">
      <c r="A51" s="2">
        <v>43</v>
      </c>
      <c r="B51" s="4" t="s">
        <v>24</v>
      </c>
      <c r="C51" s="5">
        <f>28143.29+2806.13</f>
        <v>30949.420000000002</v>
      </c>
      <c r="D51" s="5">
        <v>56331.96</v>
      </c>
      <c r="E51" s="14">
        <f>+'MARTIE 2015'!C52</f>
        <v>55660.92</v>
      </c>
      <c r="F51" s="5"/>
      <c r="G51" s="5"/>
      <c r="H51" s="5"/>
      <c r="I51" s="5"/>
      <c r="J51" s="5"/>
      <c r="K51" s="5"/>
      <c r="L51" s="5"/>
      <c r="M51" s="5"/>
      <c r="N51" s="5"/>
      <c r="O51" s="5">
        <f t="shared" si="0"/>
        <v>142942.3</v>
      </c>
    </row>
    <row r="52" spans="1:15" ht="12.75">
      <c r="A52" s="2">
        <v>44</v>
      </c>
      <c r="B52" s="4" t="s">
        <v>50</v>
      </c>
      <c r="C52" s="5">
        <f>2605.22+404.55</f>
        <v>3009.77</v>
      </c>
      <c r="D52" s="5">
        <v>4961.82</v>
      </c>
      <c r="E52" s="14">
        <f>+'MARTIE 2015'!C53</f>
        <v>4215.24</v>
      </c>
      <c r="F52" s="5"/>
      <c r="G52" s="5"/>
      <c r="H52" s="5"/>
      <c r="I52" s="5"/>
      <c r="J52" s="5"/>
      <c r="K52" s="5"/>
      <c r="L52" s="5"/>
      <c r="M52" s="5"/>
      <c r="N52" s="5"/>
      <c r="O52" s="5">
        <f t="shared" si="0"/>
        <v>12186.83</v>
      </c>
    </row>
    <row r="53" spans="1:15" ht="12.75">
      <c r="A53" s="2">
        <v>45</v>
      </c>
      <c r="B53" s="4" t="s">
        <v>73</v>
      </c>
      <c r="C53" s="5">
        <f>11957+1893.43</f>
        <v>13850.43</v>
      </c>
      <c r="D53" s="5">
        <v>25696.56</v>
      </c>
      <c r="E53" s="14">
        <f>+'MARTIE 2015'!C54</f>
        <v>26550.41</v>
      </c>
      <c r="F53" s="5"/>
      <c r="G53" s="5"/>
      <c r="H53" s="5"/>
      <c r="I53" s="5"/>
      <c r="J53" s="5"/>
      <c r="K53" s="5"/>
      <c r="L53" s="5"/>
      <c r="M53" s="5"/>
      <c r="N53" s="5"/>
      <c r="O53" s="5">
        <f t="shared" si="0"/>
        <v>66097.40000000001</v>
      </c>
    </row>
    <row r="54" spans="1:15" ht="12.75">
      <c r="A54" s="2">
        <v>46</v>
      </c>
      <c r="B54" s="4" t="s">
        <v>51</v>
      </c>
      <c r="C54" s="5">
        <f>16240.34+3767.42</f>
        <v>20007.760000000002</v>
      </c>
      <c r="D54" s="5">
        <v>29256.37</v>
      </c>
      <c r="E54" s="14">
        <f>+'MARTIE 2015'!C55</f>
        <v>28898.510000000002</v>
      </c>
      <c r="F54" s="5"/>
      <c r="G54" s="5"/>
      <c r="H54" s="5"/>
      <c r="I54" s="5"/>
      <c r="J54" s="5"/>
      <c r="K54" s="5"/>
      <c r="L54" s="5"/>
      <c r="M54" s="5"/>
      <c r="N54" s="5"/>
      <c r="O54" s="5">
        <f t="shared" si="0"/>
        <v>78162.64000000001</v>
      </c>
    </row>
    <row r="55" spans="1:15" ht="12.75">
      <c r="A55" s="2">
        <v>47</v>
      </c>
      <c r="B55" s="6" t="s">
        <v>52</v>
      </c>
      <c r="C55" s="5">
        <f>46471.91+3129.85</f>
        <v>49601.76</v>
      </c>
      <c r="D55" s="5">
        <v>74350.74</v>
      </c>
      <c r="E55" s="14">
        <f>+'MARTIE 2015'!C56</f>
        <v>75866.28</v>
      </c>
      <c r="F55" s="7"/>
      <c r="G55" s="7"/>
      <c r="H55" s="7"/>
      <c r="I55" s="5"/>
      <c r="J55" s="5"/>
      <c r="K55" s="5"/>
      <c r="L55" s="5"/>
      <c r="M55" s="5"/>
      <c r="N55" s="5"/>
      <c r="O55" s="5">
        <f t="shared" si="0"/>
        <v>199818.78</v>
      </c>
    </row>
    <row r="56" spans="1:15" ht="12.75">
      <c r="A56" s="2">
        <v>48</v>
      </c>
      <c r="B56" s="4" t="s">
        <v>25</v>
      </c>
      <c r="C56" s="5">
        <f>103629.27+41152.68+4339.97</f>
        <v>149121.92</v>
      </c>
      <c r="D56" s="5">
        <f>49564.98+92541+86766.8</f>
        <v>228872.78000000003</v>
      </c>
      <c r="E56" s="14">
        <f>+'MARTIE 2015'!C57</f>
        <v>221181.35000000003</v>
      </c>
      <c r="F56" s="5"/>
      <c r="G56" s="5"/>
      <c r="H56" s="5"/>
      <c r="I56" s="5"/>
      <c r="J56" s="5"/>
      <c r="K56" s="5"/>
      <c r="L56" s="5"/>
      <c r="M56" s="5"/>
      <c r="N56" s="5"/>
      <c r="O56" s="5">
        <f t="shared" si="0"/>
        <v>599176.05</v>
      </c>
    </row>
    <row r="57" spans="1:15" ht="12.75">
      <c r="A57" s="2">
        <v>49</v>
      </c>
      <c r="B57" s="4" t="s">
        <v>26</v>
      </c>
      <c r="C57" s="5">
        <f>1680.99+323.83+400.46</f>
        <v>2405.2799999999997</v>
      </c>
      <c r="D57" s="5">
        <v>2931.42</v>
      </c>
      <c r="E57" s="14">
        <f>+'MARTIE 2015'!C58</f>
        <v>3122.21</v>
      </c>
      <c r="F57" s="5"/>
      <c r="G57" s="5"/>
      <c r="H57" s="5"/>
      <c r="I57" s="5"/>
      <c r="J57" s="5"/>
      <c r="K57" s="5"/>
      <c r="L57" s="5"/>
      <c r="M57" s="5"/>
      <c r="N57" s="5"/>
      <c r="O57" s="5">
        <f t="shared" si="0"/>
        <v>8458.91</v>
      </c>
    </row>
    <row r="58" spans="1:15" ht="12.75">
      <c r="A58" s="2">
        <v>50</v>
      </c>
      <c r="B58" s="4" t="s">
        <v>27</v>
      </c>
      <c r="C58" s="5">
        <f>902752.56+27340.03</f>
        <v>930092.5900000001</v>
      </c>
      <c r="D58" s="5">
        <f>1479551.15+56082.31</f>
        <v>1535633.46</v>
      </c>
      <c r="E58" s="14">
        <f>+'MARTIE 2015'!C59</f>
        <v>1474111.6099999999</v>
      </c>
      <c r="F58" s="5"/>
      <c r="G58" s="5"/>
      <c r="H58" s="5"/>
      <c r="I58" s="5"/>
      <c r="J58" s="5"/>
      <c r="K58" s="5"/>
      <c r="L58" s="5"/>
      <c r="M58" s="5"/>
      <c r="N58" s="5"/>
      <c r="O58" s="5">
        <f t="shared" si="0"/>
        <v>3939837.6599999997</v>
      </c>
    </row>
    <row r="59" spans="1:15" ht="12.75">
      <c r="A59" s="2">
        <v>51</v>
      </c>
      <c r="B59" s="4" t="s">
        <v>28</v>
      </c>
      <c r="C59" s="5">
        <f>126006.53+6998.98</f>
        <v>133005.51</v>
      </c>
      <c r="D59" s="5">
        <v>212326.24</v>
      </c>
      <c r="E59" s="14">
        <f>+'MARTIE 2015'!C60</f>
        <v>199377.96999999997</v>
      </c>
      <c r="F59" s="5"/>
      <c r="G59" s="5"/>
      <c r="H59" s="5"/>
      <c r="I59" s="5"/>
      <c r="J59" s="5"/>
      <c r="K59" s="5"/>
      <c r="L59" s="5"/>
      <c r="M59" s="5"/>
      <c r="N59" s="5"/>
      <c r="O59" s="5">
        <f t="shared" si="0"/>
        <v>544709.72</v>
      </c>
    </row>
    <row r="60" spans="1:15" ht="12.75">
      <c r="A60" s="2">
        <v>52</v>
      </c>
      <c r="B60" s="4" t="s">
        <v>53</v>
      </c>
      <c r="C60" s="5">
        <f>6458.95+289.05</f>
        <v>6748</v>
      </c>
      <c r="D60" s="5">
        <v>8488.3</v>
      </c>
      <c r="E60" s="14">
        <f>+'MARTIE 2015'!C61</f>
        <v>10618.949999999999</v>
      </c>
      <c r="F60" s="5"/>
      <c r="G60" s="5"/>
      <c r="H60" s="5"/>
      <c r="I60" s="5"/>
      <c r="J60" s="5"/>
      <c r="K60" s="5"/>
      <c r="L60" s="5"/>
      <c r="M60" s="5"/>
      <c r="N60" s="5"/>
      <c r="O60" s="5">
        <f t="shared" si="0"/>
        <v>25855.25</v>
      </c>
    </row>
    <row r="61" spans="1:15" ht="12.75">
      <c r="A61" s="2">
        <v>53</v>
      </c>
      <c r="B61" s="4" t="s">
        <v>31</v>
      </c>
      <c r="C61" s="5">
        <f>73684.9+9443.89</f>
        <v>83128.79</v>
      </c>
      <c r="D61" s="5">
        <v>127356.85</v>
      </c>
      <c r="E61" s="14">
        <f>+'MARTIE 2015'!C62</f>
        <v>166682.22999999998</v>
      </c>
      <c r="F61" s="5"/>
      <c r="G61" s="5"/>
      <c r="H61" s="5"/>
      <c r="I61" s="5"/>
      <c r="J61" s="5"/>
      <c r="K61" s="5"/>
      <c r="L61" s="5"/>
      <c r="M61" s="5"/>
      <c r="N61" s="5"/>
      <c r="O61" s="5">
        <f t="shared" si="0"/>
        <v>377167.87</v>
      </c>
    </row>
    <row r="62" spans="1:15" ht="12.75">
      <c r="A62" s="2">
        <v>54</v>
      </c>
      <c r="B62" s="4" t="s">
        <v>54</v>
      </c>
      <c r="C62" s="5">
        <f>13307.42+3374.6+942.9</f>
        <v>17624.920000000002</v>
      </c>
      <c r="D62" s="5">
        <f>2096.75+9838.25+13890.98+5000</f>
        <v>30825.98</v>
      </c>
      <c r="E62" s="14">
        <f>+'MARTIE 2015'!C63</f>
        <v>31080.23</v>
      </c>
      <c r="F62" s="5"/>
      <c r="G62" s="5"/>
      <c r="H62" s="5"/>
      <c r="I62" s="5"/>
      <c r="J62" s="5"/>
      <c r="K62" s="5"/>
      <c r="L62" s="5"/>
      <c r="M62" s="5"/>
      <c r="N62" s="5"/>
      <c r="O62" s="5">
        <f t="shared" si="0"/>
        <v>79531.13</v>
      </c>
    </row>
    <row r="63" spans="1:15" ht="12.75">
      <c r="A63" s="2">
        <v>55</v>
      </c>
      <c r="B63" s="4" t="s">
        <v>32</v>
      </c>
      <c r="C63" s="5">
        <f>25197.9+11529.64+1278.44+2344.98</f>
        <v>40350.96000000001</v>
      </c>
      <c r="D63" s="5">
        <f>177.29+16116.13+35000</f>
        <v>51293.42</v>
      </c>
      <c r="E63" s="14">
        <f>+'MARTIE 2015'!C64</f>
        <v>59899.29000000001</v>
      </c>
      <c r="F63" s="5"/>
      <c r="G63" s="5"/>
      <c r="H63" s="5"/>
      <c r="I63" s="5"/>
      <c r="J63" s="5"/>
      <c r="K63" s="5"/>
      <c r="L63" s="5"/>
      <c r="M63" s="5"/>
      <c r="N63" s="5"/>
      <c r="O63" s="5">
        <f t="shared" si="0"/>
        <v>151543.67</v>
      </c>
    </row>
    <row r="64" spans="1:15" ht="12.75">
      <c r="A64" s="2">
        <v>56</v>
      </c>
      <c r="B64" s="4" t="s">
        <v>30</v>
      </c>
      <c r="C64" s="5">
        <f>53730.7+6453.49</f>
        <v>60184.189999999995</v>
      </c>
      <c r="D64" s="5">
        <v>83934.8</v>
      </c>
      <c r="E64" s="14">
        <f>+'MARTIE 2015'!C65</f>
        <v>83903.92</v>
      </c>
      <c r="F64" s="5"/>
      <c r="G64" s="5"/>
      <c r="H64" s="5"/>
      <c r="I64" s="5"/>
      <c r="J64" s="5"/>
      <c r="K64" s="5"/>
      <c r="L64" s="5"/>
      <c r="M64" s="5"/>
      <c r="N64" s="5"/>
      <c r="O64" s="5">
        <f t="shared" si="0"/>
        <v>228022.90999999997</v>
      </c>
    </row>
    <row r="65" spans="1:15" ht="12.75">
      <c r="A65" s="2">
        <v>57</v>
      </c>
      <c r="B65" s="4" t="s">
        <v>33</v>
      </c>
      <c r="C65" s="5">
        <f>6809.48+10079.67+2949.17</f>
        <v>19838.32</v>
      </c>
      <c r="D65" s="5">
        <v>34406.5</v>
      </c>
      <c r="E65" s="14">
        <f>+'MARTIE 2015'!C66</f>
        <v>34100.450000000004</v>
      </c>
      <c r="F65" s="5"/>
      <c r="G65" s="5"/>
      <c r="H65" s="5"/>
      <c r="I65" s="5"/>
      <c r="J65" s="5"/>
      <c r="K65" s="5"/>
      <c r="L65" s="5"/>
      <c r="M65" s="5"/>
      <c r="N65" s="5"/>
      <c r="O65" s="5">
        <f t="shared" si="0"/>
        <v>88345.27</v>
      </c>
    </row>
    <row r="66" spans="1:15" ht="12.75">
      <c r="A66" s="2">
        <v>58</v>
      </c>
      <c r="B66" s="4" t="s">
        <v>59</v>
      </c>
      <c r="C66" s="5">
        <f>364195.42+23835.52+79.65+10441.25</f>
        <v>398551.84</v>
      </c>
      <c r="D66" s="5">
        <v>715001.39</v>
      </c>
      <c r="E66" s="14">
        <f>+'MARTIE 2015'!C67</f>
        <v>549023.06</v>
      </c>
      <c r="F66" s="5"/>
      <c r="G66" s="5"/>
      <c r="H66" s="5"/>
      <c r="I66" s="5"/>
      <c r="J66" s="5"/>
      <c r="K66" s="5"/>
      <c r="L66" s="5"/>
      <c r="M66" s="5"/>
      <c r="N66" s="5"/>
      <c r="O66" s="5">
        <f t="shared" si="0"/>
        <v>1662576.29</v>
      </c>
    </row>
    <row r="67" spans="1:15" ht="12.75">
      <c r="A67" s="2">
        <v>59</v>
      </c>
      <c r="B67" s="4" t="s">
        <v>60</v>
      </c>
      <c r="C67" s="5">
        <f>28337.81+10.9+1822.38</f>
        <v>30171.090000000004</v>
      </c>
      <c r="D67" s="5">
        <v>38692.58</v>
      </c>
      <c r="E67" s="14">
        <f>+'MARTIE 2015'!C68</f>
        <v>33444.59</v>
      </c>
      <c r="F67" s="5"/>
      <c r="G67" s="5"/>
      <c r="H67" s="5"/>
      <c r="I67" s="5"/>
      <c r="J67" s="5"/>
      <c r="K67" s="5"/>
      <c r="L67" s="5"/>
      <c r="M67" s="5"/>
      <c r="N67" s="5"/>
      <c r="O67" s="5">
        <f t="shared" si="0"/>
        <v>102308.26000000001</v>
      </c>
    </row>
    <row r="68" spans="1:15" ht="12.75">
      <c r="A68" s="2">
        <v>60</v>
      </c>
      <c r="B68" s="4" t="s">
        <v>55</v>
      </c>
      <c r="C68" s="5">
        <f>428.38+4362.94+721</f>
        <v>5512.32</v>
      </c>
      <c r="D68" s="5">
        <f>611.34+4985.87</f>
        <v>5597.21</v>
      </c>
      <c r="E68" s="14">
        <f>+'MARTIE 2015'!C69</f>
        <v>7526.990000000001</v>
      </c>
      <c r="F68" s="5"/>
      <c r="G68" s="5"/>
      <c r="H68" s="5"/>
      <c r="I68" s="5"/>
      <c r="J68" s="5"/>
      <c r="K68" s="5"/>
      <c r="L68" s="5"/>
      <c r="M68" s="5"/>
      <c r="N68" s="5"/>
      <c r="O68" s="5">
        <f t="shared" si="0"/>
        <v>18636.52</v>
      </c>
    </row>
    <row r="69" spans="1:15" ht="12.75">
      <c r="A69" s="2">
        <v>61</v>
      </c>
      <c r="B69" s="4" t="s">
        <v>61</v>
      </c>
      <c r="C69" s="5">
        <f>549.12+6676.01+610.89</f>
        <v>7836.02</v>
      </c>
      <c r="D69" s="5">
        <f>617.82+12074.07</f>
        <v>12691.89</v>
      </c>
      <c r="E69" s="14">
        <f>+'MARTIE 2015'!C70</f>
        <v>12096.25</v>
      </c>
      <c r="F69" s="5"/>
      <c r="G69" s="5"/>
      <c r="H69" s="5"/>
      <c r="I69" s="5"/>
      <c r="J69" s="5"/>
      <c r="K69" s="5"/>
      <c r="L69" s="5"/>
      <c r="M69" s="5"/>
      <c r="N69" s="5"/>
      <c r="O69" s="5">
        <f aca="true" t="shared" si="1" ref="O69:O78">C69+D69+E69+F69+G69+H69+I69+J69+K69+L69+M69+N69</f>
        <v>32624.16</v>
      </c>
    </row>
    <row r="70" spans="1:15" ht="12.75">
      <c r="A70" s="2">
        <v>62</v>
      </c>
      <c r="B70" s="4" t="s">
        <v>62</v>
      </c>
      <c r="C70" s="5">
        <f>2453.6+6631+1786.97</f>
        <v>10871.57</v>
      </c>
      <c r="D70" s="5">
        <f>4694.74+10000</f>
        <v>14694.74</v>
      </c>
      <c r="E70" s="14">
        <f>+'MARTIE 2015'!C71</f>
        <v>17520.050000000003</v>
      </c>
      <c r="F70" s="5"/>
      <c r="G70" s="5"/>
      <c r="H70" s="5"/>
      <c r="I70" s="5"/>
      <c r="J70" s="5"/>
      <c r="K70" s="5"/>
      <c r="L70" s="5"/>
      <c r="M70" s="5"/>
      <c r="N70" s="5"/>
      <c r="O70" s="5">
        <f t="shared" si="1"/>
        <v>43086.36</v>
      </c>
    </row>
    <row r="71" spans="1:15" ht="12.75">
      <c r="A71" s="2">
        <v>63</v>
      </c>
      <c r="B71" s="4" t="s">
        <v>63</v>
      </c>
      <c r="C71" s="5">
        <f>10017.75+195.5+1617.97</f>
        <v>11831.22</v>
      </c>
      <c r="D71" s="5">
        <v>16677.77</v>
      </c>
      <c r="E71" s="14">
        <f>+'MARTIE 2015'!C72</f>
        <v>19708.72</v>
      </c>
      <c r="F71" s="5"/>
      <c r="G71" s="5"/>
      <c r="H71" s="5"/>
      <c r="I71" s="5"/>
      <c r="J71" s="5"/>
      <c r="K71" s="5"/>
      <c r="L71" s="5"/>
      <c r="M71" s="5"/>
      <c r="N71" s="5"/>
      <c r="O71" s="5">
        <f t="shared" si="1"/>
        <v>48217.71</v>
      </c>
    </row>
    <row r="72" spans="1:15" ht="12.75">
      <c r="A72" s="2">
        <v>64</v>
      </c>
      <c r="B72" s="4" t="s">
        <v>64</v>
      </c>
      <c r="C72" s="5">
        <f>13784.58+840.12</f>
        <v>14624.7</v>
      </c>
      <c r="D72" s="5">
        <v>19553.27</v>
      </c>
      <c r="E72" s="14">
        <f>+'MARTIE 2015'!C73</f>
        <v>16260.23</v>
      </c>
      <c r="F72" s="5"/>
      <c r="G72" s="5"/>
      <c r="H72" s="5"/>
      <c r="I72" s="5"/>
      <c r="J72" s="5"/>
      <c r="K72" s="5"/>
      <c r="L72" s="5"/>
      <c r="M72" s="5"/>
      <c r="N72" s="5"/>
      <c r="O72" s="5">
        <f t="shared" si="1"/>
        <v>50438.2</v>
      </c>
    </row>
    <row r="73" spans="1:15" ht="12.75">
      <c r="A73" s="2">
        <v>65</v>
      </c>
      <c r="B73" s="4" t="s">
        <v>65</v>
      </c>
      <c r="C73" s="5">
        <f>14408.48+1060.04</f>
        <v>15468.52</v>
      </c>
      <c r="D73" s="5">
        <v>27732.94</v>
      </c>
      <c r="E73" s="14">
        <f>+'MARTIE 2015'!C74</f>
        <v>22201.33</v>
      </c>
      <c r="F73" s="5"/>
      <c r="G73" s="5"/>
      <c r="H73" s="5"/>
      <c r="I73" s="5"/>
      <c r="J73" s="5"/>
      <c r="K73" s="5"/>
      <c r="L73" s="5"/>
      <c r="M73" s="5"/>
      <c r="N73" s="5"/>
      <c r="O73" s="5">
        <f t="shared" si="1"/>
        <v>65402.79</v>
      </c>
    </row>
    <row r="74" spans="1:15" ht="12.75">
      <c r="A74" s="2">
        <v>66</v>
      </c>
      <c r="B74" s="4" t="s">
        <v>56</v>
      </c>
      <c r="C74" s="5">
        <f>17555.69+2852.24</f>
        <v>20407.93</v>
      </c>
      <c r="D74" s="5">
        <v>32057.92</v>
      </c>
      <c r="E74" s="14">
        <f>+'MARTIE 2015'!C75</f>
        <v>31413.38</v>
      </c>
      <c r="F74" s="5"/>
      <c r="G74" s="5"/>
      <c r="H74" s="5"/>
      <c r="I74" s="5"/>
      <c r="J74" s="5"/>
      <c r="K74" s="5"/>
      <c r="L74" s="5"/>
      <c r="M74" s="5"/>
      <c r="N74" s="5"/>
      <c r="O74" s="5">
        <f t="shared" si="1"/>
        <v>83879.23</v>
      </c>
    </row>
    <row r="75" spans="1:15" ht="12.75">
      <c r="A75" s="2">
        <v>67</v>
      </c>
      <c r="B75" s="4" t="s">
        <v>57</v>
      </c>
      <c r="C75" s="5">
        <f>18934.46+1567.45</f>
        <v>20501.91</v>
      </c>
      <c r="D75" s="5">
        <v>28975.43</v>
      </c>
      <c r="E75" s="14">
        <f>+'MARTIE 2015'!C76</f>
        <v>25248.88</v>
      </c>
      <c r="F75" s="5"/>
      <c r="G75" s="5"/>
      <c r="H75" s="5"/>
      <c r="I75" s="5"/>
      <c r="J75" s="5"/>
      <c r="K75" s="5"/>
      <c r="L75" s="5"/>
      <c r="M75" s="5"/>
      <c r="N75" s="5"/>
      <c r="O75" s="5">
        <f t="shared" si="1"/>
        <v>74726.22</v>
      </c>
    </row>
    <row r="76" spans="1:15" ht="12.75">
      <c r="A76" s="2">
        <v>68</v>
      </c>
      <c r="B76" s="4" t="s">
        <v>66</v>
      </c>
      <c r="C76" s="5">
        <f>64198.09+8352.16</f>
        <v>72550.25</v>
      </c>
      <c r="D76" s="5">
        <v>98184.52</v>
      </c>
      <c r="E76" s="14">
        <f>+'MARTIE 2015'!C77</f>
        <v>99433.05</v>
      </c>
      <c r="F76" s="5"/>
      <c r="G76" s="5"/>
      <c r="H76" s="5"/>
      <c r="I76" s="5"/>
      <c r="J76" s="5"/>
      <c r="K76" s="5"/>
      <c r="L76" s="5"/>
      <c r="M76" s="5"/>
      <c r="N76" s="5"/>
      <c r="O76" s="5">
        <f t="shared" si="1"/>
        <v>270167.82</v>
      </c>
    </row>
    <row r="77" spans="1:15" ht="12.75">
      <c r="A77" s="2">
        <v>69</v>
      </c>
      <c r="B77" s="4" t="s">
        <v>58</v>
      </c>
      <c r="C77" s="5">
        <f>8417.1+1948.06</f>
        <v>10365.16</v>
      </c>
      <c r="D77" s="5">
        <v>14183.8</v>
      </c>
      <c r="E77" s="14">
        <f>+'MARTIE 2015'!C78</f>
        <v>14010.720000000001</v>
      </c>
      <c r="F77" s="5"/>
      <c r="G77" s="5"/>
      <c r="H77" s="5"/>
      <c r="I77" s="5"/>
      <c r="J77" s="5"/>
      <c r="K77" s="5"/>
      <c r="L77" s="5"/>
      <c r="M77" s="5"/>
      <c r="N77" s="5"/>
      <c r="O77" s="5">
        <f t="shared" si="1"/>
        <v>38559.68</v>
      </c>
    </row>
    <row r="78" spans="1:15" ht="12.75">
      <c r="A78" s="2">
        <v>70</v>
      </c>
      <c r="B78" s="4" t="s">
        <v>67</v>
      </c>
      <c r="C78" s="5">
        <f>105608.4+6021.77+189.01+9958.35</f>
        <v>121777.53</v>
      </c>
      <c r="D78" s="5">
        <v>167843.16</v>
      </c>
      <c r="E78" s="14">
        <f>+'MARTIE 2015'!C79</f>
        <v>171027.53</v>
      </c>
      <c r="F78" s="5"/>
      <c r="G78" s="5"/>
      <c r="H78" s="5"/>
      <c r="I78" s="5"/>
      <c r="J78" s="5"/>
      <c r="K78" s="5"/>
      <c r="L78" s="5"/>
      <c r="M78" s="5"/>
      <c r="N78" s="5"/>
      <c r="O78" s="5">
        <f t="shared" si="1"/>
        <v>460648.22</v>
      </c>
    </row>
    <row r="79" spans="1:15" ht="12.75">
      <c r="A79" s="4"/>
      <c r="B79" s="8" t="s">
        <v>68</v>
      </c>
      <c r="C79" s="9">
        <f>SUM(C9:C78)</f>
        <v>4251460</v>
      </c>
      <c r="D79" s="9">
        <f aca="true" t="shared" si="2" ref="D79:O79">SUM(D9:D78)</f>
        <v>6706599.999999999</v>
      </c>
      <c r="E79" s="9">
        <f t="shared" si="2"/>
        <v>6506490.000000001</v>
      </c>
      <c r="F79" s="9">
        <f t="shared" si="2"/>
        <v>0</v>
      </c>
      <c r="G79" s="9">
        <f t="shared" si="2"/>
        <v>0</v>
      </c>
      <c r="H79" s="9">
        <f t="shared" si="2"/>
        <v>0</v>
      </c>
      <c r="I79" s="9">
        <f t="shared" si="2"/>
        <v>0</v>
      </c>
      <c r="J79" s="9">
        <f t="shared" si="2"/>
        <v>0</v>
      </c>
      <c r="K79" s="9">
        <f t="shared" si="2"/>
        <v>0</v>
      </c>
      <c r="L79" s="9">
        <f t="shared" si="2"/>
        <v>0</v>
      </c>
      <c r="M79" s="9">
        <f t="shared" si="2"/>
        <v>0</v>
      </c>
      <c r="N79" s="9">
        <f t="shared" si="2"/>
        <v>0</v>
      </c>
      <c r="O79" s="9">
        <f t="shared" si="2"/>
        <v>17464550</v>
      </c>
    </row>
    <row r="80" spans="6:15" ht="12.75">
      <c r="F80" s="10"/>
      <c r="O80" s="11"/>
    </row>
    <row r="81" spans="6:15" ht="12.75">
      <c r="F81" s="11"/>
      <c r="O81" s="11"/>
    </row>
  </sheetData>
  <sheetProtection/>
  <printOptions/>
  <pageMargins left="0.7480314960629921" right="0.1968503937007874" top="0.5118110236220472" bottom="0.15748031496062992" header="0.511811023622047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p</cp:lastModifiedBy>
  <cp:lastPrinted>2015-04-08T09:28:19Z</cp:lastPrinted>
  <dcterms:created xsi:type="dcterms:W3CDTF">2014-08-11T06:10:45Z</dcterms:created>
  <dcterms:modified xsi:type="dcterms:W3CDTF">2015-04-08T10:47:30Z</dcterms:modified>
  <cp:category/>
  <cp:version/>
  <cp:contentType/>
  <cp:contentStatus/>
</cp:coreProperties>
</file>