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120" tabRatio="752" activeTab="0"/>
  </bookViews>
  <sheets>
    <sheet name="sept" sheetId="1" r:id="rId1"/>
    <sheet name="august" sheetId="2" r:id="rId2"/>
    <sheet name="iulie" sheetId="3" r:id="rId3"/>
    <sheet name="iunie " sheetId="4" r:id="rId4"/>
    <sheet name="mai" sheetId="5" r:id="rId5"/>
    <sheet name="APRIL" sheetId="6" r:id="rId6"/>
    <sheet name="MARTIE 2015" sheetId="7" r:id="rId7"/>
    <sheet name="FEBRUARIE 2015" sheetId="8" r:id="rId8"/>
    <sheet name="plati ianuarie 2015" sheetId="9" r:id="rId9"/>
    <sheet name="plati farmacii med c+g" sheetId="10" r:id="rId10"/>
    <sheet name="Sheet1" sheetId="11" r:id="rId11"/>
  </sheets>
  <definedNames>
    <definedName name="_xlnm.Print_Area" localSheetId="9">'plati farmacii med c+g'!$A$1:$O$83</definedName>
    <definedName name="_xlnm.Print_Titles" localSheetId="3">'iunie '!$9:$9</definedName>
    <definedName name="_xlnm.Print_Titles" localSheetId="4">'mai'!$9:$9</definedName>
    <definedName name="_xlnm.Print_Titles" localSheetId="9">'plati farmacii med c+g'!$8:$8</definedName>
  </definedNames>
  <calcPr fullCalcOnLoad="1"/>
</workbook>
</file>

<file path=xl/sharedStrings.xml><?xml version="1.0" encoding="utf-8"?>
<sst xmlns="http://schemas.openxmlformats.org/spreadsheetml/2006/main" count="791" uniqueCount="188">
  <si>
    <t>CASA JUDETEANA DE ASIGURARI DE SANATATE VASLUI</t>
  </si>
  <si>
    <t xml:space="preserve">SITUATIA PLATILOR PE FURNIZORI DE MEDICAMENTE COMPENSATE SI GRATUITE </t>
  </si>
  <si>
    <t>Nr.crt.</t>
  </si>
  <si>
    <t>Denumire Farmacie</t>
  </si>
  <si>
    <t>TOTAL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</si>
  <si>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</si>
  <si>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</si>
  <si>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</si>
  <si>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</si>
  <si>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</si>
  <si>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</si>
  <si>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>DANIELOPOLU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</si>
  <si>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</si>
  <si>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</si>
  <si>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</si>
  <si>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</si>
  <si>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</si>
  <si>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</si>
  <si>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HYPOCRATE </t>
  </si>
  <si>
    <t>INAFARM STAR</t>
  </si>
  <si>
    <t xml:space="preserve">LAVIRA TRANSPORT </t>
  </si>
  <si>
    <t xml:space="preserve">MEDIMFARM </t>
  </si>
  <si>
    <t xml:space="preserve">MOLDOFARM INVEST </t>
  </si>
  <si>
    <t>NICOLINA FARM</t>
  </si>
  <si>
    <t xml:space="preserve">PLANTAGO TEHNOFARM </t>
  </si>
  <si>
    <t xml:space="preserve">RA </t>
  </si>
  <si>
    <t xml:space="preserve">ROMOLD </t>
  </si>
  <si>
    <t xml:space="preserve">ROPHARMA </t>
  </si>
  <si>
    <t>ROSIFARM</t>
  </si>
  <si>
    <t>ARTEMISIA FARM</t>
  </si>
  <si>
    <t xml:space="preserve">SANTAVIC FARM </t>
  </si>
  <si>
    <t>S.I.E.P.C.O.F.A.R.</t>
  </si>
  <si>
    <t xml:space="preserve">SANTAC </t>
  </si>
  <si>
    <t>SASVIRO</t>
  </si>
  <si>
    <t xml:space="preserve">ALPHA MED </t>
  </si>
  <si>
    <t xml:space="preserve">AVALUX-STAR </t>
  </si>
  <si>
    <t xml:space="preserve">CAMPANULA FARM </t>
  </si>
  <si>
    <t xml:space="preserve">CRATEGUS PHARMA </t>
  </si>
  <si>
    <t xml:space="preserve">DALYA </t>
  </si>
  <si>
    <t xml:space="preserve">DAMIDAR </t>
  </si>
  <si>
    <t xml:space="preserve">DAVILLA </t>
  </si>
  <si>
    <t xml:space="preserve">ELEFARM </t>
  </si>
  <si>
    <t xml:space="preserve">FARMONI IMPEX </t>
  </si>
  <si>
    <t xml:space="preserve">GRUP IRI FARM </t>
  </si>
  <si>
    <t xml:space="preserve">HERFARM </t>
  </si>
  <si>
    <t xml:space="preserve">LEVENTICA </t>
  </si>
  <si>
    <t xml:space="preserve">MEDFARM </t>
  </si>
  <si>
    <t xml:space="preserve">MENTOGELY </t>
  </si>
  <si>
    <t xml:space="preserve">NIKI PHARM </t>
  </si>
  <si>
    <t>PANROSE FARM</t>
  </si>
  <si>
    <t xml:space="preserve">PRIMULA </t>
  </si>
  <si>
    <t xml:space="preserve">PROFILACT FARM </t>
  </si>
  <si>
    <t xml:space="preserve">PUNCTFARM </t>
  </si>
  <si>
    <t xml:space="preserve">RUBI FARM </t>
  </si>
  <si>
    <t xml:space="preserve">SANIFARM </t>
  </si>
  <si>
    <t xml:space="preserve">SIRACO FARM </t>
  </si>
  <si>
    <t xml:space="preserve">VILLAGE POSTPHARMCY </t>
  </si>
  <si>
    <t xml:space="preserve">VITAFARM </t>
  </si>
  <si>
    <t xml:space="preserve">VIVIAN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</si>
  <si>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</si>
  <si>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</si>
  <si>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</si>
  <si>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</si>
  <si>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</si>
  <si>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TERAPIA SRL BARLAD</t>
  </si>
  <si>
    <t>TONIC LIFE FARMA</t>
  </si>
  <si>
    <t xml:space="preserve">VITALPHARM </t>
  </si>
  <si>
    <t>VOIN</t>
  </si>
  <si>
    <t>TOTAL :</t>
  </si>
  <si>
    <t>CASA JUDETEANA DE ASIGURARI VASLUI</t>
  </si>
  <si>
    <t xml:space="preserve">Plati medicamente compensate si gratuite </t>
  </si>
  <si>
    <t>HELIANTHI</t>
  </si>
  <si>
    <t>PARACELSUS</t>
  </si>
  <si>
    <t>PROFARM COMP</t>
  </si>
  <si>
    <t>MYRRHA FARM SRL</t>
  </si>
  <si>
    <t>ADRYMAR</t>
  </si>
  <si>
    <t>Total general</t>
  </si>
  <si>
    <t>HELIANTHY</t>
  </si>
  <si>
    <t xml:space="preserve">MYRRHA FARM SRL </t>
  </si>
  <si>
    <t xml:space="preserve">PARACELSUS </t>
  </si>
  <si>
    <t xml:space="preserve">ADRYMAR </t>
  </si>
  <si>
    <t xml:space="preserve">          efectuate pe luna ianuarie 2015</t>
  </si>
  <si>
    <t xml:space="preserve">         EFECTUATE LUNAR PE ANUL 2015</t>
  </si>
  <si>
    <t>Plati med c+g ianuarie 2015</t>
  </si>
  <si>
    <t>Plati med c+g februarie 2015</t>
  </si>
  <si>
    <t>Plati med c+g martie 2015</t>
  </si>
  <si>
    <t>Plati med c+g aprilie 2015</t>
  </si>
  <si>
    <t>Plati med c+g mai 2015</t>
  </si>
  <si>
    <t>Plati med c+g iunie 2015</t>
  </si>
  <si>
    <t>Plati med c+g iulie 2015</t>
  </si>
  <si>
    <t>Plati med c+g august 2015</t>
  </si>
  <si>
    <t>Plati med c+g septembrie 2015</t>
  </si>
  <si>
    <t>Plati med c+g octombrie 2015</t>
  </si>
  <si>
    <t>Plati med c+g noiembrie 2015</t>
  </si>
  <si>
    <t>Plati med c+g decembrie 2015</t>
  </si>
  <si>
    <t xml:space="preserve">MEDFARM SRL </t>
  </si>
  <si>
    <t>CATENA HYGEIA SRL</t>
  </si>
  <si>
    <t>ONIAGROFARM SRL</t>
  </si>
  <si>
    <t xml:space="preserve">          efectuate pe luna februarie 2015</t>
  </si>
  <si>
    <t>VITAFARM srl</t>
  </si>
  <si>
    <t>VIVIAN SRL</t>
  </si>
  <si>
    <t>VITALPHARM SRL</t>
  </si>
  <si>
    <t xml:space="preserve">          efectuate pe luna martie 2015</t>
  </si>
  <si>
    <t>returnat 31,03,15, 128.453,26 lei (suma achitata in 26,03,15)</t>
  </si>
  <si>
    <t>BALSAM SRL NEGRESTI</t>
  </si>
  <si>
    <t>BIOSFARM SRL BARLAD</t>
  </si>
  <si>
    <t>CATENA HYGEIA</t>
  </si>
  <si>
    <t>CHIMFARM SRL VASLUI</t>
  </si>
  <si>
    <t>CONDUR SRL BARLAD</t>
  </si>
  <si>
    <t>ELIXIR SRL BARLAD</t>
  </si>
  <si>
    <t>FARMAB SRL VASLUI</t>
  </si>
  <si>
    <t>FARMACO GAMA SRL</t>
  </si>
  <si>
    <t>FARMNOVA SRL HUSI</t>
  </si>
  <si>
    <t>GEDEON RICHTER FARMACIA S.A.</t>
  </si>
  <si>
    <t>GREEN VISION CONSULTING SRL</t>
  </si>
  <si>
    <t>HELIANTHI SRL</t>
  </si>
  <si>
    <t>HYPOCRATE SRL BARLAD</t>
  </si>
  <si>
    <t>LAVIRA TRANSPORT SRL</t>
  </si>
  <si>
    <t>MEDIMFARM S.A.</t>
  </si>
  <si>
    <t>MOLDOFARM INVEST SRL BARLAD</t>
  </si>
  <si>
    <t>ONIAGROFARM</t>
  </si>
  <si>
    <t>PLANTAGO TEHNOFARM SRL VASLUI</t>
  </si>
  <si>
    <t>RA SRL VASLUI</t>
  </si>
  <si>
    <t>ROMOLD SRL</t>
  </si>
  <si>
    <t>ROPHARMA S.A.</t>
  </si>
  <si>
    <t>S.C. MYRRHA FARM SRL BARLAD</t>
  </si>
  <si>
    <t>S.C.ARTEMISIA farm SRL</t>
  </si>
  <si>
    <t>S.C.SANTAVIC FARM SRL</t>
  </si>
  <si>
    <t>S.I.E.P.C.O.F.A.R. S.A.</t>
  </si>
  <si>
    <t>SANTAC S.R.L VASLUI</t>
  </si>
  <si>
    <t>SC ALPHA MED SRL</t>
  </si>
  <si>
    <t>SC AVALUX-STAR SRL</t>
  </si>
  <si>
    <t>SC CAMPANULA FARM SRL</t>
  </si>
  <si>
    <t>SC CRATEGUS PHARMA SRL</t>
  </si>
  <si>
    <t>SC DALYA SRL</t>
  </si>
  <si>
    <t>SC DAVILLA SRL</t>
  </si>
  <si>
    <t>SC ELEFARM SRL BARLAD</t>
  </si>
  <si>
    <t>SC FARMONI IMPEX SRL</t>
  </si>
  <si>
    <t>SC GRUP IRI FARM SRL</t>
  </si>
  <si>
    <t>SC HERFARM SRL</t>
  </si>
  <si>
    <t>SC LEVENTICA SRL</t>
  </si>
  <si>
    <t>SC MEDFARM SRL BARLAD</t>
  </si>
  <si>
    <t>SC MENTOGELY SRL</t>
  </si>
  <si>
    <t>SC NIKI PHARM SRL</t>
  </si>
  <si>
    <t>SC PRIMULA SRL</t>
  </si>
  <si>
    <t>SC PROFILACT FARM SRL</t>
  </si>
  <si>
    <t>SC PUNCTFARM SRL</t>
  </si>
  <si>
    <t>SC RUBI FARM SRL</t>
  </si>
  <si>
    <t>SC SANIFARM SRL</t>
  </si>
  <si>
    <t>SC SIRACO FARM SRL</t>
  </si>
  <si>
    <t>SC VITAFARM SRL</t>
  </si>
  <si>
    <t>SC VIVIAN SRL MICLESTI VS</t>
  </si>
  <si>
    <t>SENSIBLU</t>
  </si>
  <si>
    <t>SIBPHARMAMED S.R.L.</t>
  </si>
  <si>
    <t>TELKAPHARM SRL</t>
  </si>
  <si>
    <t xml:space="preserve">          efectuate pe luna aprilie 2015</t>
  </si>
  <si>
    <t>DAMIDAR</t>
  </si>
  <si>
    <t>PANROSE</t>
  </si>
  <si>
    <t>SC ADRYMAR</t>
  </si>
  <si>
    <t>SANIFARM</t>
  </si>
  <si>
    <t>SC ARTEMISIA</t>
  </si>
  <si>
    <t>SC VILLAGE POSTPHARMCY SRL</t>
  </si>
  <si>
    <t>din care 128.453,26 lei, OP reintors in 31,03,2015</t>
  </si>
  <si>
    <t>TEHNOFARM BAVARIA-IMPEX S.R.L.</t>
  </si>
  <si>
    <t xml:space="preserve">OP SIEPCOFAR </t>
  </si>
  <si>
    <t xml:space="preserve">          efectuate pe luna mai 2015</t>
  </si>
  <si>
    <t>DAMIDAR SRL</t>
  </si>
  <si>
    <t>SC PANROSE FARM SRL</t>
  </si>
  <si>
    <t>SC VILLAGE POSTFARMCY SRL</t>
  </si>
  <si>
    <t>TEHNOFARM BAVARIA-IMPEX S.R.L.-farmacia LIPOVAt</t>
  </si>
  <si>
    <t xml:space="preserve">          efectuate pe luna iunie 2015</t>
  </si>
  <si>
    <t>CARMYSYM SRL</t>
  </si>
  <si>
    <t>GEDEON RICHTER FARMACIA SA</t>
  </si>
  <si>
    <t xml:space="preserve">          efectuate pe luna iulie 2015</t>
  </si>
  <si>
    <t>SC VILLAGE POSTPHARMCY SRL (COMGAZ)</t>
  </si>
  <si>
    <t>SC DAMIDAR S.R.L.</t>
  </si>
  <si>
    <t>IRAFAM</t>
  </si>
  <si>
    <t>PAVIRAD SRL</t>
  </si>
  <si>
    <t>S.C. MIDOR FARM SRL</t>
  </si>
  <si>
    <t>SC FARMCAMIRA SRL</t>
  </si>
  <si>
    <t xml:space="preserve">          efectuate pe luna august 2015</t>
  </si>
  <si>
    <t>CARMYSIM</t>
  </si>
  <si>
    <t>SC VILLAGE POSTFARMACY</t>
  </si>
  <si>
    <t>Sensiblu</t>
  </si>
  <si>
    <t>S.I.E.P.C.O.F.A.R</t>
  </si>
  <si>
    <t>SC DAMIDAR</t>
  </si>
  <si>
    <t>VILLAGE POSTPHARMCY</t>
  </si>
  <si>
    <t xml:space="preserve">          efectuate pe luna SEPTEMBRIE 2015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</si>
</sst>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\-#,##0.0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right" vertical="center" wrapText="1"/>
    </xf>
    <xf numFmtId="164" fontId="0" fillId="24" borderId="10" xfId="0" applyNumberForma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tă" xfId="64"/>
    <cellStyle name="Note" xfId="65"/>
    <cellStyle name="Output" xfId="66"/>
    <cellStyle name="Percent" xfId="67"/>
    <cellStyle name="Text avertisment" xfId="68"/>
    <cellStyle name="Text explicativ" xfId="69"/>
    <cellStyle name="Title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C82" sqref="C82"/>
    </sheetView>
  </sheetViews>
  <sheetFormatPr defaultColWidth="9.140625" defaultRowHeight="12.75"/>
  <cols>
    <col min="1" max="1" width="7.00390625" style="0" customWidth="1"/>
    <col min="2" max="2" width="36.28125" style="0" customWidth="1"/>
    <col min="3" max="3" width="19.00390625" style="0" customWidth="1"/>
    <col min="5" max="5" width="25.140625" style="0" customWidth="1"/>
    <col min="6" max="6" width="14.00390625" style="0" customWidth="1"/>
  </cols>
  <sheetData>
    <row r="1" spans="1:2" ht="12.75">
      <c r="A1" s="20" t="s">
        <v>69</v>
      </c>
      <c r="B1" s="1"/>
    </row>
    <row r="2" ht="12.75">
      <c r="A2" s="21"/>
    </row>
    <row r="3" ht="12.75">
      <c r="A3" s="21"/>
    </row>
    <row r="4" spans="1:2" ht="12.75">
      <c r="A4" s="21"/>
      <c r="B4" s="1" t="s">
        <v>70</v>
      </c>
    </row>
    <row r="5" spans="1:2" ht="12.75">
      <c r="A5" s="21"/>
      <c r="B5" s="1" t="s">
        <v>187</v>
      </c>
    </row>
    <row r="8" spans="1:3" ht="12.75">
      <c r="A8" s="22" t="s">
        <v>2</v>
      </c>
      <c r="B8" s="3" t="s">
        <v>3</v>
      </c>
      <c r="C8" s="23" t="s">
        <v>76</v>
      </c>
    </row>
    <row r="9" spans="1:8" ht="12.75">
      <c r="A9" s="4">
        <v>1</v>
      </c>
      <c r="B9" s="4" t="s">
        <v>104</v>
      </c>
      <c r="C9" s="5">
        <v>84927.7</v>
      </c>
      <c r="F9" s="11"/>
      <c r="H9" s="11"/>
    </row>
    <row r="10" spans="1:8" ht="12.75">
      <c r="A10" s="4">
        <v>2</v>
      </c>
      <c r="B10" s="4" t="s">
        <v>105</v>
      </c>
      <c r="C10" s="5">
        <v>579139.23</v>
      </c>
      <c r="F10" s="11"/>
      <c r="H10" s="11"/>
    </row>
    <row r="11" spans="1:8" ht="12.75">
      <c r="A11" s="4">
        <v>3</v>
      </c>
      <c r="B11" s="4" t="s">
        <v>7</v>
      </c>
      <c r="C11" s="5">
        <v>5744.4</v>
      </c>
      <c r="F11" s="11"/>
      <c r="H11" s="11"/>
    </row>
    <row r="12" spans="1:8" ht="12.75">
      <c r="A12" s="4">
        <v>4</v>
      </c>
      <c r="B12" s="4" t="s">
        <v>106</v>
      </c>
      <c r="C12" s="5">
        <v>226690.98</v>
      </c>
      <c r="F12" s="11"/>
      <c r="H12" s="11"/>
    </row>
    <row r="13" spans="1:8" ht="12.75">
      <c r="A13" s="4">
        <v>5</v>
      </c>
      <c r="B13" s="4" t="s">
        <v>107</v>
      </c>
      <c r="C13" s="5">
        <v>62041.91</v>
      </c>
      <c r="F13" s="11"/>
      <c r="H13" s="11"/>
    </row>
    <row r="14" spans="1:8" ht="12.75">
      <c r="A14" s="4">
        <v>6</v>
      </c>
      <c r="B14" s="4" t="s">
        <v>108</v>
      </c>
      <c r="C14" s="5">
        <v>39227.74</v>
      </c>
      <c r="F14" s="11"/>
      <c r="H14" s="11"/>
    </row>
    <row r="15" spans="1:8" ht="12.75">
      <c r="A15" s="4">
        <v>7</v>
      </c>
      <c r="B15" s="4" t="s">
        <v>10</v>
      </c>
      <c r="C15" s="5">
        <v>13758.37</v>
      </c>
      <c r="F15" s="11"/>
      <c r="H15" s="11"/>
    </row>
    <row r="16" spans="1:8" ht="12.75">
      <c r="A16" s="4">
        <v>8</v>
      </c>
      <c r="B16" s="4" t="s">
        <v>11</v>
      </c>
      <c r="C16" s="5">
        <v>140613.08</v>
      </c>
      <c r="F16" s="11"/>
      <c r="H16" s="11"/>
    </row>
    <row r="17" spans="1:8" ht="12.75">
      <c r="A17" s="4">
        <v>9</v>
      </c>
      <c r="B17" s="4" t="s">
        <v>109</v>
      </c>
      <c r="C17" s="5">
        <v>281148.79</v>
      </c>
      <c r="F17" s="11"/>
      <c r="H17" s="11"/>
    </row>
    <row r="18" spans="1:8" ht="12.75">
      <c r="A18" s="4">
        <v>10</v>
      </c>
      <c r="B18" s="4" t="s">
        <v>110</v>
      </c>
      <c r="C18" s="5">
        <v>128679.18</v>
      </c>
      <c r="F18" s="11"/>
      <c r="H18" s="11"/>
    </row>
    <row r="19" spans="1:8" ht="12.75">
      <c r="A19" s="4">
        <v>11</v>
      </c>
      <c r="B19" s="4" t="s">
        <v>111</v>
      </c>
      <c r="C19" s="5">
        <v>14677.31</v>
      </c>
      <c r="F19" s="11"/>
      <c r="H19" s="11"/>
    </row>
    <row r="20" spans="1:8" ht="12.75">
      <c r="A20" s="4">
        <v>12</v>
      </c>
      <c r="B20" s="4" t="s">
        <v>112</v>
      </c>
      <c r="C20" s="5">
        <v>644702.73</v>
      </c>
      <c r="F20" s="11"/>
      <c r="H20" s="11"/>
    </row>
    <row r="21" spans="1:8" ht="12.75">
      <c r="A21" s="4">
        <v>13</v>
      </c>
      <c r="B21" s="4" t="s">
        <v>114</v>
      </c>
      <c r="C21" s="5">
        <v>11517.27</v>
      </c>
      <c r="F21" s="11"/>
      <c r="H21" s="11"/>
    </row>
    <row r="22" spans="1:8" ht="12.75">
      <c r="A22" s="4">
        <v>14</v>
      </c>
      <c r="B22" s="4" t="s">
        <v>115</v>
      </c>
      <c r="C22" s="5">
        <v>29545.94</v>
      </c>
      <c r="F22" s="11"/>
      <c r="H22" s="11"/>
    </row>
    <row r="23" spans="1:8" ht="12.75">
      <c r="A23" s="4">
        <v>15</v>
      </c>
      <c r="B23" s="4" t="s">
        <v>116</v>
      </c>
      <c r="C23" s="5">
        <v>103829.52</v>
      </c>
      <c r="F23" s="11"/>
      <c r="H23" s="11"/>
    </row>
    <row r="24" spans="1:8" ht="12.75">
      <c r="A24" s="4">
        <v>16</v>
      </c>
      <c r="B24" s="4" t="s">
        <v>19</v>
      </c>
      <c r="C24" s="5">
        <v>152073.8</v>
      </c>
      <c r="F24" s="11"/>
      <c r="H24" s="11"/>
    </row>
    <row r="25" spans="1:8" ht="12.75">
      <c r="A25" s="4">
        <v>17</v>
      </c>
      <c r="B25" s="4" t="s">
        <v>176</v>
      </c>
      <c r="C25" s="5">
        <v>12717.62</v>
      </c>
      <c r="F25" s="11"/>
      <c r="H25" s="11"/>
    </row>
    <row r="26" spans="1:8" ht="12.75">
      <c r="A26" s="4">
        <v>18</v>
      </c>
      <c r="B26" s="4" t="s">
        <v>117</v>
      </c>
      <c r="C26" s="5">
        <v>1360664.14</v>
      </c>
      <c r="F26" s="11"/>
      <c r="H26" s="11"/>
    </row>
    <row r="27" spans="1:8" ht="12.75">
      <c r="A27" s="4">
        <v>19</v>
      </c>
      <c r="B27" s="4" t="s">
        <v>118</v>
      </c>
      <c r="C27" s="5">
        <v>210042.73</v>
      </c>
      <c r="F27" s="11"/>
      <c r="H27" s="11"/>
    </row>
    <row r="28" spans="1:8" ht="12.75">
      <c r="A28" s="4">
        <v>20</v>
      </c>
      <c r="B28" s="4" t="s">
        <v>119</v>
      </c>
      <c r="C28" s="5">
        <v>101859.05</v>
      </c>
      <c r="F28" s="11"/>
      <c r="H28" s="11"/>
    </row>
    <row r="29" spans="1:8" ht="12.75">
      <c r="A29" s="4">
        <v>21</v>
      </c>
      <c r="B29" s="4" t="s">
        <v>120</v>
      </c>
      <c r="C29" s="5">
        <v>13133</v>
      </c>
      <c r="F29" s="11"/>
      <c r="H29" s="11"/>
    </row>
    <row r="30" spans="1:8" ht="12.75">
      <c r="A30" s="4">
        <v>22</v>
      </c>
      <c r="B30" s="4" t="s">
        <v>72</v>
      </c>
      <c r="C30" s="5">
        <v>11522.99</v>
      </c>
      <c r="F30" s="11"/>
      <c r="H30" s="11"/>
    </row>
    <row r="31" spans="1:8" ht="12.75">
      <c r="A31" s="4">
        <v>23</v>
      </c>
      <c r="B31" s="4" t="s">
        <v>177</v>
      </c>
      <c r="C31" s="5">
        <v>10170.49</v>
      </c>
      <c r="F31" s="11"/>
      <c r="H31" s="11"/>
    </row>
    <row r="32" spans="1:8" ht="12.75">
      <c r="A32" s="4">
        <v>24</v>
      </c>
      <c r="B32" s="4" t="s">
        <v>121</v>
      </c>
      <c r="C32" s="5">
        <v>107294.71</v>
      </c>
      <c r="F32" s="11"/>
      <c r="H32" s="11"/>
    </row>
    <row r="33" spans="1:8" ht="12.75">
      <c r="A33" s="4">
        <v>25</v>
      </c>
      <c r="B33" s="4" t="s">
        <v>73</v>
      </c>
      <c r="C33" s="5">
        <v>67721.96</v>
      </c>
      <c r="F33" s="11"/>
      <c r="H33" s="11"/>
    </row>
    <row r="34" spans="1:8" ht="12.75">
      <c r="A34" s="4">
        <v>26</v>
      </c>
      <c r="B34" s="4" t="s">
        <v>122</v>
      </c>
      <c r="C34" s="5">
        <v>234603.22</v>
      </c>
      <c r="F34" s="11"/>
      <c r="H34" s="11"/>
    </row>
    <row r="35" spans="1:8" ht="12.75">
      <c r="A35" s="4">
        <v>27</v>
      </c>
      <c r="B35" s="4" t="s">
        <v>124</v>
      </c>
      <c r="C35" s="5">
        <v>2492954.59</v>
      </c>
      <c r="F35" s="11"/>
      <c r="H35" s="11"/>
    </row>
    <row r="36" spans="1:8" ht="12.75">
      <c r="A36" s="4">
        <v>28</v>
      </c>
      <c r="B36" s="4" t="s">
        <v>28</v>
      </c>
      <c r="C36" s="5">
        <v>206267.94</v>
      </c>
      <c r="F36" s="11"/>
      <c r="H36" s="11"/>
    </row>
    <row r="37" spans="1:8" ht="12.75">
      <c r="A37" s="4">
        <v>29</v>
      </c>
      <c r="B37" s="4" t="s">
        <v>178</v>
      </c>
      <c r="C37" s="5">
        <v>3490.51</v>
      </c>
      <c r="F37" s="11"/>
      <c r="H37" s="11"/>
    </row>
    <row r="38" spans="1:8" ht="12.75">
      <c r="A38" s="4">
        <v>30</v>
      </c>
      <c r="B38" s="4" t="s">
        <v>125</v>
      </c>
      <c r="C38" s="5">
        <v>39707.31</v>
      </c>
      <c r="F38" s="11"/>
      <c r="H38" s="11"/>
    </row>
    <row r="39" spans="1:8" ht="12.75">
      <c r="A39" s="4">
        <v>31</v>
      </c>
      <c r="B39" s="4" t="s">
        <v>126</v>
      </c>
      <c r="C39" s="5">
        <v>21770.44</v>
      </c>
      <c r="F39" s="11"/>
      <c r="H39" s="11"/>
    </row>
    <row r="40" spans="1:8" ht="12.75">
      <c r="A40" s="4">
        <v>32</v>
      </c>
      <c r="B40" s="4" t="s">
        <v>127</v>
      </c>
      <c r="C40" s="5">
        <v>150911.23</v>
      </c>
      <c r="F40" s="11"/>
      <c r="H40" s="11"/>
    </row>
    <row r="41" spans="1:8" ht="12.75">
      <c r="A41" s="4">
        <v>33</v>
      </c>
      <c r="B41" s="4" t="s">
        <v>184</v>
      </c>
      <c r="C41" s="5">
        <v>440355.21</v>
      </c>
      <c r="F41" s="11"/>
      <c r="H41" s="11"/>
    </row>
    <row r="42" spans="1:8" ht="12.75">
      <c r="A42" s="4">
        <v>34</v>
      </c>
      <c r="B42" s="4" t="s">
        <v>129</v>
      </c>
      <c r="C42" s="5">
        <v>42398.56</v>
      </c>
      <c r="F42" s="11"/>
      <c r="H42" s="11"/>
    </row>
    <row r="43" spans="1:8" ht="12.75">
      <c r="A43" s="4">
        <v>35</v>
      </c>
      <c r="B43" s="4" t="s">
        <v>33</v>
      </c>
      <c r="C43" s="5">
        <v>53037.85</v>
      </c>
      <c r="F43" s="11"/>
      <c r="H43" s="11"/>
    </row>
    <row r="44" spans="1:8" ht="12.75">
      <c r="A44" s="4">
        <v>36</v>
      </c>
      <c r="B44" s="4" t="s">
        <v>158</v>
      </c>
      <c r="C44" s="5">
        <v>26765.79</v>
      </c>
      <c r="F44" s="11"/>
      <c r="H44" s="11"/>
    </row>
    <row r="45" spans="1:8" ht="12.75">
      <c r="A45" s="4">
        <v>37</v>
      </c>
      <c r="B45" s="4" t="s">
        <v>130</v>
      </c>
      <c r="C45" s="5">
        <v>25362.88</v>
      </c>
      <c r="F45" s="11"/>
      <c r="H45" s="11"/>
    </row>
    <row r="46" spans="1:8" ht="12.75">
      <c r="A46" s="4">
        <v>38</v>
      </c>
      <c r="B46" s="4" t="s">
        <v>131</v>
      </c>
      <c r="C46" s="5">
        <v>246981.31</v>
      </c>
      <c r="F46" s="11"/>
      <c r="H46" s="11"/>
    </row>
    <row r="47" spans="1:8" ht="12.75">
      <c r="A47" s="4">
        <v>39</v>
      </c>
      <c r="B47" s="4" t="s">
        <v>132</v>
      </c>
      <c r="C47" s="5">
        <v>13915.07</v>
      </c>
      <c r="F47" s="11"/>
      <c r="H47" s="11"/>
    </row>
    <row r="48" spans="1:8" ht="12.75">
      <c r="A48" s="4">
        <v>40</v>
      </c>
      <c r="B48" s="4" t="s">
        <v>133</v>
      </c>
      <c r="C48" s="5">
        <v>124966.31</v>
      </c>
      <c r="F48" s="11"/>
      <c r="H48" s="11"/>
    </row>
    <row r="49" spans="1:8" ht="12.75">
      <c r="A49" s="4">
        <v>41</v>
      </c>
      <c r="B49" s="4" t="s">
        <v>134</v>
      </c>
      <c r="C49" s="5">
        <v>44158.49</v>
      </c>
      <c r="F49" s="11"/>
      <c r="H49" s="11"/>
    </row>
    <row r="50" spans="1:8" ht="12.75">
      <c r="A50" s="4">
        <v>42</v>
      </c>
      <c r="B50" s="4" t="s">
        <v>185</v>
      </c>
      <c r="C50" s="5">
        <v>2788.86</v>
      </c>
      <c r="F50" s="11"/>
      <c r="H50" s="11"/>
    </row>
    <row r="51" spans="1:8" ht="12.75">
      <c r="A51" s="4">
        <v>43</v>
      </c>
      <c r="B51" s="4" t="s">
        <v>135</v>
      </c>
      <c r="C51" s="5">
        <v>59617.41</v>
      </c>
      <c r="F51" s="11"/>
      <c r="H51" s="11"/>
    </row>
    <row r="52" spans="1:8" ht="12.75">
      <c r="A52" s="4">
        <v>44</v>
      </c>
      <c r="B52" s="4" t="s">
        <v>136</v>
      </c>
      <c r="C52" s="5">
        <v>114645.46</v>
      </c>
      <c r="F52" s="11"/>
      <c r="H52" s="11"/>
    </row>
    <row r="53" spans="1:8" ht="12.75">
      <c r="A53" s="4">
        <v>45</v>
      </c>
      <c r="B53" s="4" t="s">
        <v>179</v>
      </c>
      <c r="C53" s="5">
        <v>23707.01</v>
      </c>
      <c r="F53" s="11"/>
      <c r="H53" s="11"/>
    </row>
    <row r="54" spans="1:8" ht="12.75">
      <c r="A54" s="4">
        <v>46</v>
      </c>
      <c r="B54" s="4" t="s">
        <v>137</v>
      </c>
      <c r="C54" s="5">
        <v>13707.32</v>
      </c>
      <c r="F54" s="11"/>
      <c r="H54" s="11"/>
    </row>
    <row r="55" spans="1:8" ht="12.75">
      <c r="A55" s="4">
        <v>47</v>
      </c>
      <c r="B55" s="4" t="s">
        <v>138</v>
      </c>
      <c r="C55" s="5">
        <v>32425.81</v>
      </c>
      <c r="F55" s="11"/>
      <c r="H55" s="11"/>
    </row>
    <row r="56" spans="1:8" ht="12.75">
      <c r="A56" s="4">
        <v>48</v>
      </c>
      <c r="B56" s="4" t="s">
        <v>139</v>
      </c>
      <c r="C56" s="5">
        <v>35925.7</v>
      </c>
      <c r="F56" s="11"/>
      <c r="H56" s="11"/>
    </row>
    <row r="57" spans="1:8" ht="12.75">
      <c r="A57" s="4">
        <v>49</v>
      </c>
      <c r="B57" s="4" t="s">
        <v>140</v>
      </c>
      <c r="C57" s="5">
        <v>45203.55</v>
      </c>
      <c r="F57" s="11"/>
      <c r="H57" s="11"/>
    </row>
    <row r="58" spans="1:8" ht="12.75">
      <c r="A58" s="4">
        <v>50</v>
      </c>
      <c r="B58" s="4" t="s">
        <v>141</v>
      </c>
      <c r="C58" s="5">
        <v>133943.16</v>
      </c>
      <c r="F58" s="11"/>
      <c r="H58" s="11"/>
    </row>
    <row r="59" spans="1:8" ht="12.75">
      <c r="A59" s="4">
        <v>51</v>
      </c>
      <c r="B59" s="4" t="s">
        <v>142</v>
      </c>
      <c r="C59" s="5">
        <v>35701.48</v>
      </c>
      <c r="F59" s="11"/>
      <c r="H59" s="11"/>
    </row>
    <row r="60" spans="1:8" ht="12.75">
      <c r="A60" s="4">
        <v>52</v>
      </c>
      <c r="B60" s="4" t="s">
        <v>143</v>
      </c>
      <c r="C60" s="5">
        <v>57124.1</v>
      </c>
      <c r="F60" s="11"/>
      <c r="H60" s="11"/>
    </row>
    <row r="61" spans="1:8" ht="12.75">
      <c r="A61" s="4">
        <v>53</v>
      </c>
      <c r="B61" s="4" t="s">
        <v>144</v>
      </c>
      <c r="C61" s="5">
        <v>8672.28</v>
      </c>
      <c r="F61" s="11"/>
      <c r="H61" s="11"/>
    </row>
    <row r="62" spans="1:8" ht="12.75">
      <c r="A62" s="4">
        <v>54</v>
      </c>
      <c r="B62" s="4" t="s">
        <v>145</v>
      </c>
      <c r="C62" s="5">
        <v>54449.68</v>
      </c>
      <c r="F62" s="11"/>
      <c r="H62" s="11"/>
    </row>
    <row r="63" spans="1:8" ht="12.75">
      <c r="A63" s="4">
        <v>55</v>
      </c>
      <c r="B63" s="4" t="s">
        <v>146</v>
      </c>
      <c r="C63" s="5">
        <v>156835.92</v>
      </c>
      <c r="F63" s="11"/>
      <c r="H63" s="11"/>
    </row>
    <row r="64" spans="1:8" ht="12.75">
      <c r="A64" s="4">
        <v>56</v>
      </c>
      <c r="B64" s="4" t="s">
        <v>147</v>
      </c>
      <c r="C64" s="5">
        <v>14913.8</v>
      </c>
      <c r="F64" s="11"/>
      <c r="H64" s="11"/>
    </row>
    <row r="65" spans="1:8" ht="12.75">
      <c r="A65" s="4">
        <v>57</v>
      </c>
      <c r="B65" s="4" t="s">
        <v>148</v>
      </c>
      <c r="C65" s="5">
        <v>56455.26</v>
      </c>
      <c r="F65" s="11"/>
      <c r="H65" s="11"/>
    </row>
    <row r="66" spans="1:8" ht="12.75">
      <c r="A66" s="4">
        <v>58</v>
      </c>
      <c r="B66" s="4" t="s">
        <v>149</v>
      </c>
      <c r="C66" s="5">
        <v>13375.29</v>
      </c>
      <c r="F66" s="11"/>
      <c r="H66" s="11"/>
    </row>
    <row r="67" spans="1:8" ht="12.75">
      <c r="A67" s="4">
        <v>59</v>
      </c>
      <c r="B67" s="4" t="s">
        <v>150</v>
      </c>
      <c r="C67" s="5">
        <v>58640.79</v>
      </c>
      <c r="F67" s="11"/>
      <c r="H67" s="11"/>
    </row>
    <row r="68" spans="1:8" ht="12.75">
      <c r="A68" s="4">
        <v>60</v>
      </c>
      <c r="B68" s="4" t="s">
        <v>151</v>
      </c>
      <c r="C68" s="5">
        <v>22673.06</v>
      </c>
      <c r="F68" s="11"/>
      <c r="H68" s="11"/>
    </row>
    <row r="69" spans="1:8" ht="12.75">
      <c r="A69" s="4">
        <v>61</v>
      </c>
      <c r="B69" s="4" t="s">
        <v>183</v>
      </c>
      <c r="C69" s="5">
        <v>563919.89</v>
      </c>
      <c r="F69" s="11"/>
      <c r="H69" s="11"/>
    </row>
    <row r="70" spans="1:8" ht="12.75">
      <c r="A70" s="4">
        <v>62</v>
      </c>
      <c r="B70" s="4" t="s">
        <v>153</v>
      </c>
      <c r="C70" s="5">
        <v>64607.82</v>
      </c>
      <c r="F70" s="11"/>
      <c r="H70" s="11"/>
    </row>
    <row r="71" spans="1:8" ht="12.75">
      <c r="A71" s="4">
        <v>63</v>
      </c>
      <c r="B71" s="4" t="s">
        <v>61</v>
      </c>
      <c r="C71" s="5">
        <v>5143.29</v>
      </c>
      <c r="F71" s="11"/>
      <c r="H71" s="11"/>
    </row>
    <row r="72" spans="1:8" ht="12.75">
      <c r="A72" s="4">
        <v>64</v>
      </c>
      <c r="B72" s="4" t="s">
        <v>169</v>
      </c>
      <c r="C72" s="5">
        <v>11971.23</v>
      </c>
      <c r="F72" s="11"/>
      <c r="H72" s="11"/>
    </row>
    <row r="73" spans="1:8" ht="12.75">
      <c r="A73" s="4">
        <v>65</v>
      </c>
      <c r="B73" s="4" t="s">
        <v>154</v>
      </c>
      <c r="C73" s="5">
        <v>34648.56</v>
      </c>
      <c r="F73" s="11"/>
      <c r="H73" s="11"/>
    </row>
    <row r="74" spans="1:8" ht="12.75">
      <c r="A74" s="4">
        <v>66</v>
      </c>
      <c r="B74" s="4" t="s">
        <v>64</v>
      </c>
      <c r="C74" s="5">
        <v>126814.7</v>
      </c>
      <c r="F74" s="11"/>
      <c r="H74" s="11"/>
    </row>
    <row r="75" spans="1:8" ht="12.75">
      <c r="A75" s="4">
        <v>67</v>
      </c>
      <c r="B75" s="4" t="s">
        <v>65</v>
      </c>
      <c r="C75" s="5">
        <v>47327.24</v>
      </c>
      <c r="F75" s="11"/>
      <c r="H75" s="11"/>
    </row>
    <row r="76" spans="1:8" ht="12.75">
      <c r="A76" s="4">
        <v>68</v>
      </c>
      <c r="B76" s="4" t="s">
        <v>186</v>
      </c>
      <c r="C76" s="5">
        <v>20212.45</v>
      </c>
      <c r="F76" s="11"/>
      <c r="H76" s="11"/>
    </row>
    <row r="77" spans="1:8" ht="12.75">
      <c r="A77" s="4">
        <v>69</v>
      </c>
      <c r="B77" s="4" t="s">
        <v>101</v>
      </c>
      <c r="C77" s="5">
        <v>134772.78</v>
      </c>
      <c r="F77" s="11"/>
      <c r="H77" s="11"/>
    </row>
    <row r="78" spans="1:8" ht="12.75">
      <c r="A78" s="4">
        <v>70</v>
      </c>
      <c r="B78" s="4" t="s">
        <v>67</v>
      </c>
      <c r="C78" s="5">
        <v>351968.15</v>
      </c>
      <c r="F78" s="11"/>
      <c r="H78" s="11"/>
    </row>
    <row r="79" spans="1:6" ht="12.75">
      <c r="A79" s="4"/>
      <c r="B79" s="4"/>
      <c r="C79" s="35">
        <f>SUM(C9:C78)</f>
        <v>10883283.4</v>
      </c>
      <c r="F79" s="37"/>
    </row>
    <row r="82" ht="12.75">
      <c r="C82" s="11">
        <f>6052506.77+4633064.21+197712.42</f>
        <v>10883283.4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67">
      <selection activeCell="K83" sqref="K83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2.57421875" style="0" customWidth="1"/>
    <col min="4" max="5" width="11.57421875" style="0" customWidth="1"/>
    <col min="6" max="6" width="14.00390625" style="0" customWidth="1"/>
    <col min="7" max="7" width="13.7109375" style="0" customWidth="1"/>
    <col min="8" max="8" width="13.00390625" style="0" customWidth="1"/>
    <col min="9" max="14" width="13.140625" style="0" customWidth="1"/>
    <col min="15" max="15" width="13.57421875" style="0" customWidth="1"/>
    <col min="16" max="16" width="12.7109375" style="0" bestFit="1" customWidth="1"/>
  </cols>
  <sheetData>
    <row r="1" spans="1:4" ht="12.75">
      <c r="A1" s="1" t="s">
        <v>0</v>
      </c>
      <c r="B1" s="1"/>
      <c r="C1" s="1"/>
      <c r="D1" s="1"/>
    </row>
    <row r="4" spans="5:8" ht="12.75">
      <c r="E4" s="1" t="s">
        <v>1</v>
      </c>
      <c r="F4" s="1"/>
      <c r="G4" s="1"/>
      <c r="H4" s="1"/>
    </row>
    <row r="5" spans="5:8" ht="12.75">
      <c r="E5" s="1"/>
      <c r="F5" s="1" t="s">
        <v>82</v>
      </c>
      <c r="G5" s="1"/>
      <c r="H5" s="1"/>
    </row>
    <row r="8" spans="1:15" ht="51">
      <c r="A8" s="2" t="s">
        <v>2</v>
      </c>
      <c r="B8" s="3" t="s">
        <v>3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4</v>
      </c>
    </row>
    <row r="9" spans="1:15" ht="12.75">
      <c r="A9" s="2">
        <v>1</v>
      </c>
      <c r="B9" s="13" t="s">
        <v>75</v>
      </c>
      <c r="C9" s="5">
        <f>7683.85+837.59</f>
        <v>8521.44</v>
      </c>
      <c r="D9" s="5">
        <f>8255.79+5747.07</f>
        <v>14002.86</v>
      </c>
      <c r="E9" s="14">
        <f>+'MARTIE 2015'!C10</f>
        <v>15369.25</v>
      </c>
      <c r="F9" s="30">
        <f>+APRIL!C11+APRIL!C50</f>
        <v>17960.059999999998</v>
      </c>
      <c r="G9" s="14">
        <f>+mai!C46</f>
        <v>18604.53</v>
      </c>
      <c r="H9" s="14">
        <v>20629.31</v>
      </c>
      <c r="I9" s="14">
        <f>+iulie!C47</f>
        <v>25396.8</v>
      </c>
      <c r="J9" s="14">
        <f>+august!C45</f>
        <v>14870.26</v>
      </c>
      <c r="K9" s="14">
        <f>+sept!C44</f>
        <v>26765.79</v>
      </c>
      <c r="L9" s="14"/>
      <c r="M9" s="5"/>
      <c r="N9" s="5"/>
      <c r="O9" s="5">
        <f>SUM(C9:N9)</f>
        <v>162120.30000000002</v>
      </c>
    </row>
    <row r="10" spans="1:15" ht="12.75">
      <c r="A10" s="2">
        <v>2</v>
      </c>
      <c r="B10" s="4" t="s">
        <v>34</v>
      </c>
      <c r="C10" s="5">
        <f>929.97+2585.26+300.81</f>
        <v>3816.0400000000004</v>
      </c>
      <c r="D10" s="5">
        <v>2296.05</v>
      </c>
      <c r="E10" s="14">
        <f>+'MARTIE 2015'!C11</f>
        <v>9216.76</v>
      </c>
      <c r="F10" s="25">
        <f>+APRIL!C51</f>
        <v>8799.74</v>
      </c>
      <c r="G10" s="14">
        <f>+mai!C47</f>
        <v>21012.63</v>
      </c>
      <c r="H10" s="5">
        <v>21951.98</v>
      </c>
      <c r="I10" s="14">
        <f>+iulie!C48</f>
        <v>20756.36</v>
      </c>
      <c r="J10" s="14">
        <f>+august!C46</f>
        <v>13410.06</v>
      </c>
      <c r="K10" s="14">
        <f>+sept!C45</f>
        <v>25362.88</v>
      </c>
      <c r="L10" s="5"/>
      <c r="M10" s="5"/>
      <c r="N10" s="5"/>
      <c r="O10" s="5">
        <f aca="true" t="shared" si="0" ref="O10:O77">SUM(C10:N10)</f>
        <v>126622.5</v>
      </c>
    </row>
    <row r="11" spans="1:15" ht="12.75">
      <c r="A11" s="2">
        <v>3</v>
      </c>
      <c r="B11" s="4" t="s">
        <v>29</v>
      </c>
      <c r="C11" s="5">
        <f>1741.71+3941.79+9249.96+1234.01</f>
        <v>16167.47</v>
      </c>
      <c r="D11" s="5">
        <f>2506.16+10264.26+16518.39</f>
        <v>29288.809999999998</v>
      </c>
      <c r="E11" s="14">
        <f>+'MARTIE 2015'!C12</f>
        <v>23300.84</v>
      </c>
      <c r="F11" s="25">
        <f>+APRIL!C44+APRIL!C52</f>
        <v>24289.12</v>
      </c>
      <c r="G11" s="5">
        <f>+mai!C41</f>
        <v>31650.63</v>
      </c>
      <c r="H11" s="5">
        <v>27526.83</v>
      </c>
      <c r="I11" s="5">
        <f>+iulie!C42</f>
        <v>28480.49</v>
      </c>
      <c r="J11" s="5">
        <f>+august!C40</f>
        <v>30549.1</v>
      </c>
      <c r="K11" s="5">
        <f>+sept!C39</f>
        <v>21770.44</v>
      </c>
      <c r="L11" s="5"/>
      <c r="M11" s="5"/>
      <c r="N11" s="5"/>
      <c r="O11" s="5">
        <f t="shared" si="0"/>
        <v>233023.73</v>
      </c>
    </row>
    <row r="12" spans="1:15" ht="12.75">
      <c r="A12" s="2">
        <v>4</v>
      </c>
      <c r="B12" s="4" t="s">
        <v>35</v>
      </c>
      <c r="C12" s="5">
        <f>117673.3+25860.9+9590.96+24169.99+13907.89</f>
        <v>191203.03999999998</v>
      </c>
      <c r="D12" s="5">
        <f>59808.77+51256.14+24485+30000+71127</f>
        <v>236676.91</v>
      </c>
      <c r="E12" s="14">
        <f>+'MARTIE 2015'!C13</f>
        <v>243966.45</v>
      </c>
      <c r="F12" s="25">
        <f>+APRIL!C53</f>
        <v>227646.19</v>
      </c>
      <c r="G12" s="5">
        <f>+mai!C48</f>
        <v>248010.93</v>
      </c>
      <c r="H12" s="5">
        <v>235946</v>
      </c>
      <c r="I12" s="5">
        <f>+iulie!C49</f>
        <v>237770.4</v>
      </c>
      <c r="J12" s="5">
        <f>+august!C47</f>
        <v>215200.03</v>
      </c>
      <c r="K12" s="5">
        <f>+sept!C46</f>
        <v>246981.31</v>
      </c>
      <c r="L12" s="5"/>
      <c r="M12" s="5"/>
      <c r="N12" s="5"/>
      <c r="O12" s="5">
        <f t="shared" si="0"/>
        <v>2083401.2599999998</v>
      </c>
    </row>
    <row r="13" spans="1:15" ht="12.75">
      <c r="A13" s="2">
        <v>5</v>
      </c>
      <c r="B13" s="4" t="s">
        <v>5</v>
      </c>
      <c r="C13" s="5">
        <f>24938.79+2392.79</f>
        <v>27331.58</v>
      </c>
      <c r="D13" s="5">
        <v>48561.45</v>
      </c>
      <c r="E13" s="14">
        <f>+'MARTIE 2015'!C14</f>
        <v>40793.21</v>
      </c>
      <c r="F13" s="25">
        <f>+APRIL!C12</f>
        <v>36068.94</v>
      </c>
      <c r="G13" s="5">
        <f>+mai!C10</f>
        <v>54108.29</v>
      </c>
      <c r="H13" s="5">
        <v>43616.5</v>
      </c>
      <c r="I13" s="5">
        <f>+iulie!C10</f>
        <v>48804.21</v>
      </c>
      <c r="J13" s="5">
        <f>+august!C10</f>
        <v>44723.88</v>
      </c>
      <c r="K13" s="5">
        <f>+sept!C9</f>
        <v>84927.7</v>
      </c>
      <c r="L13" s="5"/>
      <c r="M13" s="5"/>
      <c r="N13" s="5"/>
      <c r="O13" s="5">
        <f t="shared" si="0"/>
        <v>428935.76</v>
      </c>
    </row>
    <row r="14" spans="1:15" ht="12.75">
      <c r="A14" s="2">
        <v>6</v>
      </c>
      <c r="B14" s="4" t="s">
        <v>6</v>
      </c>
      <c r="C14" s="5">
        <f>132617.03+8092.5</f>
        <v>140709.53</v>
      </c>
      <c r="D14" s="5">
        <v>248384.88</v>
      </c>
      <c r="E14" s="14">
        <f>+'MARTIE 2015'!C15</f>
        <v>232030.36000000002</v>
      </c>
      <c r="F14" s="25">
        <f>+APRIL!C13</f>
        <v>239948.36</v>
      </c>
      <c r="G14" s="5">
        <f>+mai!C11</f>
        <v>287517.33</v>
      </c>
      <c r="H14" s="5">
        <v>267280.78</v>
      </c>
      <c r="I14" s="5">
        <f>+iulie!C11</f>
        <v>295511.46</v>
      </c>
      <c r="J14" s="5">
        <f>+august!C11</f>
        <v>288359.3</v>
      </c>
      <c r="K14" s="5">
        <f>+sept!C10</f>
        <v>579139.23</v>
      </c>
      <c r="L14" s="5"/>
      <c r="M14" s="5"/>
      <c r="N14" s="5"/>
      <c r="O14" s="5">
        <f t="shared" si="0"/>
        <v>2578881.23</v>
      </c>
    </row>
    <row r="15" spans="1:15" ht="12.75">
      <c r="A15" s="2">
        <v>7</v>
      </c>
      <c r="B15" s="4" t="s">
        <v>36</v>
      </c>
      <c r="C15" s="5">
        <f>5820.87+257.71+76.58+490.3</f>
        <v>6645.46</v>
      </c>
      <c r="D15" s="5">
        <v>9299.46</v>
      </c>
      <c r="E15" s="14">
        <f>+'MARTIE 2015'!C16</f>
        <v>9052.519999999999</v>
      </c>
      <c r="F15" s="25">
        <f>+APRIL!C54</f>
        <v>11266.55</v>
      </c>
      <c r="G15" s="5">
        <f>+mai!C49</f>
        <v>8146.48</v>
      </c>
      <c r="H15" s="5">
        <v>9313.01</v>
      </c>
      <c r="I15" s="5">
        <f>+iulie!C50</f>
        <v>9483.99</v>
      </c>
      <c r="J15" s="5">
        <f>+august!C48</f>
        <v>8180.25</v>
      </c>
      <c r="K15" s="5">
        <f>+sept!C47</f>
        <v>13915.07</v>
      </c>
      <c r="L15" s="5"/>
      <c r="M15" s="5"/>
      <c r="N15" s="5"/>
      <c r="O15" s="5">
        <f t="shared" si="0"/>
        <v>85302.78999999998</v>
      </c>
    </row>
    <row r="16" spans="1:15" ht="12.75">
      <c r="A16" s="2">
        <v>8</v>
      </c>
      <c r="B16" s="4" t="s">
        <v>7</v>
      </c>
      <c r="C16" s="5">
        <f>6678.84+338.36</f>
        <v>7017.2</v>
      </c>
      <c r="D16" s="5">
        <v>10348.83</v>
      </c>
      <c r="E16" s="14">
        <f>+'MARTIE 2015'!C17</f>
        <v>6879.5</v>
      </c>
      <c r="F16" s="25">
        <f>+APRIL!C14</f>
        <v>543.79</v>
      </c>
      <c r="G16" s="5">
        <f>+mai!C12</f>
        <v>10504.49</v>
      </c>
      <c r="H16" s="5">
        <v>10131.12</v>
      </c>
      <c r="I16" s="5">
        <f>+iulie!C12</f>
        <v>4649.53</v>
      </c>
      <c r="J16" s="5">
        <f>+august!C12</f>
        <v>4685.71</v>
      </c>
      <c r="K16" s="5">
        <f>+sept!C11</f>
        <v>5744.4</v>
      </c>
      <c r="L16" s="5"/>
      <c r="M16" s="5"/>
      <c r="N16" s="5"/>
      <c r="O16" s="5">
        <f t="shared" si="0"/>
        <v>60504.57</v>
      </c>
    </row>
    <row r="17" spans="1:15" ht="12.75">
      <c r="A17" s="2">
        <v>9</v>
      </c>
      <c r="B17" s="4" t="s">
        <v>96</v>
      </c>
      <c r="C17" s="5">
        <v>2109.77</v>
      </c>
      <c r="D17" s="5"/>
      <c r="E17" s="14">
        <f>+'MARTIE 2015'!C18</f>
        <v>49885.25</v>
      </c>
      <c r="F17" s="25">
        <f>+APRIL!C15</f>
        <v>67728.02</v>
      </c>
      <c r="G17" s="5">
        <f>+mai!C13</f>
        <v>84972.11</v>
      </c>
      <c r="H17" s="5">
        <v>86915.55</v>
      </c>
      <c r="I17" s="5">
        <f>+iulie!C13</f>
        <v>101158.42</v>
      </c>
      <c r="J17" s="5">
        <f>+august!C13</f>
        <v>101736.66</v>
      </c>
      <c r="K17" s="5">
        <f>+sept!C12</f>
        <v>226690.98</v>
      </c>
      <c r="L17" s="5"/>
      <c r="M17" s="5"/>
      <c r="N17" s="5"/>
      <c r="O17" s="5">
        <f t="shared" si="0"/>
        <v>721196.76</v>
      </c>
    </row>
    <row r="18" spans="1:15" ht="12.75">
      <c r="A18" s="2">
        <v>10</v>
      </c>
      <c r="B18" s="4" t="s">
        <v>8</v>
      </c>
      <c r="C18" s="5">
        <f>24610.1+1333.74</f>
        <v>25943.84</v>
      </c>
      <c r="D18" s="5">
        <v>36253.69</v>
      </c>
      <c r="E18" s="14">
        <f>+'MARTIE 2015'!C19</f>
        <v>34222.66</v>
      </c>
      <c r="F18" s="25">
        <f>+APRIL!C16</f>
        <v>38244.2</v>
      </c>
      <c r="G18" s="5">
        <f>+mai!C14</f>
        <v>39954.72</v>
      </c>
      <c r="H18" s="5">
        <v>33567.42</v>
      </c>
      <c r="I18" s="5">
        <f>+iulie!C14</f>
        <v>35660.2</v>
      </c>
      <c r="J18" s="5">
        <f>+august!C14</f>
        <v>34901.15</v>
      </c>
      <c r="K18" s="5">
        <f>+sept!C13</f>
        <v>62041.91</v>
      </c>
      <c r="L18" s="5"/>
      <c r="M18" s="5"/>
      <c r="N18" s="5"/>
      <c r="O18" s="5">
        <f t="shared" si="0"/>
        <v>340789.79000000004</v>
      </c>
    </row>
    <row r="19" spans="1:15" ht="12.75">
      <c r="A19" s="2">
        <v>11</v>
      </c>
      <c r="B19" s="4" t="s">
        <v>9</v>
      </c>
      <c r="C19" s="5">
        <f>13141.84+981.88</f>
        <v>14123.72</v>
      </c>
      <c r="D19" s="5">
        <v>22402.62</v>
      </c>
      <c r="E19" s="14">
        <f>+'MARTIE 2015'!C20</f>
        <v>19575.010000000002</v>
      </c>
      <c r="F19" s="25">
        <f>+APRIL!C17</f>
        <v>19935.58</v>
      </c>
      <c r="G19" s="5">
        <f>+mai!C15</f>
        <v>19612.97</v>
      </c>
      <c r="H19" s="5">
        <v>19995.19</v>
      </c>
      <c r="I19" s="5">
        <f>+iulie!C15</f>
        <v>18309.04</v>
      </c>
      <c r="J19" s="5">
        <f>+august!C15</f>
        <v>20358.85</v>
      </c>
      <c r="K19" s="5">
        <f>+sept!C14</f>
        <v>39227.74</v>
      </c>
      <c r="L19" s="5"/>
      <c r="M19" s="5"/>
      <c r="N19" s="5"/>
      <c r="O19" s="5">
        <f t="shared" si="0"/>
        <v>193540.72</v>
      </c>
    </row>
    <row r="20" spans="1:15" ht="12.75">
      <c r="A20" s="2">
        <v>12</v>
      </c>
      <c r="B20" s="4" t="s">
        <v>10</v>
      </c>
      <c r="C20" s="5">
        <f>4785.03+1279.94</f>
        <v>6064.969999999999</v>
      </c>
      <c r="D20" s="5">
        <v>7699.29</v>
      </c>
      <c r="E20" s="14">
        <f>+'MARTIE 2015'!C21</f>
        <v>8807.3</v>
      </c>
      <c r="F20" s="25">
        <f>+APRIL!C18</f>
        <v>8768.75</v>
      </c>
      <c r="G20" s="5">
        <f>+mai!C16</f>
        <v>10472.49</v>
      </c>
      <c r="H20" s="5">
        <v>10427.28</v>
      </c>
      <c r="I20" s="5">
        <f>+iulie!C16</f>
        <v>10882.36</v>
      </c>
      <c r="J20" s="5">
        <f>+august!C16</f>
        <v>7657.9</v>
      </c>
      <c r="K20" s="5">
        <f>+sept!C15</f>
        <v>13758.37</v>
      </c>
      <c r="L20" s="5"/>
      <c r="M20" s="5"/>
      <c r="N20" s="5"/>
      <c r="O20" s="5">
        <f t="shared" si="0"/>
        <v>84538.70999999999</v>
      </c>
    </row>
    <row r="21" spans="1:15" ht="12.75">
      <c r="A21" s="2">
        <v>13</v>
      </c>
      <c r="B21" s="4" t="s">
        <v>37</v>
      </c>
      <c r="C21" s="5">
        <f>53258.81+3565.58</f>
        <v>56824.39</v>
      </c>
      <c r="D21" s="5">
        <v>84418.42</v>
      </c>
      <c r="E21" s="14">
        <f>+'MARTIE 2015'!C22</f>
        <v>97665.94</v>
      </c>
      <c r="F21" s="25">
        <f>+APRIL!C55</f>
        <v>69067.39</v>
      </c>
      <c r="G21" s="5">
        <f>+mai!C50</f>
        <v>105096.32</v>
      </c>
      <c r="H21" s="5">
        <v>75204.52</v>
      </c>
      <c r="I21" s="5">
        <f>+iulie!C51</f>
        <v>89891.56</v>
      </c>
      <c r="J21" s="5">
        <f>+august!C49</f>
        <v>57787.06</v>
      </c>
      <c r="K21" s="5">
        <f>+sept!C48</f>
        <v>124966.31</v>
      </c>
      <c r="L21" s="5"/>
      <c r="M21" s="5"/>
      <c r="N21" s="5"/>
      <c r="O21" s="5">
        <f t="shared" si="0"/>
        <v>760921.9100000001</v>
      </c>
    </row>
    <row r="22" spans="1:15" ht="12.75">
      <c r="A22" s="2">
        <v>14</v>
      </c>
      <c r="B22" s="4" t="s">
        <v>38</v>
      </c>
      <c r="C22" s="5">
        <f>7818.12+6631+6631+1940.33</f>
        <v>23020.449999999997</v>
      </c>
      <c r="D22" s="5">
        <f>4638.03+10000+22000+1254.65</f>
        <v>37892.68</v>
      </c>
      <c r="E22" s="14">
        <f>+'MARTIE 2015'!C23</f>
        <v>36115.45</v>
      </c>
      <c r="F22" s="25">
        <f>+APRIL!C56</f>
        <v>33391.55</v>
      </c>
      <c r="G22" s="5">
        <f>+mai!C51</f>
        <v>45212.85</v>
      </c>
      <c r="H22" s="5">
        <v>44010.34</v>
      </c>
      <c r="I22" s="5">
        <f>+iulie!C52</f>
        <v>42367.31</v>
      </c>
      <c r="J22" s="5">
        <f>+august!C50</f>
        <v>36898.89</v>
      </c>
      <c r="K22" s="5">
        <f>+sept!C49</f>
        <v>44158.49</v>
      </c>
      <c r="L22" s="5"/>
      <c r="M22" s="5"/>
      <c r="N22" s="5"/>
      <c r="O22" s="5">
        <f t="shared" si="0"/>
        <v>343068.00999999995</v>
      </c>
    </row>
    <row r="23" spans="1:15" ht="12.75">
      <c r="A23" s="2">
        <v>15</v>
      </c>
      <c r="B23" s="4" t="s">
        <v>39</v>
      </c>
      <c r="C23" s="5">
        <f>2206.1+668.53+188.51</f>
        <v>3063.1400000000003</v>
      </c>
      <c r="D23" s="5">
        <v>5528.78</v>
      </c>
      <c r="E23" s="14">
        <f>+'MARTIE 2015'!C24</f>
        <v>3822.2599999999998</v>
      </c>
      <c r="F23" s="25">
        <f>+APRIL!C19</f>
        <v>3371.15</v>
      </c>
      <c r="G23" s="5">
        <f>+mai!C17</f>
        <v>2792.97</v>
      </c>
      <c r="H23" s="5">
        <v>5121.08</v>
      </c>
      <c r="I23" s="5">
        <f>+iulie!C53</f>
        <v>3571.16</v>
      </c>
      <c r="J23" s="5">
        <f>+august!C51</f>
        <v>4242.66</v>
      </c>
      <c r="K23" s="5">
        <f>+sept!C50</f>
        <v>2788.86</v>
      </c>
      <c r="L23" s="5"/>
      <c r="M23" s="5"/>
      <c r="N23" s="5"/>
      <c r="O23" s="5">
        <f t="shared" si="0"/>
        <v>34302.06</v>
      </c>
    </row>
    <row r="24" spans="1:15" ht="12.75">
      <c r="A24" s="2">
        <v>16</v>
      </c>
      <c r="B24" s="4" t="s">
        <v>11</v>
      </c>
      <c r="C24" s="5">
        <f>15757.52+9482.33+8854.68+21300.57+1694.6</f>
        <v>57089.7</v>
      </c>
      <c r="D24" s="5">
        <f>1672.4+51163.69+42875</f>
        <v>95711.09</v>
      </c>
      <c r="E24" s="14">
        <f>+'MARTIE 2015'!C25</f>
        <v>81065.19</v>
      </c>
      <c r="F24" s="25">
        <f>+APRIL!C20</f>
        <v>92243.8</v>
      </c>
      <c r="G24" s="5">
        <f>+mai!C18</f>
        <v>78721.32</v>
      </c>
      <c r="H24" s="5">
        <v>97594.39</v>
      </c>
      <c r="I24" s="5">
        <f>+iulie!C17</f>
        <v>80936.4</v>
      </c>
      <c r="J24" s="5">
        <f>+august!C17</f>
        <v>87877.58</v>
      </c>
      <c r="K24" s="5">
        <f>+sept!C16</f>
        <v>140613.08</v>
      </c>
      <c r="L24" s="5"/>
      <c r="M24" s="5"/>
      <c r="N24" s="5"/>
      <c r="O24" s="5">
        <f t="shared" si="0"/>
        <v>811852.5499999999</v>
      </c>
    </row>
    <row r="25" spans="1:15" ht="12.75">
      <c r="A25" s="2">
        <v>17</v>
      </c>
      <c r="B25" s="4" t="s">
        <v>40</v>
      </c>
      <c r="C25" s="5">
        <f>20686.27+3887.89</f>
        <v>24574.16</v>
      </c>
      <c r="D25" s="5">
        <v>30035.52</v>
      </c>
      <c r="E25" s="14">
        <f>+'MARTIE 2015'!C26</f>
        <v>34475.39</v>
      </c>
      <c r="F25" s="25">
        <f>+APRIL!C57</f>
        <v>35905</v>
      </c>
      <c r="G25" s="5">
        <f>+mai!C52</f>
        <v>36147.89</v>
      </c>
      <c r="H25" s="5">
        <v>37481.33</v>
      </c>
      <c r="I25" s="5">
        <f>+iulie!C54</f>
        <v>41142.44</v>
      </c>
      <c r="J25" s="5">
        <f>+august!C52</f>
        <v>33500.07</v>
      </c>
      <c r="K25" s="5">
        <f>+sept!C51</f>
        <v>59617.41</v>
      </c>
      <c r="L25" s="5"/>
      <c r="M25" s="5"/>
      <c r="N25" s="5"/>
      <c r="O25" s="5">
        <f t="shared" si="0"/>
        <v>332879.2100000001</v>
      </c>
    </row>
    <row r="26" spans="1:15" ht="12.75">
      <c r="A26" s="2">
        <v>18</v>
      </c>
      <c r="B26" s="6" t="s">
        <v>41</v>
      </c>
      <c r="C26" s="5">
        <f>39051.18+2821.67</f>
        <v>41872.85</v>
      </c>
      <c r="D26" s="5">
        <v>53918.42</v>
      </c>
      <c r="E26" s="14">
        <f>+'MARTIE 2015'!C27</f>
        <v>60098.46</v>
      </c>
      <c r="F26" s="25">
        <f>+APRIL!C58</f>
        <v>68031.35</v>
      </c>
      <c r="G26" s="5">
        <f>+mai!C53</f>
        <v>75729.37</v>
      </c>
      <c r="H26" s="7">
        <v>49688.1</v>
      </c>
      <c r="I26" s="5">
        <f>+iulie!C55</f>
        <v>68206.84</v>
      </c>
      <c r="J26" s="5">
        <f>+august!C53</f>
        <v>59345.51</v>
      </c>
      <c r="K26" s="5">
        <f>+sept!C52</f>
        <v>114645.46</v>
      </c>
      <c r="L26" s="5"/>
      <c r="M26" s="5"/>
      <c r="N26" s="5"/>
      <c r="O26" s="5">
        <f t="shared" si="0"/>
        <v>591536.3599999999</v>
      </c>
    </row>
    <row r="27" spans="1:15" ht="12.75">
      <c r="A27" s="2"/>
      <c r="B27" s="4" t="s">
        <v>179</v>
      </c>
      <c r="C27" s="5"/>
      <c r="D27" s="5"/>
      <c r="E27" s="14"/>
      <c r="F27" s="25"/>
      <c r="G27" s="5"/>
      <c r="H27" s="7"/>
      <c r="I27" s="5">
        <f>+iulie!C56</f>
        <v>106.91</v>
      </c>
      <c r="J27" s="5">
        <f>+august!C54</f>
        <v>257.21</v>
      </c>
      <c r="K27" s="5">
        <f>+sept!C53</f>
        <v>23707.01</v>
      </c>
      <c r="L27" s="5"/>
      <c r="M27" s="5"/>
      <c r="N27" s="5"/>
      <c r="O27" s="5"/>
    </row>
    <row r="28" spans="1:15" ht="12.75">
      <c r="A28" s="2">
        <v>19</v>
      </c>
      <c r="B28" s="4" t="s">
        <v>12</v>
      </c>
      <c r="C28" s="5">
        <f>65687.86+3531.59</f>
        <v>69219.45</v>
      </c>
      <c r="D28" s="5">
        <v>180750.08</v>
      </c>
      <c r="E28" s="14">
        <f>+'MARTIE 2015'!C28</f>
        <v>139159.90000000002</v>
      </c>
      <c r="F28" s="25">
        <f>+APRIL!C21</f>
        <v>158855.23</v>
      </c>
      <c r="G28" s="5">
        <f>+mai!C19</f>
        <v>151551.82</v>
      </c>
      <c r="H28" s="5">
        <v>152326.8</v>
      </c>
      <c r="I28" s="5">
        <f>+iulie!C18</f>
        <v>148500.48</v>
      </c>
      <c r="J28" s="5">
        <f>+august!C18</f>
        <v>145192.67</v>
      </c>
      <c r="K28" s="5">
        <f>+sept!C17</f>
        <v>281148.79</v>
      </c>
      <c r="L28" s="5"/>
      <c r="M28" s="5"/>
      <c r="N28" s="5"/>
      <c r="O28" s="5">
        <f t="shared" si="0"/>
        <v>1426705.22</v>
      </c>
    </row>
    <row r="29" spans="1:15" ht="12.75">
      <c r="A29" s="2">
        <v>20</v>
      </c>
      <c r="B29" s="4" t="s">
        <v>13</v>
      </c>
      <c r="C29" s="5">
        <f>48571.73+5704.19</f>
        <v>54275.920000000006</v>
      </c>
      <c r="D29" s="5">
        <v>88416.25</v>
      </c>
      <c r="E29" s="14">
        <f>+'MARTIE 2015'!C29</f>
        <v>81129.73000000001</v>
      </c>
      <c r="F29" s="25">
        <f>+APRIL!C22</f>
        <v>76218.09</v>
      </c>
      <c r="G29" s="5">
        <f>+mai!C20</f>
        <v>97820.45</v>
      </c>
      <c r="H29" s="5">
        <v>84827.25</v>
      </c>
      <c r="I29" s="5">
        <f>+iulie!C19</f>
        <v>86894.54</v>
      </c>
      <c r="J29" s="5">
        <f>+august!C19</f>
        <v>75678.37</v>
      </c>
      <c r="K29" s="5">
        <f>+sept!C18</f>
        <v>128679.18</v>
      </c>
      <c r="L29" s="5"/>
      <c r="M29" s="5"/>
      <c r="N29" s="5"/>
      <c r="O29" s="5">
        <f t="shared" si="0"/>
        <v>773939.78</v>
      </c>
    </row>
    <row r="30" spans="1:15" ht="12.75">
      <c r="A30" s="2">
        <v>21</v>
      </c>
      <c r="B30" s="4" t="s">
        <v>14</v>
      </c>
      <c r="C30" s="5">
        <f>7405.21+364.69+1127.79</f>
        <v>8897.689999999999</v>
      </c>
      <c r="D30" s="5">
        <v>14680.46</v>
      </c>
      <c r="E30" s="14">
        <f>+'MARTIE 2015'!C30</f>
        <v>11975.619999999999</v>
      </c>
      <c r="F30" s="25">
        <f>+APRIL!C23</f>
        <v>15581.35</v>
      </c>
      <c r="G30" s="5">
        <f>+mai!C21</f>
        <v>13953.3</v>
      </c>
      <c r="H30" s="5">
        <v>11366.74</v>
      </c>
      <c r="I30" s="5">
        <f>+iulie!C20</f>
        <v>12261.96</v>
      </c>
      <c r="J30" s="5">
        <f>+august!C20</f>
        <v>12406.04</v>
      </c>
      <c r="K30" s="5">
        <f>+sept!C19</f>
        <v>14677.31</v>
      </c>
      <c r="L30" s="5"/>
      <c r="M30" s="5"/>
      <c r="N30" s="5"/>
      <c r="O30" s="5">
        <f t="shared" si="0"/>
        <v>115800.47</v>
      </c>
    </row>
    <row r="31" spans="1:15" ht="12.75">
      <c r="A31" s="2">
        <v>22</v>
      </c>
      <c r="B31" s="4" t="s">
        <v>15</v>
      </c>
      <c r="C31" s="5">
        <f>204318.39+19424.2</f>
        <v>223742.59000000003</v>
      </c>
      <c r="D31" s="5">
        <f>196636.63+134021.73</f>
        <v>330658.36</v>
      </c>
      <c r="E31" s="14">
        <f>+'MARTIE 2015'!C31</f>
        <v>352374.73</v>
      </c>
      <c r="F31" s="25">
        <f>+APRIL!C24</f>
        <v>364302.6</v>
      </c>
      <c r="G31" s="5">
        <f>+mai!C22</f>
        <v>390534.31</v>
      </c>
      <c r="H31" s="5">
        <v>323421.95</v>
      </c>
      <c r="I31" s="5">
        <f>+iulie!C21</f>
        <v>369681.78</v>
      </c>
      <c r="J31" s="5">
        <f>+august!C21</f>
        <v>340337.51</v>
      </c>
      <c r="K31" s="5">
        <f>+sept!C20</f>
        <v>644702.73</v>
      </c>
      <c r="L31" s="5"/>
      <c r="M31" s="5"/>
      <c r="N31" s="5"/>
      <c r="O31" s="5">
        <f t="shared" si="0"/>
        <v>3339756.56</v>
      </c>
    </row>
    <row r="32" spans="1:15" ht="12.75">
      <c r="A32" s="2">
        <v>23</v>
      </c>
      <c r="B32" s="4" t="s">
        <v>42</v>
      </c>
      <c r="C32" s="5">
        <f>7962.06+128.49</f>
        <v>8090.55</v>
      </c>
      <c r="D32" s="5">
        <v>13674.35</v>
      </c>
      <c r="E32" s="14">
        <f>+'MARTIE 2015'!C32</f>
        <v>11463.59</v>
      </c>
      <c r="F32" s="25">
        <f>+APRIL!C59</f>
        <v>9733.62</v>
      </c>
      <c r="G32" s="5">
        <f>+mai!C54</f>
        <v>10006.09</v>
      </c>
      <c r="H32" s="5">
        <v>11682.7</v>
      </c>
      <c r="I32" s="5">
        <f>+iulie!C57</f>
        <v>11430.45</v>
      </c>
      <c r="J32" s="5">
        <f>+august!C55</f>
        <v>8346.97</v>
      </c>
      <c r="K32" s="5">
        <f>+sept!C54</f>
        <v>13707.32</v>
      </c>
      <c r="L32" s="5"/>
      <c r="M32" s="5"/>
      <c r="N32" s="5"/>
      <c r="O32" s="5">
        <f t="shared" si="0"/>
        <v>98135.64000000001</v>
      </c>
    </row>
    <row r="33" spans="1:15" ht="12.75">
      <c r="A33" s="2">
        <v>24</v>
      </c>
      <c r="B33" s="4" t="s">
        <v>16</v>
      </c>
      <c r="C33" s="5">
        <f>51869.45+745.62+1015.49</f>
        <v>53630.56</v>
      </c>
      <c r="D33" s="5">
        <v>68031.52</v>
      </c>
      <c r="E33" s="14">
        <f>+'MARTIE 2015'!C33</f>
        <v>57030.03</v>
      </c>
      <c r="F33" s="25">
        <f>+APRIL!C25</f>
        <v>65421.36</v>
      </c>
      <c r="G33" s="5">
        <f>+mai!C23</f>
        <v>51435.38</v>
      </c>
      <c r="H33" s="5">
        <v>0</v>
      </c>
      <c r="I33" s="5">
        <v>0</v>
      </c>
      <c r="J33" s="5">
        <v>0</v>
      </c>
      <c r="K33" s="5"/>
      <c r="L33" s="5"/>
      <c r="M33" s="5"/>
      <c r="N33" s="5"/>
      <c r="O33" s="5">
        <f t="shared" si="0"/>
        <v>295548.85</v>
      </c>
    </row>
    <row r="34" spans="1:15" ht="12.75">
      <c r="A34" s="2">
        <v>25</v>
      </c>
      <c r="B34" s="4" t="s">
        <v>17</v>
      </c>
      <c r="C34" s="5">
        <f>5896.15+314.98+13.89</f>
        <v>6225.0199999999995</v>
      </c>
      <c r="D34" s="5">
        <v>8247.84</v>
      </c>
      <c r="E34" s="14">
        <f>+'MARTIE 2015'!C34</f>
        <v>6333.09</v>
      </c>
      <c r="F34" s="25">
        <f>+APRIL!C26</f>
        <v>7928.15</v>
      </c>
      <c r="G34" s="5">
        <f>+mai!C24</f>
        <v>5864.66</v>
      </c>
      <c r="H34" s="5">
        <v>6244.73</v>
      </c>
      <c r="I34" s="5">
        <f>+iulie!C22</f>
        <v>6646.16</v>
      </c>
      <c r="J34" s="5">
        <f>+august!C22</f>
        <v>4295.79</v>
      </c>
      <c r="K34" s="5">
        <f>+sept!C21</f>
        <v>11517.27</v>
      </c>
      <c r="L34" s="5"/>
      <c r="M34" s="5"/>
      <c r="N34" s="5"/>
      <c r="O34" s="5">
        <f t="shared" si="0"/>
        <v>63302.70999999999</v>
      </c>
    </row>
    <row r="35" spans="1:15" ht="12.75">
      <c r="A35" s="2">
        <v>26</v>
      </c>
      <c r="B35" s="4" t="s">
        <v>43</v>
      </c>
      <c r="C35" s="5">
        <f>12747.35+1385.94</f>
        <v>14133.29</v>
      </c>
      <c r="D35" s="5">
        <v>18961.57</v>
      </c>
      <c r="E35" s="14">
        <f>+'MARTIE 2015'!C35</f>
        <v>19021.7</v>
      </c>
      <c r="F35" s="25">
        <f>+APRIL!C60</f>
        <v>18626.7</v>
      </c>
      <c r="G35" s="5">
        <f>+mai!C55</f>
        <v>19219.83</v>
      </c>
      <c r="H35" s="5">
        <v>20726.37</v>
      </c>
      <c r="I35" s="5">
        <f>+iulie!C58</f>
        <v>20453.78</v>
      </c>
      <c r="J35" s="5">
        <f>+august!C56</f>
        <v>15847.78</v>
      </c>
      <c r="K35" s="5">
        <f>+sept!C55</f>
        <v>32425.81</v>
      </c>
      <c r="L35" s="5"/>
      <c r="M35" s="5"/>
      <c r="N35" s="5"/>
      <c r="O35" s="5">
        <f t="shared" si="0"/>
        <v>179416.83</v>
      </c>
    </row>
    <row r="36" spans="1:15" ht="12.75">
      <c r="A36" s="2">
        <v>27</v>
      </c>
      <c r="B36" s="4" t="s">
        <v>77</v>
      </c>
      <c r="C36" s="5">
        <f>6675.42+633.9</f>
        <v>7309.32</v>
      </c>
      <c r="D36" s="5">
        <v>11735.57</v>
      </c>
      <c r="E36" s="14">
        <f>+'MARTIE 2015'!C36</f>
        <v>11516.890000000001</v>
      </c>
      <c r="F36" s="25">
        <f>+APRIL!C27</f>
        <v>14478.3</v>
      </c>
      <c r="G36" s="5">
        <f>+mai!C25</f>
        <v>17171.36</v>
      </c>
      <c r="H36" s="5">
        <v>17523.81</v>
      </c>
      <c r="I36" s="5">
        <f>+iulie!C23</f>
        <v>20234.65</v>
      </c>
      <c r="J36" s="5">
        <f>+august!C23</f>
        <v>16475.54</v>
      </c>
      <c r="K36" s="5">
        <f>+sept!C22</f>
        <v>29545.94</v>
      </c>
      <c r="L36" s="5"/>
      <c r="M36" s="5"/>
      <c r="N36" s="5"/>
      <c r="O36" s="5">
        <f t="shared" si="0"/>
        <v>145991.38</v>
      </c>
    </row>
    <row r="37" spans="1:15" ht="12.75">
      <c r="A37" s="2">
        <v>28</v>
      </c>
      <c r="B37" s="4" t="s">
        <v>44</v>
      </c>
      <c r="C37" s="5">
        <f>15165.56+1350.6</f>
        <v>16516.16</v>
      </c>
      <c r="D37" s="5">
        <v>23562.37</v>
      </c>
      <c r="E37" s="14">
        <f>+'MARTIE 2015'!C37</f>
        <v>18937.05</v>
      </c>
      <c r="F37" s="25">
        <f>+APRIL!C61</f>
        <v>22096.46</v>
      </c>
      <c r="G37" s="5">
        <f>+mai!C56</f>
        <v>20205.82</v>
      </c>
      <c r="H37" s="5">
        <v>20054.53</v>
      </c>
      <c r="I37" s="5">
        <f>+iulie!C59</f>
        <v>20143.49</v>
      </c>
      <c r="J37" s="5">
        <f>+august!C57</f>
        <v>21683.44</v>
      </c>
      <c r="K37" s="5">
        <f>+sept!C56</f>
        <v>35925.7</v>
      </c>
      <c r="L37" s="5"/>
      <c r="M37" s="5"/>
      <c r="N37" s="5"/>
      <c r="O37" s="5">
        <f t="shared" si="0"/>
        <v>199125.02000000002</v>
      </c>
    </row>
    <row r="38" spans="1:15" ht="12.75">
      <c r="A38" s="2">
        <v>29</v>
      </c>
      <c r="B38" s="4" t="s">
        <v>18</v>
      </c>
      <c r="C38" s="5">
        <f>7298.62+908.89+84.25</f>
        <v>8291.76</v>
      </c>
      <c r="D38" s="5">
        <v>24477.66</v>
      </c>
      <c r="E38" s="14">
        <f>+'MARTIE 2015'!C38</f>
        <v>21969.93</v>
      </c>
      <c r="F38" s="25">
        <f>+APRIL!C28</f>
        <v>35112.51</v>
      </c>
      <c r="G38" s="5">
        <f>+mai!C26</f>
        <v>31429.29</v>
      </c>
      <c r="H38" s="5">
        <v>30452.89</v>
      </c>
      <c r="I38" s="5">
        <f>+iulie!C24</f>
        <v>35681.3</v>
      </c>
      <c r="J38" s="5">
        <f>+august!C24</f>
        <v>40171.17</v>
      </c>
      <c r="K38" s="5">
        <f>+sept!C23</f>
        <v>103829.52</v>
      </c>
      <c r="L38" s="5"/>
      <c r="M38" s="5"/>
      <c r="N38" s="5"/>
      <c r="O38" s="5">
        <f t="shared" si="0"/>
        <v>331416.02999999997</v>
      </c>
    </row>
    <row r="39" spans="1:15" ht="12.75">
      <c r="A39" s="2">
        <v>30</v>
      </c>
      <c r="B39" s="4" t="s">
        <v>19</v>
      </c>
      <c r="C39" s="5">
        <f>21305.07+27850.2+3830.8+16218.76+1733.94+75.16+2741.83</f>
        <v>73755.76000000001</v>
      </c>
      <c r="D39" s="5">
        <f>50326.36+27159+69000</f>
        <v>146485.36</v>
      </c>
      <c r="E39" s="14">
        <f>+'MARTIE 2015'!C39</f>
        <v>135768.1</v>
      </c>
      <c r="F39" s="25">
        <f>+APRIL!C29</f>
        <v>127057.3</v>
      </c>
      <c r="G39" s="5">
        <f>+mai!C27</f>
        <v>149275.89</v>
      </c>
      <c r="H39" s="5">
        <v>112870.97</v>
      </c>
      <c r="I39" s="5">
        <f>+iulie!C25</f>
        <v>127934.94</v>
      </c>
      <c r="J39" s="5">
        <f>+august!C25</f>
        <v>124301.34</v>
      </c>
      <c r="K39" s="5">
        <f>+sept!C24</f>
        <v>152073.8</v>
      </c>
      <c r="L39" s="5"/>
      <c r="M39" s="5"/>
      <c r="N39" s="5"/>
      <c r="O39" s="5">
        <f t="shared" si="0"/>
        <v>1149523.4599999997</v>
      </c>
    </row>
    <row r="40" spans="1:15" ht="12.75">
      <c r="A40" s="2"/>
      <c r="B40" s="4" t="s">
        <v>176</v>
      </c>
      <c r="C40" s="5"/>
      <c r="D40" s="5"/>
      <c r="E40" s="14"/>
      <c r="F40" s="25"/>
      <c r="G40" s="5"/>
      <c r="H40" s="5"/>
      <c r="I40" s="5">
        <f>+iulie!C26</f>
        <v>268.58</v>
      </c>
      <c r="J40" s="5">
        <f>+august!C26</f>
        <v>786.57</v>
      </c>
      <c r="K40" s="5">
        <f>+sept!C25</f>
        <v>12717.62</v>
      </c>
      <c r="L40" s="5"/>
      <c r="M40" s="5"/>
      <c r="N40" s="5"/>
      <c r="O40" s="5"/>
    </row>
    <row r="41" spans="1:15" ht="12.75">
      <c r="A41" s="2">
        <v>31</v>
      </c>
      <c r="B41" s="4" t="s">
        <v>20</v>
      </c>
      <c r="C41" s="5">
        <f>417244.23+24000+75.3+31183.9</f>
        <v>472503.43</v>
      </c>
      <c r="D41" s="5">
        <v>687437.93</v>
      </c>
      <c r="E41" s="14">
        <f>+'MARTIE 2015'!C40</f>
        <v>738592.9500000001</v>
      </c>
      <c r="F41" s="25">
        <f>+APRIL!C30</f>
        <v>784469.55</v>
      </c>
      <c r="G41" s="5">
        <f>+mai!C28</f>
        <v>817544.93</v>
      </c>
      <c r="H41" s="5">
        <v>773157.06</v>
      </c>
      <c r="I41" s="5">
        <f>+iulie!C27</f>
        <v>823718.11</v>
      </c>
      <c r="J41" s="5">
        <f>+august!C27</f>
        <v>773528.95</v>
      </c>
      <c r="K41" s="5">
        <f>+sept!C26</f>
        <v>1360664.14</v>
      </c>
      <c r="L41" s="5"/>
      <c r="M41" s="5"/>
      <c r="N41" s="5"/>
      <c r="O41" s="5">
        <f t="shared" si="0"/>
        <v>7231617.050000001</v>
      </c>
    </row>
    <row r="42" spans="1:15" ht="12.75">
      <c r="A42" s="2">
        <v>32</v>
      </c>
      <c r="B42" s="4" t="s">
        <v>45</v>
      </c>
      <c r="C42" s="5">
        <f>17764.84+786.83</f>
        <v>18551.670000000002</v>
      </c>
      <c r="D42" s="5">
        <v>27087.93</v>
      </c>
      <c r="E42" s="14">
        <f>+'MARTIE 2015'!C41</f>
        <v>28956.14</v>
      </c>
      <c r="F42" s="25">
        <f>+APRIL!C62</f>
        <v>27785.31</v>
      </c>
      <c r="G42" s="5">
        <f>+mai!C57</f>
        <v>26813.27</v>
      </c>
      <c r="H42" s="5">
        <v>27919.78</v>
      </c>
      <c r="I42" s="5">
        <f>+iulie!C60</f>
        <v>29078.89</v>
      </c>
      <c r="J42" s="5">
        <f>+august!C58</f>
        <v>26471.02</v>
      </c>
      <c r="K42" s="5">
        <f>+sept!C57</f>
        <v>45203.55</v>
      </c>
      <c r="L42" s="5"/>
      <c r="M42" s="5"/>
      <c r="N42" s="5"/>
      <c r="O42" s="5">
        <f t="shared" si="0"/>
        <v>257867.56</v>
      </c>
    </row>
    <row r="43" spans="1:15" ht="12.75">
      <c r="A43" s="2">
        <v>33</v>
      </c>
      <c r="B43" s="4" t="s">
        <v>46</v>
      </c>
      <c r="C43" s="5">
        <f>43826.72+3123.93</f>
        <v>46950.65</v>
      </c>
      <c r="D43" s="5">
        <v>72847.31</v>
      </c>
      <c r="E43" s="14">
        <f>+'MARTIE 2015'!C42</f>
        <v>74073.74</v>
      </c>
      <c r="F43" s="25">
        <f>+APRIL!C63</f>
        <v>79447.37</v>
      </c>
      <c r="G43" s="5">
        <f>+mai!C58</f>
        <v>80933.53</v>
      </c>
      <c r="H43" s="5">
        <v>74416.29</v>
      </c>
      <c r="I43" s="5">
        <f>+iulie!C61</f>
        <v>82493.26</v>
      </c>
      <c r="J43" s="5">
        <f>+august!C59</f>
        <v>66989.35</v>
      </c>
      <c r="K43" s="5">
        <f>+sept!C58</f>
        <v>133943.16</v>
      </c>
      <c r="L43" s="5"/>
      <c r="M43" s="5"/>
      <c r="N43" s="5"/>
      <c r="O43" s="5">
        <f t="shared" si="0"/>
        <v>712094.66</v>
      </c>
    </row>
    <row r="44" spans="1:15" ht="12.75">
      <c r="A44" s="2">
        <v>34</v>
      </c>
      <c r="B44" s="4" t="s">
        <v>21</v>
      </c>
      <c r="C44" s="5">
        <f>58648.82+2225.86</f>
        <v>60874.68</v>
      </c>
      <c r="D44" s="5">
        <v>111114.84</v>
      </c>
      <c r="E44" s="14">
        <f>+'MARTIE 2015'!C43</f>
        <v>95643.01000000001</v>
      </c>
      <c r="F44" s="25">
        <f>+APRIL!C31</f>
        <v>87650.64</v>
      </c>
      <c r="G44" s="5">
        <f>+mai!C29</f>
        <v>99048.11</v>
      </c>
      <c r="H44" s="5">
        <v>116199.73</v>
      </c>
      <c r="I44" s="5">
        <f>+iulie!C28</f>
        <v>105317.02</v>
      </c>
      <c r="J44" s="5">
        <f>+august!C28</f>
        <v>127686.82</v>
      </c>
      <c r="K44" s="5">
        <f>+sept!C27</f>
        <v>210042.73</v>
      </c>
      <c r="L44" s="5"/>
      <c r="M44" s="5"/>
      <c r="N44" s="5"/>
      <c r="O44" s="5">
        <f t="shared" si="0"/>
        <v>1013577.5800000001</v>
      </c>
    </row>
    <row r="45" spans="1:15" ht="12.75">
      <c r="A45" s="2">
        <v>35</v>
      </c>
      <c r="B45" s="4" t="s">
        <v>47</v>
      </c>
      <c r="C45" s="5">
        <f>16739.21+1200</f>
        <v>17939.21</v>
      </c>
      <c r="D45" s="5">
        <v>30536.98</v>
      </c>
      <c r="E45" s="14">
        <f>+'MARTIE 2015'!C44</f>
        <v>30756.52</v>
      </c>
      <c r="F45" s="25">
        <f>+APRIL!C64</f>
        <v>24337.88</v>
      </c>
      <c r="G45" s="5">
        <f>+mai!C59</f>
        <v>34405.8</v>
      </c>
      <c r="H45" s="5">
        <v>32510.39</v>
      </c>
      <c r="I45" s="5">
        <f>+iulie!C62</f>
        <v>34849.64</v>
      </c>
      <c r="J45" s="5">
        <f>+august!C60</f>
        <v>27578.22</v>
      </c>
      <c r="K45" s="5">
        <f>+sept!C59</f>
        <v>35701.48</v>
      </c>
      <c r="L45" s="5"/>
      <c r="M45" s="5"/>
      <c r="N45" s="5"/>
      <c r="O45" s="5">
        <f t="shared" si="0"/>
        <v>268616.12000000005</v>
      </c>
    </row>
    <row r="46" spans="1:15" ht="12.75">
      <c r="A46" s="2">
        <v>36</v>
      </c>
      <c r="B46" s="6" t="s">
        <v>22</v>
      </c>
      <c r="C46" s="5">
        <f>50583.91+824.39</f>
        <v>51408.3</v>
      </c>
      <c r="D46" s="5">
        <v>37818.37</v>
      </c>
      <c r="E46" s="14">
        <f>+'MARTIE 2015'!C45</f>
        <v>56368.63</v>
      </c>
      <c r="F46" s="31">
        <f>+APRIL!C32</f>
        <v>43845.27</v>
      </c>
      <c r="G46" s="7">
        <f>+mai!C30</f>
        <v>44690.14</v>
      </c>
      <c r="H46" s="5">
        <v>58997.71</v>
      </c>
      <c r="I46" s="5">
        <f>+iulie!C29</f>
        <v>61367.58</v>
      </c>
      <c r="J46" s="5">
        <f>+august!C29</f>
        <v>55771.71</v>
      </c>
      <c r="K46" s="5">
        <f>+sept!C28</f>
        <v>101859.05</v>
      </c>
      <c r="L46" s="5"/>
      <c r="M46" s="5"/>
      <c r="N46" s="5"/>
      <c r="O46" s="5">
        <f t="shared" si="0"/>
        <v>512126.76000000007</v>
      </c>
    </row>
    <row r="47" spans="1:15" ht="12.75">
      <c r="A47" s="2">
        <v>37</v>
      </c>
      <c r="B47" s="6" t="s">
        <v>78</v>
      </c>
      <c r="C47" s="5">
        <f>9998.31+1845.62+1465.08</f>
        <v>13309.01</v>
      </c>
      <c r="D47" s="5">
        <f>14372.66+5000</f>
        <v>19372.66</v>
      </c>
      <c r="E47" s="14">
        <f>+'MARTIE 2015'!C46</f>
        <v>19423.6</v>
      </c>
      <c r="F47" s="31">
        <f>+APRIL!C43</f>
        <v>20143.27</v>
      </c>
      <c r="G47" s="7">
        <f>+mai!C40</f>
        <v>28349.94</v>
      </c>
      <c r="H47" s="5">
        <v>22941.38</v>
      </c>
      <c r="I47" s="5">
        <f>+iulie!C41</f>
        <v>25961.52</v>
      </c>
      <c r="J47" s="5">
        <f>+august!C39</f>
        <v>20965.04</v>
      </c>
      <c r="K47" s="5">
        <f>+sept!C38</f>
        <v>39707.31</v>
      </c>
      <c r="L47" s="5"/>
      <c r="M47" s="5"/>
      <c r="N47" s="5"/>
      <c r="O47" s="5">
        <f t="shared" si="0"/>
        <v>210173.73</v>
      </c>
    </row>
    <row r="48" spans="1:15" ht="12.75">
      <c r="A48" s="2">
        <v>38</v>
      </c>
      <c r="B48" s="6" t="s">
        <v>23</v>
      </c>
      <c r="C48" s="5">
        <f>14343.05+228.97</f>
        <v>14572.019999999999</v>
      </c>
      <c r="D48" s="5">
        <v>27102.95</v>
      </c>
      <c r="E48" s="14">
        <f>+'MARTIE 2015'!C47</f>
        <v>24808.99</v>
      </c>
      <c r="F48" s="31">
        <f>+APRIL!C33</f>
        <v>250.15</v>
      </c>
      <c r="G48" s="7">
        <f>+mai!C31</f>
        <v>25182.46</v>
      </c>
      <c r="H48" s="5">
        <v>18386.56</v>
      </c>
      <c r="I48" s="5">
        <v>0</v>
      </c>
      <c r="J48" s="5">
        <v>0</v>
      </c>
      <c r="K48" s="5"/>
      <c r="L48" s="5"/>
      <c r="M48" s="5"/>
      <c r="N48" s="5"/>
      <c r="O48" s="5">
        <f t="shared" si="0"/>
        <v>110303.13</v>
      </c>
    </row>
    <row r="49" spans="1:15" ht="12.75">
      <c r="A49" s="2">
        <v>39</v>
      </c>
      <c r="B49" s="4" t="s">
        <v>48</v>
      </c>
      <c r="C49" s="5">
        <f>18997.09+2999.28</f>
        <v>21996.37</v>
      </c>
      <c r="D49" s="5">
        <v>34204.84</v>
      </c>
      <c r="E49" s="14">
        <f>+'MARTIE 2015'!C48</f>
        <v>33001.11</v>
      </c>
      <c r="F49" s="25">
        <f>+APRIL!C65</f>
        <v>30239.27</v>
      </c>
      <c r="G49" s="5">
        <f>+mai!C60</f>
        <v>42446.35</v>
      </c>
      <c r="H49" s="5">
        <v>35335.73</v>
      </c>
      <c r="I49" s="5">
        <f>+iulie!C63</f>
        <v>39442.99</v>
      </c>
      <c r="J49" s="5">
        <f>+august!C61</f>
        <v>35065.12</v>
      </c>
      <c r="K49" s="5">
        <f>+sept!C60</f>
        <v>57124.1</v>
      </c>
      <c r="L49" s="5"/>
      <c r="M49" s="5"/>
      <c r="N49" s="5"/>
      <c r="O49" s="5">
        <f t="shared" si="0"/>
        <v>328855.88</v>
      </c>
    </row>
    <row r="50" spans="1:15" ht="12.75">
      <c r="A50" s="2">
        <v>40</v>
      </c>
      <c r="B50" s="4" t="s">
        <v>97</v>
      </c>
      <c r="C50" s="5">
        <v>249.1</v>
      </c>
      <c r="D50" s="5">
        <v>2921.39</v>
      </c>
      <c r="E50" s="14">
        <f>+'MARTIE 2015'!C49</f>
        <v>2600.41</v>
      </c>
      <c r="F50" s="25">
        <f>+APRIL!C34</f>
        <v>3964.13</v>
      </c>
      <c r="G50" s="5">
        <f>+mai!C32</f>
        <v>5395.27</v>
      </c>
      <c r="H50" s="5">
        <v>226.67</v>
      </c>
      <c r="I50" s="5">
        <f>+iulie!C30</f>
        <v>5656.67</v>
      </c>
      <c r="J50" s="5">
        <f>+august!C30</f>
        <v>5641</v>
      </c>
      <c r="K50" s="5">
        <f>+sept!C29</f>
        <v>13133</v>
      </c>
      <c r="L50" s="5"/>
      <c r="M50" s="5"/>
      <c r="N50" s="5"/>
      <c r="O50" s="5">
        <f t="shared" si="0"/>
        <v>39787.64</v>
      </c>
    </row>
    <row r="51" spans="1:15" ht="12.75">
      <c r="A51" s="2">
        <v>41</v>
      </c>
      <c r="B51" s="4" t="s">
        <v>49</v>
      </c>
      <c r="C51" s="5">
        <f>6516.61+1849.17+19270.02+890.77</f>
        <v>28526.57</v>
      </c>
      <c r="D51" s="5">
        <f>10000+35573.74</f>
        <v>45573.74</v>
      </c>
      <c r="E51" s="14">
        <f>+'MARTIE 2015'!C50</f>
        <v>26374.530000000002</v>
      </c>
      <c r="F51" s="25">
        <f>+APRIL!C35</f>
        <v>25727.05</v>
      </c>
      <c r="G51" s="5">
        <f>+mai!C61</f>
        <v>36035.71</v>
      </c>
      <c r="H51" s="5">
        <v>24944.27</v>
      </c>
      <c r="I51" s="5">
        <f>+iulie!C31</f>
        <v>32512.02</v>
      </c>
      <c r="J51" s="5">
        <v>0</v>
      </c>
      <c r="K51" s="5"/>
      <c r="L51" s="5"/>
      <c r="M51" s="5"/>
      <c r="N51" s="5"/>
      <c r="O51" s="5">
        <f t="shared" si="0"/>
        <v>219693.88999999998</v>
      </c>
    </row>
    <row r="52" spans="1:15" ht="12.75">
      <c r="A52" s="2">
        <v>42</v>
      </c>
      <c r="B52" s="4" t="s">
        <v>72</v>
      </c>
      <c r="C52" s="5">
        <f>3206.53+316.91+479.05</f>
        <v>4002.4900000000002</v>
      </c>
      <c r="D52" s="5">
        <v>9626.09</v>
      </c>
      <c r="E52" s="14">
        <f>+'MARTIE 2015'!C51</f>
        <v>8683.859999999999</v>
      </c>
      <c r="F52" s="25">
        <f>+APRIL!C36</f>
        <v>7837.77</v>
      </c>
      <c r="G52" s="5">
        <f>+mai!C33</f>
        <v>10247.61</v>
      </c>
      <c r="H52" s="5">
        <v>12406.09</v>
      </c>
      <c r="I52" s="5">
        <f>+iulie!C32</f>
        <v>12338.06</v>
      </c>
      <c r="J52" s="5">
        <f>+august!C31</f>
        <v>9413.23</v>
      </c>
      <c r="K52" s="5">
        <f>+sept!C30</f>
        <v>11522.99</v>
      </c>
      <c r="L52" s="5"/>
      <c r="M52" s="5"/>
      <c r="N52" s="5"/>
      <c r="O52" s="5">
        <f t="shared" si="0"/>
        <v>86078.19</v>
      </c>
    </row>
    <row r="53" spans="1:15" ht="12.75">
      <c r="A53" s="2"/>
      <c r="B53" s="4" t="s">
        <v>177</v>
      </c>
      <c r="C53" s="5"/>
      <c r="D53" s="5"/>
      <c r="E53" s="14"/>
      <c r="F53" s="25"/>
      <c r="G53" s="5"/>
      <c r="H53" s="5"/>
      <c r="I53" s="5">
        <f>+iulie!C33</f>
        <v>65.76</v>
      </c>
      <c r="J53" s="5">
        <f>+august!C32</f>
        <v>20.77</v>
      </c>
      <c r="K53" s="5">
        <f>+sept!C31</f>
        <v>10170.49</v>
      </c>
      <c r="L53" s="5"/>
      <c r="M53" s="5"/>
      <c r="N53" s="5"/>
      <c r="O53" s="5"/>
    </row>
    <row r="54" spans="1:15" ht="12.75">
      <c r="A54" s="2">
        <v>43</v>
      </c>
      <c r="B54" s="4" t="s">
        <v>24</v>
      </c>
      <c r="C54" s="5">
        <f>28143.29+2806.13</f>
        <v>30949.420000000002</v>
      </c>
      <c r="D54" s="5">
        <v>56331.96</v>
      </c>
      <c r="E54" s="14">
        <f>+'MARTIE 2015'!C52</f>
        <v>55660.92</v>
      </c>
      <c r="F54" s="25">
        <f>+APRIL!C37</f>
        <v>66205.41</v>
      </c>
      <c r="G54" s="5">
        <f>+mai!C34</f>
        <v>63772.63</v>
      </c>
      <c r="H54" s="5">
        <v>66495.3</v>
      </c>
      <c r="I54" s="5">
        <f>+iulie!C34</f>
        <v>79273.71</v>
      </c>
      <c r="J54" s="5">
        <f>+august!C33</f>
        <v>65468.16</v>
      </c>
      <c r="K54" s="5">
        <f>+sept!C32</f>
        <v>107294.71</v>
      </c>
      <c r="L54" s="5"/>
      <c r="M54" s="5"/>
      <c r="N54" s="5"/>
      <c r="O54" s="5">
        <f t="shared" si="0"/>
        <v>591452.22</v>
      </c>
    </row>
    <row r="55" spans="1:15" ht="12.75">
      <c r="A55" s="2">
        <v>44</v>
      </c>
      <c r="B55" s="4" t="s">
        <v>50</v>
      </c>
      <c r="C55" s="5">
        <f>2605.22+404.55</f>
        <v>3009.77</v>
      </c>
      <c r="D55" s="5">
        <v>4961.82</v>
      </c>
      <c r="E55" s="14">
        <f>+'MARTIE 2015'!C53</f>
        <v>4215.24</v>
      </c>
      <c r="F55" s="25">
        <f>+APRIL!C66</f>
        <v>4332.68</v>
      </c>
      <c r="G55" s="5">
        <f>+mai!C62</f>
        <v>5132.13</v>
      </c>
      <c r="H55" s="5">
        <v>5963.36</v>
      </c>
      <c r="I55" s="5">
        <f>+iulie!C64</f>
        <v>5099.04</v>
      </c>
      <c r="J55" s="5">
        <f>+august!C62</f>
        <v>5031.94</v>
      </c>
      <c r="K55" s="5">
        <f>+sept!C61</f>
        <v>8672.28</v>
      </c>
      <c r="L55" s="5"/>
      <c r="M55" s="5"/>
      <c r="N55" s="5"/>
      <c r="O55" s="5">
        <f t="shared" si="0"/>
        <v>46418.26</v>
      </c>
    </row>
    <row r="56" spans="1:15" ht="12.75">
      <c r="A56" s="2">
        <v>45</v>
      </c>
      <c r="B56" s="4" t="s">
        <v>73</v>
      </c>
      <c r="C56" s="5">
        <f>11957+1893.43</f>
        <v>13850.43</v>
      </c>
      <c r="D56" s="5">
        <v>25696.56</v>
      </c>
      <c r="E56" s="14">
        <f>+'MARTIE 2015'!C54</f>
        <v>26550.41</v>
      </c>
      <c r="F56" s="25">
        <f>+APRIL!C38</f>
        <v>31500.93</v>
      </c>
      <c r="G56" s="5">
        <f>+mai!C35</f>
        <v>33675.07</v>
      </c>
      <c r="H56" s="5">
        <v>31471.02</v>
      </c>
      <c r="I56" s="5">
        <f>+iulie!C35</f>
        <v>37905.83</v>
      </c>
      <c r="J56" s="5">
        <f>+august!C34</f>
        <v>38907.07</v>
      </c>
      <c r="K56" s="5">
        <f>+sept!C33</f>
        <v>67721.96</v>
      </c>
      <c r="L56" s="5"/>
      <c r="M56" s="5"/>
      <c r="N56" s="5"/>
      <c r="O56" s="5">
        <f t="shared" si="0"/>
        <v>307279.28</v>
      </c>
    </row>
    <row r="57" spans="1:15" ht="12.75">
      <c r="A57" s="2">
        <v>46</v>
      </c>
      <c r="B57" s="4" t="s">
        <v>51</v>
      </c>
      <c r="C57" s="5">
        <f>16240.34+3767.42</f>
        <v>20007.760000000002</v>
      </c>
      <c r="D57" s="5">
        <v>29256.37</v>
      </c>
      <c r="E57" s="14">
        <f>+'MARTIE 2015'!C55</f>
        <v>28898.510000000002</v>
      </c>
      <c r="F57" s="25">
        <f>+APRIL!C67</f>
        <v>28867.47</v>
      </c>
      <c r="G57" s="5">
        <f>+mai!C63</f>
        <v>33819.47</v>
      </c>
      <c r="H57" s="5">
        <v>36354.45</v>
      </c>
      <c r="I57" s="5">
        <f>+iulie!C65</f>
        <v>40664.86</v>
      </c>
      <c r="J57" s="5">
        <f>+august!C63</f>
        <v>28417.4</v>
      </c>
      <c r="K57" s="5">
        <f>+sept!C62</f>
        <v>54449.68</v>
      </c>
      <c r="L57" s="5"/>
      <c r="M57" s="5"/>
      <c r="N57" s="5"/>
      <c r="O57" s="5">
        <f t="shared" si="0"/>
        <v>300735.97000000003</v>
      </c>
    </row>
    <row r="58" spans="1:15" ht="12.75">
      <c r="A58" s="2">
        <v>47</v>
      </c>
      <c r="B58" s="6" t="s">
        <v>52</v>
      </c>
      <c r="C58" s="5">
        <f>46471.91+3129.85</f>
        <v>49601.76</v>
      </c>
      <c r="D58" s="5">
        <v>74350.74</v>
      </c>
      <c r="E58" s="14">
        <f>+'MARTIE 2015'!C56</f>
        <v>75866.28</v>
      </c>
      <c r="F58" s="25">
        <f>+APRIL!C68</f>
        <v>69161.78</v>
      </c>
      <c r="G58" s="5">
        <f>+mai!C64</f>
        <v>77604.05</v>
      </c>
      <c r="H58" s="7">
        <v>87732.34</v>
      </c>
      <c r="I58" s="5">
        <f>+iulie!C66</f>
        <v>84180.28</v>
      </c>
      <c r="J58" s="5">
        <f>+august!C64</f>
        <v>85754.52</v>
      </c>
      <c r="K58" s="5">
        <f>+sept!C63</f>
        <v>156835.92</v>
      </c>
      <c r="L58" s="5"/>
      <c r="M58" s="5"/>
      <c r="N58" s="5"/>
      <c r="O58" s="5">
        <f t="shared" si="0"/>
        <v>761087.67</v>
      </c>
    </row>
    <row r="59" spans="1:15" ht="12.75">
      <c r="A59" s="2">
        <v>48</v>
      </c>
      <c r="B59" s="4" t="s">
        <v>25</v>
      </c>
      <c r="C59" s="5">
        <f>103629.27+41152.68+4339.97</f>
        <v>149121.92</v>
      </c>
      <c r="D59" s="5">
        <f>49564.98+92541+86766.8</f>
        <v>228872.78000000003</v>
      </c>
      <c r="E59" s="14">
        <f>+'MARTIE 2015'!C57</f>
        <v>221181.35000000003</v>
      </c>
      <c r="F59" s="25">
        <f>+APRIL!C39</f>
        <v>250366.76</v>
      </c>
      <c r="G59" s="5">
        <f>+mai!C36</f>
        <v>210267.17</v>
      </c>
      <c r="H59" s="5">
        <v>227319.46</v>
      </c>
      <c r="I59" s="5">
        <f>+iulie!C36</f>
        <v>191572.95</v>
      </c>
      <c r="J59" s="5">
        <f>+august!C35</f>
        <v>177386.45</v>
      </c>
      <c r="K59" s="5">
        <f>+sept!C34</f>
        <v>234603.22</v>
      </c>
      <c r="L59" s="5"/>
      <c r="M59" s="5"/>
      <c r="N59" s="5"/>
      <c r="O59" s="5">
        <f t="shared" si="0"/>
        <v>1890692.0599999998</v>
      </c>
    </row>
    <row r="60" spans="1:15" ht="12.75">
      <c r="A60" s="2">
        <v>49</v>
      </c>
      <c r="B60" s="4" t="s">
        <v>26</v>
      </c>
      <c r="C60" s="5">
        <f>1680.99+323.83+400.46</f>
        <v>2405.2799999999997</v>
      </c>
      <c r="D60" s="5">
        <v>2931.42</v>
      </c>
      <c r="E60" s="14">
        <f>+'MARTIE 2015'!C58</f>
        <v>3122.21</v>
      </c>
      <c r="F60" s="25">
        <f>+APRIL!C40</f>
        <v>3156.28</v>
      </c>
      <c r="G60" s="5">
        <f>+mai!C37</f>
        <v>4032.51</v>
      </c>
      <c r="H60" s="5">
        <v>2134.7</v>
      </c>
      <c r="I60" s="5">
        <f>+iulie!C37</f>
        <v>2615.71</v>
      </c>
      <c r="J60" s="5">
        <v>0</v>
      </c>
      <c r="K60" s="5"/>
      <c r="L60" s="5"/>
      <c r="M60" s="5"/>
      <c r="N60" s="5"/>
      <c r="O60" s="5">
        <f t="shared" si="0"/>
        <v>20398.11</v>
      </c>
    </row>
    <row r="61" spans="1:15" ht="12.75">
      <c r="A61" s="2">
        <v>50</v>
      </c>
      <c r="B61" s="4" t="s">
        <v>27</v>
      </c>
      <c r="C61" s="5">
        <f>902752.56+27340.03</f>
        <v>930092.5900000001</v>
      </c>
      <c r="D61" s="5">
        <f>1479551.15+56082.31</f>
        <v>1535633.46</v>
      </c>
      <c r="E61" s="14">
        <f>+'MARTIE 2015'!C59</f>
        <v>1474111.6099999999</v>
      </c>
      <c r="F61" s="25">
        <f>+APRIL!C41</f>
        <v>1405838.78</v>
      </c>
      <c r="G61" s="5">
        <f>+mai!C38</f>
        <v>1433239.71</v>
      </c>
      <c r="H61" s="5">
        <v>1451748.37</v>
      </c>
      <c r="I61" s="5">
        <f>+iulie!C38</f>
        <v>1446997.72</v>
      </c>
      <c r="J61" s="5">
        <f>+august!C36</f>
        <v>1541668.76</v>
      </c>
      <c r="K61" s="5">
        <f>+sept!C35</f>
        <v>2492954.59</v>
      </c>
      <c r="L61" s="5"/>
      <c r="M61" s="5"/>
      <c r="N61" s="5"/>
      <c r="O61" s="5">
        <f t="shared" si="0"/>
        <v>13712285.59</v>
      </c>
    </row>
    <row r="62" spans="1:15" ht="12.75">
      <c r="A62" s="2">
        <v>51</v>
      </c>
      <c r="B62" s="4" t="s">
        <v>28</v>
      </c>
      <c r="C62" s="5">
        <f>126006.53+6998.98</f>
        <v>133005.51</v>
      </c>
      <c r="D62" s="5">
        <v>212326.24</v>
      </c>
      <c r="E62" s="14">
        <f>+'MARTIE 2015'!C60</f>
        <v>199377.96999999997</v>
      </c>
      <c r="F62" s="25">
        <f>+APRIL!C42</f>
        <v>182598.49</v>
      </c>
      <c r="G62" s="5">
        <f>+mai!C39</f>
        <v>203856.17</v>
      </c>
      <c r="H62" s="5">
        <v>132717.33</v>
      </c>
      <c r="I62" s="5">
        <f>+iulie!C39</f>
        <v>172654.28</v>
      </c>
      <c r="J62" s="5">
        <f>+august!C37</f>
        <v>142356.85</v>
      </c>
      <c r="K62" s="5">
        <f>+sept!C36</f>
        <v>206267.94</v>
      </c>
      <c r="L62" s="5"/>
      <c r="M62" s="5"/>
      <c r="N62" s="5"/>
      <c r="O62" s="5">
        <f t="shared" si="0"/>
        <v>1585160.78</v>
      </c>
    </row>
    <row r="63" spans="1:15" ht="12.75">
      <c r="A63" s="2"/>
      <c r="B63" s="4" t="s">
        <v>178</v>
      </c>
      <c r="C63" s="5"/>
      <c r="D63" s="5"/>
      <c r="E63" s="14"/>
      <c r="F63" s="25"/>
      <c r="G63" s="5"/>
      <c r="H63" s="5"/>
      <c r="I63" s="5">
        <f>+iulie!C40</f>
        <v>22.36</v>
      </c>
      <c r="J63" s="5">
        <f>+august!C38</f>
        <v>85.19</v>
      </c>
      <c r="K63" s="5">
        <f>+sept!C37</f>
        <v>3490.51</v>
      </c>
      <c r="L63" s="5"/>
      <c r="M63" s="5"/>
      <c r="N63" s="5"/>
      <c r="O63" s="5"/>
    </row>
    <row r="64" spans="1:15" ht="12.75">
      <c r="A64" s="2">
        <v>52</v>
      </c>
      <c r="B64" s="4" t="s">
        <v>53</v>
      </c>
      <c r="C64" s="5">
        <f>6458.95+289.05</f>
        <v>6748</v>
      </c>
      <c r="D64" s="5">
        <v>8488.3</v>
      </c>
      <c r="E64" s="14">
        <f>+'MARTIE 2015'!C61</f>
        <v>10618.949999999999</v>
      </c>
      <c r="F64" s="25">
        <f>+APRIL!C69</f>
        <v>8446.78</v>
      </c>
      <c r="G64" s="5">
        <f>+mai!C65</f>
        <v>11272.72</v>
      </c>
      <c r="H64" s="5">
        <v>10771.04</v>
      </c>
      <c r="I64" s="5">
        <f>+iulie!C67</f>
        <v>9837.16</v>
      </c>
      <c r="J64" s="5">
        <f>+august!C65</f>
        <v>7929.37</v>
      </c>
      <c r="K64" s="5">
        <f>+sept!C64</f>
        <v>14913.8</v>
      </c>
      <c r="L64" s="5"/>
      <c r="M64" s="5"/>
      <c r="N64" s="5"/>
      <c r="O64" s="5">
        <f t="shared" si="0"/>
        <v>89026.12</v>
      </c>
    </row>
    <row r="65" spans="1:15" ht="12.75">
      <c r="A65" s="2">
        <v>53</v>
      </c>
      <c r="B65" s="4" t="s">
        <v>31</v>
      </c>
      <c r="C65" s="5">
        <f>73684.9+9443.89</f>
        <v>83128.79</v>
      </c>
      <c r="D65" s="5">
        <v>127356.85</v>
      </c>
      <c r="E65" s="14">
        <f>+'MARTIE 2015'!C62</f>
        <v>166682.22999999998</v>
      </c>
      <c r="F65" s="25">
        <f>+APRIL!C46-128453.26</f>
        <v>167144.59999999998</v>
      </c>
      <c r="G65" s="5">
        <f>+mai!C43</f>
        <v>259609.7</v>
      </c>
      <c r="H65" s="5">
        <v>267734.44</v>
      </c>
      <c r="I65" s="5">
        <f>+iulie!C44</f>
        <v>294701.51</v>
      </c>
      <c r="J65" s="5">
        <f>+august!C42</f>
        <v>271762.49</v>
      </c>
      <c r="K65" s="5">
        <f>+sept!C41</f>
        <v>440355.21</v>
      </c>
      <c r="L65" s="5"/>
      <c r="M65" s="5"/>
      <c r="N65" s="5"/>
      <c r="O65" s="5">
        <f t="shared" si="0"/>
        <v>2078475.8199999998</v>
      </c>
    </row>
    <row r="66" spans="1:15" ht="12.75">
      <c r="A66" s="2">
        <v>54</v>
      </c>
      <c r="B66" s="4" t="s">
        <v>54</v>
      </c>
      <c r="C66" s="5">
        <f>13307.42+3374.6+942.9</f>
        <v>17624.920000000002</v>
      </c>
      <c r="D66" s="5">
        <f>2096.75+9838.25+13890.98+5000</f>
        <v>30825.98</v>
      </c>
      <c r="E66" s="14">
        <f>+'MARTIE 2015'!C63</f>
        <v>31080.23</v>
      </c>
      <c r="F66" s="25">
        <f>+APRIL!C47+APRIL!C70</f>
        <v>33139.97</v>
      </c>
      <c r="G66" s="5">
        <f>+mai!C66</f>
        <v>28332.89</v>
      </c>
      <c r="H66" s="5">
        <v>44438.24</v>
      </c>
      <c r="I66" s="5">
        <f>+iulie!C68</f>
        <v>37651.73</v>
      </c>
      <c r="J66" s="5">
        <f>+august!C66</f>
        <v>35540.61</v>
      </c>
      <c r="K66" s="5">
        <f>+sept!C65</f>
        <v>56455.26</v>
      </c>
      <c r="L66" s="5"/>
      <c r="M66" s="5"/>
      <c r="N66" s="5"/>
      <c r="O66" s="5">
        <f t="shared" si="0"/>
        <v>315089.83</v>
      </c>
    </row>
    <row r="67" spans="1:15" ht="12.75">
      <c r="A67" s="2">
        <v>55</v>
      </c>
      <c r="B67" s="4" t="s">
        <v>32</v>
      </c>
      <c r="C67" s="5">
        <f>25197.9+11529.64+1278.44+2344.98</f>
        <v>40350.96000000001</v>
      </c>
      <c r="D67" s="5">
        <f>177.29+16116.13+35000</f>
        <v>51293.42</v>
      </c>
      <c r="E67" s="14">
        <f>+'MARTIE 2015'!C64</f>
        <v>59899.29000000001</v>
      </c>
      <c r="F67" s="25">
        <f>+APRIL!C48</f>
        <v>48984.24</v>
      </c>
      <c r="G67" s="5">
        <f>+mai!C44</f>
        <v>58544.43</v>
      </c>
      <c r="H67" s="5">
        <v>50839.92</v>
      </c>
      <c r="I67" s="5">
        <f>+iulie!C45</f>
        <v>40322.56</v>
      </c>
      <c r="J67" s="5">
        <f>+august!C43</f>
        <v>45051.1</v>
      </c>
      <c r="K67" s="5">
        <f>+sept!C42</f>
        <v>42398.56</v>
      </c>
      <c r="L67" s="5"/>
      <c r="M67" s="5"/>
      <c r="N67" s="5"/>
      <c r="O67" s="5">
        <f t="shared" si="0"/>
        <v>437684.48</v>
      </c>
    </row>
    <row r="68" spans="1:15" ht="12.75">
      <c r="A68" s="2">
        <v>56</v>
      </c>
      <c r="B68" s="4" t="s">
        <v>30</v>
      </c>
      <c r="C68" s="5">
        <f>53730.7+6453.49</f>
        <v>60184.189999999995</v>
      </c>
      <c r="D68" s="5">
        <v>83934.8</v>
      </c>
      <c r="E68" s="14">
        <f>+'MARTIE 2015'!C65</f>
        <v>83903.92</v>
      </c>
      <c r="F68" s="25">
        <f>+APRIL!C45</f>
        <v>84405.79</v>
      </c>
      <c r="G68" s="5">
        <f>+mai!C42</f>
        <v>99681.29</v>
      </c>
      <c r="H68" s="5">
        <v>91875.99</v>
      </c>
      <c r="I68" s="5">
        <f>+iulie!C43</f>
        <v>109827.12</v>
      </c>
      <c r="J68" s="5">
        <f>+august!C41</f>
        <v>92342.19</v>
      </c>
      <c r="K68" s="5">
        <f>+sept!C40</f>
        <v>150911.23</v>
      </c>
      <c r="L68" s="5"/>
      <c r="M68" s="5"/>
      <c r="N68" s="5"/>
      <c r="O68" s="5">
        <f t="shared" si="0"/>
        <v>857066.5199999998</v>
      </c>
    </row>
    <row r="69" spans="1:15" ht="12.75">
      <c r="A69" s="2">
        <v>57</v>
      </c>
      <c r="B69" s="4" t="s">
        <v>33</v>
      </c>
      <c r="C69" s="5">
        <f>6809.48+10079.67+2949.17</f>
        <v>19838.32</v>
      </c>
      <c r="D69" s="5">
        <v>34406.5</v>
      </c>
      <c r="E69" s="14">
        <f>+'MARTIE 2015'!C66</f>
        <v>34100.450000000004</v>
      </c>
      <c r="F69" s="25">
        <f>+APRIL!C49</f>
        <v>30128.28</v>
      </c>
      <c r="G69" s="5">
        <f>+mai!C45</f>
        <v>43465.17</v>
      </c>
      <c r="H69" s="5">
        <v>38283.55</v>
      </c>
      <c r="I69" s="5">
        <f>+iulie!C46</f>
        <v>43014.11</v>
      </c>
      <c r="J69" s="5">
        <f>+august!C44</f>
        <v>29833.91</v>
      </c>
      <c r="K69" s="5">
        <f>+sept!C43</f>
        <v>53037.85</v>
      </c>
      <c r="L69" s="5"/>
      <c r="M69" s="5"/>
      <c r="N69" s="5"/>
      <c r="O69" s="5">
        <f t="shared" si="0"/>
        <v>326108.13999999996</v>
      </c>
    </row>
    <row r="70" spans="1:15" ht="12.75">
      <c r="A70" s="2">
        <v>58</v>
      </c>
      <c r="B70" s="4" t="s">
        <v>59</v>
      </c>
      <c r="C70" s="5">
        <f>364195.42+23835.52+79.65+10441.25</f>
        <v>398551.84</v>
      </c>
      <c r="D70" s="5">
        <v>715001.39</v>
      </c>
      <c r="E70" s="14">
        <f>+'MARTIE 2015'!C67</f>
        <v>549023.06</v>
      </c>
      <c r="F70" s="25">
        <f>+APRIL!C75</f>
        <v>606784.35</v>
      </c>
      <c r="G70" s="5">
        <f>+mai!C71</f>
        <v>416125.55</v>
      </c>
      <c r="H70" s="5">
        <v>453933.32</v>
      </c>
      <c r="I70" s="5">
        <f>+iulie!C73</f>
        <v>447961.11</v>
      </c>
      <c r="J70" s="5">
        <f>+august!C71</f>
        <v>376061.12</v>
      </c>
      <c r="K70" s="5">
        <f>+sept!C69</f>
        <v>563919.89</v>
      </c>
      <c r="L70" s="5"/>
      <c r="M70" s="5"/>
      <c r="N70" s="5"/>
      <c r="O70" s="5">
        <f t="shared" si="0"/>
        <v>4527361.63</v>
      </c>
    </row>
    <row r="71" spans="1:15" ht="12.75">
      <c r="A71" s="2">
        <v>59</v>
      </c>
      <c r="B71" s="4" t="s">
        <v>60</v>
      </c>
      <c r="C71" s="5">
        <f>28337.81+10.9+1822.38</f>
        <v>30171.090000000004</v>
      </c>
      <c r="D71" s="5">
        <v>38692.58</v>
      </c>
      <c r="E71" s="14">
        <f>+'MARTIE 2015'!C68</f>
        <v>33444.59</v>
      </c>
      <c r="F71" s="25">
        <f>+APRIL!C76</f>
        <v>34129.09</v>
      </c>
      <c r="G71" s="5">
        <f>+mai!C72</f>
        <v>33822.31</v>
      </c>
      <c r="H71" s="5">
        <v>35229.3</v>
      </c>
      <c r="I71" s="5">
        <f>+iulie!C74</f>
        <v>30711.4</v>
      </c>
      <c r="J71" s="5">
        <f>+august!C72</f>
        <v>32527.12</v>
      </c>
      <c r="K71" s="5">
        <f>+sept!C70</f>
        <v>64607.82</v>
      </c>
      <c r="L71" s="5"/>
      <c r="M71" s="5"/>
      <c r="N71" s="5"/>
      <c r="O71" s="5">
        <f t="shared" si="0"/>
        <v>333335.30000000005</v>
      </c>
    </row>
    <row r="72" spans="1:15" ht="12.75">
      <c r="A72" s="2">
        <v>60</v>
      </c>
      <c r="B72" s="4" t="s">
        <v>55</v>
      </c>
      <c r="C72" s="5">
        <f>428.38+4362.94+721</f>
        <v>5512.32</v>
      </c>
      <c r="D72" s="5">
        <f>611.34+4985.87</f>
        <v>5597.21</v>
      </c>
      <c r="E72" s="14">
        <f>+'MARTIE 2015'!C69</f>
        <v>7526.990000000001</v>
      </c>
      <c r="F72" s="25">
        <f>+APRIL!C71</f>
        <v>7865.07</v>
      </c>
      <c r="G72" s="5">
        <f>+mai!C67</f>
        <v>8681.97</v>
      </c>
      <c r="H72" s="5">
        <v>7246.79</v>
      </c>
      <c r="I72" s="5">
        <f>+iulie!C69</f>
        <v>9079.4</v>
      </c>
      <c r="J72" s="5">
        <f>+august!C67</f>
        <v>7637.78</v>
      </c>
      <c r="K72" s="5">
        <f>+sept!C66</f>
        <v>13375.29</v>
      </c>
      <c r="L72" s="5"/>
      <c r="M72" s="5"/>
      <c r="N72" s="5"/>
      <c r="O72" s="5">
        <f t="shared" si="0"/>
        <v>72522.82</v>
      </c>
    </row>
    <row r="73" spans="1:15" ht="12.75">
      <c r="A73" s="2">
        <v>61</v>
      </c>
      <c r="B73" s="4" t="s">
        <v>61</v>
      </c>
      <c r="C73" s="5">
        <f>549.12+6676.01+610.89</f>
        <v>7836.02</v>
      </c>
      <c r="D73" s="5">
        <f>617.82+12074.07</f>
        <v>12691.89</v>
      </c>
      <c r="E73" s="14">
        <f>+'MARTIE 2015'!C70</f>
        <v>12096.25</v>
      </c>
      <c r="F73" s="25">
        <f>+APRIL!C77</f>
        <v>9241.18</v>
      </c>
      <c r="G73" s="5">
        <f>+mai!C73</f>
        <v>8449.7</v>
      </c>
      <c r="H73" s="5">
        <v>11224.39</v>
      </c>
      <c r="I73" s="5">
        <f>+iulie!C75</f>
        <v>8745.1</v>
      </c>
      <c r="J73" s="5">
        <f>+august!C73</f>
        <v>6209.15</v>
      </c>
      <c r="K73" s="5">
        <f>+sept!C71</f>
        <v>5143.29</v>
      </c>
      <c r="L73" s="5"/>
      <c r="M73" s="5"/>
      <c r="N73" s="5"/>
      <c r="O73" s="5">
        <f t="shared" si="0"/>
        <v>81636.96999999999</v>
      </c>
    </row>
    <row r="74" spans="1:15" ht="12.75">
      <c r="A74" s="2">
        <v>62</v>
      </c>
      <c r="B74" s="4" t="s">
        <v>62</v>
      </c>
      <c r="C74" s="5">
        <f>2453.6+6631+1786.97</f>
        <v>10871.57</v>
      </c>
      <c r="D74" s="5">
        <f>4694.74+10000</f>
        <v>14694.74</v>
      </c>
      <c r="E74" s="14">
        <f>+'MARTIE 2015'!C71</f>
        <v>17520.050000000003</v>
      </c>
      <c r="F74" s="25">
        <f>+APRIL!C78</f>
        <v>17688.29</v>
      </c>
      <c r="G74" s="5">
        <f>+mai!C74</f>
        <v>21280.9</v>
      </c>
      <c r="H74" s="5">
        <v>17155.56</v>
      </c>
      <c r="I74" s="5">
        <f>+iulie!C76</f>
        <v>14084.21</v>
      </c>
      <c r="J74" s="5">
        <f>+august!C74</f>
        <v>15597.94</v>
      </c>
      <c r="K74" s="5">
        <f>+sept!C72</f>
        <v>11971.23</v>
      </c>
      <c r="L74" s="5"/>
      <c r="M74" s="5"/>
      <c r="N74" s="5"/>
      <c r="O74" s="5">
        <f t="shared" si="0"/>
        <v>140864.49000000002</v>
      </c>
    </row>
    <row r="75" spans="1:15" ht="12.75">
      <c r="A75" s="2">
        <v>63</v>
      </c>
      <c r="B75" s="4" t="s">
        <v>63</v>
      </c>
      <c r="C75" s="5">
        <f>10017.75+195.5+1617.97</f>
        <v>11831.22</v>
      </c>
      <c r="D75" s="5">
        <v>16677.77</v>
      </c>
      <c r="E75" s="14">
        <f>+'MARTIE 2015'!C72</f>
        <v>19708.72</v>
      </c>
      <c r="F75" s="25">
        <f>+APRIL!C79</f>
        <v>15486.45</v>
      </c>
      <c r="G75" s="5">
        <f>+mai!C75</f>
        <v>21228.1</v>
      </c>
      <c r="H75" s="5">
        <v>18308.6</v>
      </c>
      <c r="I75" s="5">
        <f>+iulie!C77</f>
        <v>24737.93</v>
      </c>
      <c r="J75" s="5">
        <f>+august!C75</f>
        <v>20754.26</v>
      </c>
      <c r="K75" s="5">
        <f>+sept!C73</f>
        <v>34648.56</v>
      </c>
      <c r="L75" s="5"/>
      <c r="M75" s="5"/>
      <c r="N75" s="5"/>
      <c r="O75" s="5">
        <f t="shared" si="0"/>
        <v>183381.61000000002</v>
      </c>
    </row>
    <row r="76" spans="1:15" ht="12.75">
      <c r="A76" s="2">
        <v>64</v>
      </c>
      <c r="B76" s="4" t="s">
        <v>64</v>
      </c>
      <c r="C76" s="5">
        <f>13784.58+840.12</f>
        <v>14624.7</v>
      </c>
      <c r="D76" s="5">
        <v>19553.27</v>
      </c>
      <c r="E76" s="14">
        <f>+'MARTIE 2015'!C73</f>
        <v>16260.23</v>
      </c>
      <c r="F76" s="25">
        <f>+APRIL!C80</f>
        <v>19793.92</v>
      </c>
      <c r="G76" s="5">
        <f>+mai!C76</f>
        <v>23744.68</v>
      </c>
      <c r="H76" s="5">
        <v>32343.63</v>
      </c>
      <c r="I76" s="5">
        <f>+iulie!C78</f>
        <v>37134.87</v>
      </c>
      <c r="J76" s="5">
        <f>+august!C76</f>
        <v>41400.23</v>
      </c>
      <c r="K76" s="5">
        <f>+sept!C74</f>
        <v>126814.7</v>
      </c>
      <c r="L76" s="5"/>
      <c r="M76" s="5"/>
      <c r="N76" s="5"/>
      <c r="O76" s="5">
        <f t="shared" si="0"/>
        <v>331670.23</v>
      </c>
    </row>
    <row r="77" spans="1:15" ht="12.75">
      <c r="A77" s="2">
        <v>65</v>
      </c>
      <c r="B77" s="4" t="s">
        <v>65</v>
      </c>
      <c r="C77" s="5">
        <f>14408.48+1060.04</f>
        <v>15468.52</v>
      </c>
      <c r="D77" s="5">
        <v>27732.94</v>
      </c>
      <c r="E77" s="14">
        <f>+'MARTIE 2015'!C74</f>
        <v>22201.33</v>
      </c>
      <c r="F77" s="25">
        <f>+APRIL!C81</f>
        <v>24593.73</v>
      </c>
      <c r="G77" s="5">
        <f>+mai!C77</f>
        <v>25933.17</v>
      </c>
      <c r="H77" s="5">
        <v>23473.5</v>
      </c>
      <c r="I77" s="5">
        <f>+iulie!C79</f>
        <v>19890.63</v>
      </c>
      <c r="J77" s="5">
        <f>+august!C77</f>
        <v>19863.43</v>
      </c>
      <c r="K77" s="5">
        <f>+sept!C75</f>
        <v>47327.24</v>
      </c>
      <c r="L77" s="5"/>
      <c r="M77" s="5"/>
      <c r="N77" s="5"/>
      <c r="O77" s="5">
        <f t="shared" si="0"/>
        <v>226484.49</v>
      </c>
    </row>
    <row r="78" spans="1:15" ht="12.75">
      <c r="A78" s="2">
        <v>66</v>
      </c>
      <c r="B78" s="4" t="s">
        <v>56</v>
      </c>
      <c r="C78" s="5">
        <f>17555.69+2852.24</f>
        <v>20407.93</v>
      </c>
      <c r="D78" s="5">
        <v>32057.92</v>
      </c>
      <c r="E78" s="14">
        <f>+'MARTIE 2015'!C75</f>
        <v>31413.38</v>
      </c>
      <c r="F78" s="25">
        <f>+APRIL!C72</f>
        <v>32770.54</v>
      </c>
      <c r="G78" s="5">
        <f>+mai!C68</f>
        <v>31376.99</v>
      </c>
      <c r="H78" s="5">
        <v>30983.1</v>
      </c>
      <c r="I78" s="5">
        <f>+iulie!C70</f>
        <v>30756.21</v>
      </c>
      <c r="J78" s="5">
        <f>+august!C68</f>
        <v>23925.54</v>
      </c>
      <c r="K78" s="5">
        <f>+sept!C76</f>
        <v>20212.45</v>
      </c>
      <c r="L78" s="5"/>
      <c r="M78" s="5"/>
      <c r="N78" s="5"/>
      <c r="O78" s="5">
        <f>SUM(C78:N78)</f>
        <v>253904.06</v>
      </c>
    </row>
    <row r="79" spans="1:15" ht="12.75">
      <c r="A79" s="2">
        <v>67</v>
      </c>
      <c r="B79" s="4" t="s">
        <v>57</v>
      </c>
      <c r="C79" s="5">
        <f>18934.46+1567.45</f>
        <v>20501.91</v>
      </c>
      <c r="D79" s="5">
        <v>28975.43</v>
      </c>
      <c r="E79" s="14">
        <f>+'MARTIE 2015'!C76</f>
        <v>25248.88</v>
      </c>
      <c r="F79" s="25">
        <f>+APRIL!C73</f>
        <v>16798.66</v>
      </c>
      <c r="G79" s="5">
        <f>+mai!C69</f>
        <v>18154.54</v>
      </c>
      <c r="H79" s="5">
        <v>23549.42</v>
      </c>
      <c r="I79" s="5">
        <f>+iulie!C71</f>
        <v>23580.31</v>
      </c>
      <c r="J79" s="5">
        <f>+august!C69</f>
        <v>34678.6</v>
      </c>
      <c r="K79" s="5">
        <f>+sept!C67</f>
        <v>58640.79</v>
      </c>
      <c r="L79" s="5"/>
      <c r="M79" s="5"/>
      <c r="N79" s="5"/>
      <c r="O79" s="5">
        <f>SUM(C79:N79)</f>
        <v>250128.54000000004</v>
      </c>
    </row>
    <row r="80" spans="1:15" ht="12.75">
      <c r="A80" s="2">
        <v>68</v>
      </c>
      <c r="B80" s="4" t="s">
        <v>66</v>
      </c>
      <c r="C80" s="5">
        <f>64198.09+8352.16</f>
        <v>72550.25</v>
      </c>
      <c r="D80" s="5">
        <v>98184.52</v>
      </c>
      <c r="E80" s="14">
        <f>+'MARTIE 2015'!C77</f>
        <v>99433.05</v>
      </c>
      <c r="F80" s="25">
        <f>+APRIL!C82</f>
        <v>113538.8</v>
      </c>
      <c r="G80" s="5">
        <f>+mai!C78</f>
        <v>106470.96</v>
      </c>
      <c r="H80" s="5">
        <v>80815.58</v>
      </c>
      <c r="I80" s="5">
        <f>+iulie!C80</f>
        <v>103268.82</v>
      </c>
      <c r="J80" s="5">
        <f>+august!C78</f>
        <v>82341.46</v>
      </c>
      <c r="K80" s="5">
        <f>+sept!C77</f>
        <v>134772.78</v>
      </c>
      <c r="L80" s="5"/>
      <c r="M80" s="5"/>
      <c r="N80" s="5"/>
      <c r="O80" s="5">
        <f>SUM(C80:N80)</f>
        <v>891376.22</v>
      </c>
    </row>
    <row r="81" spans="1:15" ht="12.75">
      <c r="A81" s="2">
        <v>69</v>
      </c>
      <c r="B81" s="4" t="s">
        <v>58</v>
      </c>
      <c r="C81" s="5">
        <f>8417.1+1948.06</f>
        <v>10365.16</v>
      </c>
      <c r="D81" s="5">
        <v>14183.8</v>
      </c>
      <c r="E81" s="14">
        <f>+'MARTIE 2015'!C78</f>
        <v>14010.720000000001</v>
      </c>
      <c r="F81" s="25">
        <f>+APRIL!C74</f>
        <v>17675.08</v>
      </c>
      <c r="G81" s="5">
        <f>+mai!C70</f>
        <v>22557.24</v>
      </c>
      <c r="H81" s="5">
        <v>14219.82</v>
      </c>
      <c r="I81" s="5">
        <f>+iulie!C72</f>
        <v>15524.79</v>
      </c>
      <c r="J81" s="5">
        <f>+august!C70</f>
        <v>16534.21</v>
      </c>
      <c r="K81" s="5">
        <f>+sept!C68</f>
        <v>22673.06</v>
      </c>
      <c r="L81" s="5"/>
      <c r="M81" s="5"/>
      <c r="N81" s="5"/>
      <c r="O81" s="5">
        <f>SUM(C81:N81)</f>
        <v>147743.88</v>
      </c>
    </row>
    <row r="82" spans="1:15" ht="12.75">
      <c r="A82" s="2">
        <v>70</v>
      </c>
      <c r="B82" s="4" t="s">
        <v>67</v>
      </c>
      <c r="C82" s="5">
        <f>105608.4+6021.77+189.01+9958.35</f>
        <v>121777.53</v>
      </c>
      <c r="D82" s="5">
        <v>167843.16</v>
      </c>
      <c r="E82" s="14">
        <f>+'MARTIE 2015'!C79</f>
        <v>171027.53</v>
      </c>
      <c r="F82" s="25">
        <f>+APRIL!C83</f>
        <v>174317.73</v>
      </c>
      <c r="G82" s="5">
        <f>+mai!C79</f>
        <v>193809.2</v>
      </c>
      <c r="H82" s="5">
        <v>188741.88</v>
      </c>
      <c r="I82" s="5">
        <f>+iulie!C81</f>
        <v>186864.54</v>
      </c>
      <c r="J82" s="5">
        <f>+august!C79</f>
        <v>164887.91</v>
      </c>
      <c r="K82" s="5">
        <f>+sept!C78</f>
        <v>351968.15</v>
      </c>
      <c r="L82" s="5"/>
      <c r="M82" s="5"/>
      <c r="N82" s="5"/>
      <c r="O82" s="5">
        <f>SUM(C82:N82)</f>
        <v>1721237.63</v>
      </c>
    </row>
    <row r="83" spans="1:15" ht="12.75">
      <c r="A83" s="4"/>
      <c r="B83" s="8" t="s">
        <v>68</v>
      </c>
      <c r="C83" s="9">
        <f>SUM(C9:C82)</f>
        <v>4251460</v>
      </c>
      <c r="D83" s="9">
        <f aca="true" t="shared" si="1" ref="D83:O83">SUM(D9:D82)</f>
        <v>6706599.999999999</v>
      </c>
      <c r="E83" s="9">
        <f t="shared" si="1"/>
        <v>6506490.000000001</v>
      </c>
      <c r="F83" s="32">
        <f t="shared" si="1"/>
        <v>6559280.000000001</v>
      </c>
      <c r="G83" s="9">
        <f t="shared" si="1"/>
        <v>6885770.059999998</v>
      </c>
      <c r="H83" s="9">
        <f t="shared" si="1"/>
        <v>6568445.529999999</v>
      </c>
      <c r="I83" s="9">
        <f>SUM(I9:I82)</f>
        <v>6824699.760000002</v>
      </c>
      <c r="J83" s="9">
        <f t="shared" si="1"/>
        <v>6429151.310000002</v>
      </c>
      <c r="K83" s="9">
        <f t="shared" si="1"/>
        <v>10883283.399999999</v>
      </c>
      <c r="L83" s="9">
        <f t="shared" si="1"/>
        <v>0</v>
      </c>
      <c r="M83" s="9">
        <f t="shared" si="1"/>
        <v>0</v>
      </c>
      <c r="N83" s="9">
        <f t="shared" si="1"/>
        <v>0</v>
      </c>
      <c r="O83" s="9">
        <f t="shared" si="1"/>
        <v>61563481.08000001</v>
      </c>
    </row>
    <row r="84" spans="6:15" ht="12.75">
      <c r="F84" s="10"/>
      <c r="O84" s="11"/>
    </row>
    <row r="85" spans="6:15" ht="12.75">
      <c r="F85" s="11"/>
      <c r="I85">
        <f>6592627.18+232072.58</f>
        <v>6824699.76</v>
      </c>
      <c r="J85" s="11">
        <v>6429151.31</v>
      </c>
      <c r="O85" s="11"/>
    </row>
    <row r="86" spans="9:10" ht="12.75">
      <c r="I86" s="11">
        <f>+I83-I85</f>
        <v>0</v>
      </c>
      <c r="J86" s="11">
        <f>+J83-J85</f>
        <v>0</v>
      </c>
    </row>
    <row r="88" ht="12.75">
      <c r="I88" s="11"/>
    </row>
  </sheetData>
  <sheetProtection/>
  <printOptions/>
  <pageMargins left="0.7480314960629921" right="0.1968503937007874" top="0.5118110236220472" bottom="0.15748031496062992" header="0.5118110236220472" footer="0.1574803149606299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selection activeCell="A9" sqref="A9:C9"/>
    </sheetView>
  </sheetViews>
  <sheetFormatPr defaultColWidth="9.140625" defaultRowHeight="12.75"/>
  <cols>
    <col min="1" max="1" width="7.57421875" style="0" customWidth="1"/>
    <col min="2" max="2" width="44.57421875" style="0" customWidth="1"/>
    <col min="3" max="3" width="15.421875" style="0" customWidth="1"/>
  </cols>
  <sheetData>
    <row r="1" spans="1:3" ht="12.75">
      <c r="A1" s="20" t="s">
        <v>69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70</v>
      </c>
      <c r="C4" s="17"/>
    </row>
    <row r="5" spans="1:3" ht="12.75">
      <c r="A5" s="21"/>
      <c r="B5" s="1" t="s">
        <v>180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2</v>
      </c>
      <c r="B9" s="3" t="s">
        <v>3</v>
      </c>
      <c r="C9" s="23" t="s">
        <v>76</v>
      </c>
    </row>
    <row r="10" spans="1:3" ht="12.75">
      <c r="A10" s="34">
        <v>1</v>
      </c>
      <c r="B10" s="4" t="s">
        <v>104</v>
      </c>
      <c r="C10" s="5">
        <v>44723.88</v>
      </c>
    </row>
    <row r="11" spans="1:3" ht="12.75">
      <c r="A11" s="34">
        <v>2</v>
      </c>
      <c r="B11" s="4" t="s">
        <v>105</v>
      </c>
      <c r="C11" s="5">
        <v>288359.3</v>
      </c>
    </row>
    <row r="12" spans="1:3" ht="12.75">
      <c r="A12" s="34">
        <v>3</v>
      </c>
      <c r="B12" s="4" t="s">
        <v>181</v>
      </c>
      <c r="C12" s="5">
        <v>4685.71</v>
      </c>
    </row>
    <row r="13" spans="1:3" ht="12.75">
      <c r="A13" s="34">
        <v>4</v>
      </c>
      <c r="B13" s="4" t="s">
        <v>106</v>
      </c>
      <c r="C13" s="5">
        <v>101736.66</v>
      </c>
    </row>
    <row r="14" spans="1:3" ht="12.75">
      <c r="A14" s="34">
        <v>5</v>
      </c>
      <c r="B14" s="4" t="s">
        <v>107</v>
      </c>
      <c r="C14" s="5">
        <v>34901.15</v>
      </c>
    </row>
    <row r="15" spans="1:3" ht="12.75">
      <c r="A15" s="34">
        <v>6</v>
      </c>
      <c r="B15" s="4" t="s">
        <v>108</v>
      </c>
      <c r="C15" s="5">
        <v>20358.85</v>
      </c>
    </row>
    <row r="16" spans="1:3" ht="12.75">
      <c r="A16" s="34">
        <v>7</v>
      </c>
      <c r="B16" s="4" t="s">
        <v>10</v>
      </c>
      <c r="C16" s="5">
        <v>7657.9</v>
      </c>
    </row>
    <row r="17" spans="1:3" ht="12.75">
      <c r="A17" s="34">
        <v>8</v>
      </c>
      <c r="B17" s="4" t="s">
        <v>11</v>
      </c>
      <c r="C17" s="5">
        <v>87877.58</v>
      </c>
    </row>
    <row r="18" spans="1:3" ht="12.75">
      <c r="A18" s="34">
        <v>9</v>
      </c>
      <c r="B18" s="4" t="s">
        <v>109</v>
      </c>
      <c r="C18" s="5">
        <v>145192.67</v>
      </c>
    </row>
    <row r="19" spans="1:3" ht="12.75">
      <c r="A19" s="34">
        <v>10</v>
      </c>
      <c r="B19" s="4" t="s">
        <v>110</v>
      </c>
      <c r="C19" s="5">
        <v>75678.37</v>
      </c>
    </row>
    <row r="20" spans="1:3" ht="12.75">
      <c r="A20" s="34">
        <v>11</v>
      </c>
      <c r="B20" s="4" t="s">
        <v>111</v>
      </c>
      <c r="C20" s="5">
        <v>12406.04</v>
      </c>
    </row>
    <row r="21" spans="1:3" ht="12.75">
      <c r="A21" s="34">
        <v>12</v>
      </c>
      <c r="B21" s="4" t="s">
        <v>112</v>
      </c>
      <c r="C21" s="5">
        <v>340337.51</v>
      </c>
    </row>
    <row r="22" spans="1:3" ht="12.75">
      <c r="A22" s="34">
        <v>13</v>
      </c>
      <c r="B22" s="4" t="s">
        <v>114</v>
      </c>
      <c r="C22" s="5">
        <v>4295.79</v>
      </c>
    </row>
    <row r="23" spans="1:3" ht="12.75">
      <c r="A23" s="34">
        <v>14</v>
      </c>
      <c r="B23" s="4" t="s">
        <v>115</v>
      </c>
      <c r="C23" s="5">
        <v>16475.54</v>
      </c>
    </row>
    <row r="24" spans="1:3" ht="12.75">
      <c r="A24" s="34">
        <v>15</v>
      </c>
      <c r="B24" s="4" t="s">
        <v>116</v>
      </c>
      <c r="C24" s="5">
        <v>40171.17</v>
      </c>
    </row>
    <row r="25" spans="1:3" ht="12.75">
      <c r="A25" s="34">
        <v>16</v>
      </c>
      <c r="B25" s="4" t="s">
        <v>19</v>
      </c>
      <c r="C25" s="5">
        <v>124301.34</v>
      </c>
    </row>
    <row r="26" spans="1:3" ht="12.75">
      <c r="A26" s="34">
        <v>17</v>
      </c>
      <c r="B26" s="4" t="s">
        <v>176</v>
      </c>
      <c r="C26" s="5">
        <v>786.57</v>
      </c>
    </row>
    <row r="27" spans="1:3" ht="12.75">
      <c r="A27" s="34">
        <v>18</v>
      </c>
      <c r="B27" s="4" t="s">
        <v>117</v>
      </c>
      <c r="C27" s="5">
        <v>773528.95</v>
      </c>
    </row>
    <row r="28" spans="1:3" ht="12.75">
      <c r="A28" s="34">
        <v>19</v>
      </c>
      <c r="B28" s="4" t="s">
        <v>118</v>
      </c>
      <c r="C28" s="5">
        <v>127686.82</v>
      </c>
    </row>
    <row r="29" spans="1:3" ht="12.75">
      <c r="A29" s="34">
        <v>20</v>
      </c>
      <c r="B29" s="4" t="s">
        <v>119</v>
      </c>
      <c r="C29" s="5">
        <v>55771.71</v>
      </c>
    </row>
    <row r="30" spans="1:3" ht="12.75">
      <c r="A30" s="34">
        <v>21</v>
      </c>
      <c r="B30" s="4" t="s">
        <v>120</v>
      </c>
      <c r="C30" s="5">
        <v>5641</v>
      </c>
    </row>
    <row r="31" spans="1:3" ht="12.75">
      <c r="A31" s="34">
        <v>22</v>
      </c>
      <c r="B31" s="4" t="s">
        <v>72</v>
      </c>
      <c r="C31" s="5">
        <v>9413.23</v>
      </c>
    </row>
    <row r="32" spans="1:3" ht="12.75">
      <c r="A32" s="34">
        <v>23</v>
      </c>
      <c r="B32" s="4" t="s">
        <v>177</v>
      </c>
      <c r="C32" s="5">
        <v>20.77</v>
      </c>
    </row>
    <row r="33" spans="1:3" ht="12.75">
      <c r="A33" s="34">
        <v>24</v>
      </c>
      <c r="B33" s="4" t="s">
        <v>121</v>
      </c>
      <c r="C33" s="5">
        <v>65468.16</v>
      </c>
    </row>
    <row r="34" spans="1:3" ht="12.75">
      <c r="A34" s="34">
        <v>25</v>
      </c>
      <c r="B34" s="4" t="s">
        <v>73</v>
      </c>
      <c r="C34" s="5">
        <v>38907.07</v>
      </c>
    </row>
    <row r="35" spans="1:3" ht="12.75">
      <c r="A35" s="34">
        <v>26</v>
      </c>
      <c r="B35" s="4" t="s">
        <v>122</v>
      </c>
      <c r="C35" s="5">
        <v>177386.45</v>
      </c>
    </row>
    <row r="36" spans="1:3" ht="12.75">
      <c r="A36" s="34">
        <v>27</v>
      </c>
      <c r="B36" s="4" t="s">
        <v>124</v>
      </c>
      <c r="C36" s="5">
        <v>1541668.76</v>
      </c>
    </row>
    <row r="37" spans="1:3" ht="12.75">
      <c r="A37" s="34">
        <v>28</v>
      </c>
      <c r="B37" s="4" t="s">
        <v>28</v>
      </c>
      <c r="C37" s="5">
        <v>142356.85</v>
      </c>
    </row>
    <row r="38" spans="1:3" ht="12.75">
      <c r="A38" s="34">
        <v>29</v>
      </c>
      <c r="B38" s="4" t="s">
        <v>178</v>
      </c>
      <c r="C38" s="5">
        <v>85.19</v>
      </c>
    </row>
    <row r="39" spans="1:3" ht="12.75">
      <c r="A39" s="34">
        <v>30</v>
      </c>
      <c r="B39" s="4" t="s">
        <v>125</v>
      </c>
      <c r="C39" s="5">
        <v>20965.04</v>
      </c>
    </row>
    <row r="40" spans="1:3" ht="12.75">
      <c r="A40" s="34">
        <v>31</v>
      </c>
      <c r="B40" s="4" t="s">
        <v>126</v>
      </c>
      <c r="C40" s="5">
        <v>30549.1</v>
      </c>
    </row>
    <row r="41" spans="1:3" ht="12.75">
      <c r="A41" s="34">
        <v>32</v>
      </c>
      <c r="B41" s="4" t="s">
        <v>127</v>
      </c>
      <c r="C41" s="5">
        <v>92342.19</v>
      </c>
    </row>
    <row r="42" spans="1:3" ht="12.75">
      <c r="A42" s="34">
        <v>33</v>
      </c>
      <c r="B42" s="4" t="s">
        <v>128</v>
      </c>
      <c r="C42" s="5">
        <v>271762.49</v>
      </c>
    </row>
    <row r="43" spans="1:3" ht="12.75">
      <c r="A43" s="34">
        <v>34</v>
      </c>
      <c r="B43" s="4" t="s">
        <v>129</v>
      </c>
      <c r="C43" s="5">
        <v>45051.1</v>
      </c>
    </row>
    <row r="44" spans="1:3" ht="12.75">
      <c r="A44" s="34">
        <v>35</v>
      </c>
      <c r="B44" s="4" t="s">
        <v>33</v>
      </c>
      <c r="C44" s="5">
        <v>29833.91</v>
      </c>
    </row>
    <row r="45" spans="1:3" ht="12.75">
      <c r="A45" s="34">
        <v>36</v>
      </c>
      <c r="B45" s="4" t="s">
        <v>158</v>
      </c>
      <c r="C45" s="5">
        <v>14870.26</v>
      </c>
    </row>
    <row r="46" spans="1:3" ht="12.75">
      <c r="A46" s="34">
        <v>37</v>
      </c>
      <c r="B46" s="4" t="s">
        <v>130</v>
      </c>
      <c r="C46" s="5">
        <v>13410.06</v>
      </c>
    </row>
    <row r="47" spans="1:3" ht="12.75">
      <c r="A47" s="34">
        <v>38</v>
      </c>
      <c r="B47" s="4" t="s">
        <v>131</v>
      </c>
      <c r="C47" s="5">
        <v>215200.03</v>
      </c>
    </row>
    <row r="48" spans="1:3" ht="12.75">
      <c r="A48" s="34">
        <v>39</v>
      </c>
      <c r="B48" s="4" t="s">
        <v>132</v>
      </c>
      <c r="C48" s="5">
        <v>8180.25</v>
      </c>
    </row>
    <row r="49" spans="1:3" ht="12.75">
      <c r="A49" s="34">
        <v>40</v>
      </c>
      <c r="B49" s="4" t="s">
        <v>133</v>
      </c>
      <c r="C49" s="5">
        <v>57787.06</v>
      </c>
    </row>
    <row r="50" spans="1:3" ht="12.75">
      <c r="A50" s="34">
        <v>41</v>
      </c>
      <c r="B50" s="4" t="s">
        <v>134</v>
      </c>
      <c r="C50" s="5">
        <v>36898.89</v>
      </c>
    </row>
    <row r="51" spans="1:3" ht="12.75">
      <c r="A51" s="34">
        <v>42</v>
      </c>
      <c r="B51" s="4" t="s">
        <v>175</v>
      </c>
      <c r="C51" s="5">
        <v>4242.66</v>
      </c>
    </row>
    <row r="52" spans="1:3" ht="12.75">
      <c r="A52" s="34">
        <v>43</v>
      </c>
      <c r="B52" s="4" t="s">
        <v>135</v>
      </c>
      <c r="C52" s="5">
        <v>33500.07</v>
      </c>
    </row>
    <row r="53" spans="1:3" ht="12.75">
      <c r="A53" s="34">
        <v>44</v>
      </c>
      <c r="B53" s="4" t="s">
        <v>136</v>
      </c>
      <c r="C53" s="5">
        <v>59345.51</v>
      </c>
    </row>
    <row r="54" spans="1:3" ht="12.75">
      <c r="A54" s="34">
        <v>45</v>
      </c>
      <c r="B54" s="4" t="s">
        <v>179</v>
      </c>
      <c r="C54" s="5">
        <v>257.21</v>
      </c>
    </row>
    <row r="55" spans="1:3" ht="12.75">
      <c r="A55" s="34">
        <v>46</v>
      </c>
      <c r="B55" s="4" t="s">
        <v>137</v>
      </c>
      <c r="C55" s="5">
        <v>8346.97</v>
      </c>
    </row>
    <row r="56" spans="1:3" ht="12.75">
      <c r="A56" s="34">
        <v>47</v>
      </c>
      <c r="B56" s="4" t="s">
        <v>138</v>
      </c>
      <c r="C56" s="5">
        <v>15847.78</v>
      </c>
    </row>
    <row r="57" spans="1:3" ht="12.75">
      <c r="A57" s="34">
        <v>48</v>
      </c>
      <c r="B57" s="4" t="s">
        <v>139</v>
      </c>
      <c r="C57" s="5">
        <v>21683.44</v>
      </c>
    </row>
    <row r="58" spans="1:3" ht="12.75">
      <c r="A58" s="34">
        <v>49</v>
      </c>
      <c r="B58" s="4" t="s">
        <v>140</v>
      </c>
      <c r="C58" s="5">
        <v>26471.02</v>
      </c>
    </row>
    <row r="59" spans="1:3" ht="12.75">
      <c r="A59" s="34">
        <v>50</v>
      </c>
      <c r="B59" s="4" t="s">
        <v>141</v>
      </c>
      <c r="C59" s="5">
        <v>66989.35</v>
      </c>
    </row>
    <row r="60" spans="1:3" ht="12.75">
      <c r="A60" s="34">
        <v>51</v>
      </c>
      <c r="B60" s="4" t="s">
        <v>142</v>
      </c>
      <c r="C60" s="5">
        <v>27578.22</v>
      </c>
    </row>
    <row r="61" spans="1:3" ht="12.75">
      <c r="A61" s="34">
        <v>52</v>
      </c>
      <c r="B61" s="4" t="s">
        <v>143</v>
      </c>
      <c r="C61" s="5">
        <v>35065.12</v>
      </c>
    </row>
    <row r="62" spans="1:3" ht="12.75">
      <c r="A62" s="34">
        <v>53</v>
      </c>
      <c r="B62" s="4" t="s">
        <v>144</v>
      </c>
      <c r="C62" s="5">
        <v>5031.94</v>
      </c>
    </row>
    <row r="63" spans="1:3" ht="12.75">
      <c r="A63" s="34">
        <v>54</v>
      </c>
      <c r="B63" s="4" t="s">
        <v>145</v>
      </c>
      <c r="C63" s="5">
        <v>28417.4</v>
      </c>
    </row>
    <row r="64" spans="1:3" ht="12.75">
      <c r="A64" s="34">
        <v>55</v>
      </c>
      <c r="B64" s="4" t="s">
        <v>146</v>
      </c>
      <c r="C64" s="5">
        <v>85754.52</v>
      </c>
    </row>
    <row r="65" spans="1:3" ht="12.75">
      <c r="A65" s="34">
        <v>56</v>
      </c>
      <c r="B65" s="4" t="s">
        <v>147</v>
      </c>
      <c r="C65" s="5">
        <v>7929.37</v>
      </c>
    </row>
    <row r="66" spans="1:3" ht="12.75">
      <c r="A66" s="34">
        <v>57</v>
      </c>
      <c r="B66" s="4" t="s">
        <v>148</v>
      </c>
      <c r="C66" s="5">
        <v>35540.61</v>
      </c>
    </row>
    <row r="67" spans="1:3" ht="12.75">
      <c r="A67" s="34">
        <v>58</v>
      </c>
      <c r="B67" s="4" t="s">
        <v>149</v>
      </c>
      <c r="C67" s="5">
        <v>7637.78</v>
      </c>
    </row>
    <row r="68" spans="1:3" ht="12.75">
      <c r="A68" s="34">
        <v>59</v>
      </c>
      <c r="B68" s="4" t="s">
        <v>182</v>
      </c>
      <c r="C68" s="5">
        <v>23925.54</v>
      </c>
    </row>
    <row r="69" spans="1:3" ht="12.75">
      <c r="A69" s="34">
        <v>60</v>
      </c>
      <c r="B69" s="4" t="s">
        <v>150</v>
      </c>
      <c r="C69" s="5">
        <v>34678.6</v>
      </c>
    </row>
    <row r="70" spans="1:3" ht="12.75">
      <c r="A70" s="34">
        <v>61</v>
      </c>
      <c r="B70" s="4" t="s">
        <v>151</v>
      </c>
      <c r="C70" s="5">
        <v>16534.21</v>
      </c>
    </row>
    <row r="71" spans="1:3" ht="12.75">
      <c r="A71" s="34">
        <v>62</v>
      </c>
      <c r="B71" s="4" t="s">
        <v>183</v>
      </c>
      <c r="C71" s="5">
        <v>376061.12</v>
      </c>
    </row>
    <row r="72" spans="1:3" ht="12.75">
      <c r="A72" s="34">
        <v>63</v>
      </c>
      <c r="B72" s="4" t="s">
        <v>153</v>
      </c>
      <c r="C72" s="5">
        <v>32527.12</v>
      </c>
    </row>
    <row r="73" spans="1:3" ht="12.75">
      <c r="A73" s="34">
        <v>64</v>
      </c>
      <c r="B73" s="4" t="s">
        <v>61</v>
      </c>
      <c r="C73" s="5">
        <v>6209.15</v>
      </c>
    </row>
    <row r="74" spans="1:3" ht="12.75">
      <c r="A74" s="34">
        <v>65</v>
      </c>
      <c r="B74" s="4" t="s">
        <v>169</v>
      </c>
      <c r="C74" s="5">
        <v>15597.94</v>
      </c>
    </row>
    <row r="75" spans="1:3" ht="12.75">
      <c r="A75" s="34">
        <v>66</v>
      </c>
      <c r="B75" s="4" t="s">
        <v>154</v>
      </c>
      <c r="C75" s="5">
        <v>20754.26</v>
      </c>
    </row>
    <row r="76" spans="1:3" ht="12.75">
      <c r="A76" s="34">
        <v>67</v>
      </c>
      <c r="B76" s="4" t="s">
        <v>64</v>
      </c>
      <c r="C76" s="5">
        <v>41400.23</v>
      </c>
    </row>
    <row r="77" spans="1:3" ht="12.75">
      <c r="A77" s="34">
        <v>68</v>
      </c>
      <c r="B77" s="4" t="s">
        <v>65</v>
      </c>
      <c r="C77" s="5">
        <v>19863.43</v>
      </c>
    </row>
    <row r="78" spans="1:3" ht="12.75">
      <c r="A78" s="34">
        <v>69</v>
      </c>
      <c r="B78" s="4" t="s">
        <v>101</v>
      </c>
      <c r="C78" s="5">
        <v>82341.46</v>
      </c>
    </row>
    <row r="79" spans="1:3" ht="12.75">
      <c r="A79" s="34">
        <v>70</v>
      </c>
      <c r="B79" s="4" t="s">
        <v>67</v>
      </c>
      <c r="C79" s="5">
        <v>164887.91</v>
      </c>
    </row>
    <row r="80" spans="1:3" ht="12.75">
      <c r="A80" s="34"/>
      <c r="B80" s="36" t="s">
        <v>4</v>
      </c>
      <c r="C80" s="35">
        <f>SUM(C10:C79)</f>
        <v>6429151.3100000005</v>
      </c>
    </row>
    <row r="83" ht="12.75">
      <c r="C83" s="11">
        <v>6429151.31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58">
      <selection activeCell="E67" sqref="E67"/>
    </sheetView>
  </sheetViews>
  <sheetFormatPr defaultColWidth="9.140625" defaultRowHeight="12.75"/>
  <cols>
    <col min="2" max="2" width="34.00390625" style="0" customWidth="1"/>
    <col min="3" max="3" width="17.57421875" style="0" customWidth="1"/>
    <col min="6" max="6" width="11.57421875" style="0" customWidth="1"/>
  </cols>
  <sheetData>
    <row r="1" spans="1:3" ht="12.75">
      <c r="A1" s="20" t="s">
        <v>69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70</v>
      </c>
      <c r="C4" s="17"/>
    </row>
    <row r="5" spans="1:3" ht="12.75">
      <c r="A5" s="21"/>
      <c r="B5" s="1" t="s">
        <v>173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2</v>
      </c>
      <c r="B9" s="3" t="s">
        <v>3</v>
      </c>
      <c r="C9" s="23" t="s">
        <v>76</v>
      </c>
    </row>
    <row r="10" spans="1:6" ht="12.75">
      <c r="A10" s="24">
        <v>1</v>
      </c>
      <c r="B10" s="4" t="s">
        <v>104</v>
      </c>
      <c r="C10" s="25">
        <v>48804.21</v>
      </c>
      <c r="F10" s="11"/>
    </row>
    <row r="11" spans="1:6" ht="12.75">
      <c r="A11" s="24">
        <v>2</v>
      </c>
      <c r="B11" s="4" t="s">
        <v>105</v>
      </c>
      <c r="C11" s="25">
        <v>295511.46</v>
      </c>
      <c r="F11" s="11"/>
    </row>
    <row r="12" spans="1:6" ht="12.75">
      <c r="A12" s="24">
        <v>3</v>
      </c>
      <c r="B12" s="4" t="s">
        <v>7</v>
      </c>
      <c r="C12" s="25">
        <v>4649.53</v>
      </c>
      <c r="F12" s="11"/>
    </row>
    <row r="13" spans="1:6" ht="12.75">
      <c r="A13" s="24">
        <v>4</v>
      </c>
      <c r="B13" s="4" t="s">
        <v>106</v>
      </c>
      <c r="C13" s="25">
        <v>101158.42</v>
      </c>
      <c r="F13" s="11"/>
    </row>
    <row r="14" spans="1:6" ht="12.75">
      <c r="A14" s="24">
        <v>5</v>
      </c>
      <c r="B14" s="4" t="s">
        <v>107</v>
      </c>
      <c r="C14" s="25">
        <v>35660.2</v>
      </c>
      <c r="F14" s="11"/>
    </row>
    <row r="15" spans="1:6" ht="12.75">
      <c r="A15" s="24">
        <v>6</v>
      </c>
      <c r="B15" s="4" t="s">
        <v>108</v>
      </c>
      <c r="C15" s="25">
        <v>18309.04</v>
      </c>
      <c r="F15" s="11"/>
    </row>
    <row r="16" spans="1:6" ht="12.75">
      <c r="A16" s="24">
        <v>7</v>
      </c>
      <c r="B16" s="4" t="s">
        <v>10</v>
      </c>
      <c r="C16" s="25">
        <v>10882.36</v>
      </c>
      <c r="F16" s="11"/>
    </row>
    <row r="17" spans="1:6" ht="12.75">
      <c r="A17" s="24">
        <v>8</v>
      </c>
      <c r="B17" s="4" t="s">
        <v>11</v>
      </c>
      <c r="C17" s="25">
        <v>80936.4</v>
      </c>
      <c r="F17" s="11"/>
    </row>
    <row r="18" spans="1:6" ht="12.75">
      <c r="A18" s="24">
        <v>9</v>
      </c>
      <c r="B18" s="4" t="s">
        <v>109</v>
      </c>
      <c r="C18" s="25">
        <v>148500.48</v>
      </c>
      <c r="F18" s="11"/>
    </row>
    <row r="19" spans="1:6" ht="12.75">
      <c r="A19" s="24">
        <v>10</v>
      </c>
      <c r="B19" s="4" t="s">
        <v>110</v>
      </c>
      <c r="C19" s="25">
        <v>86894.54</v>
      </c>
      <c r="F19" s="11"/>
    </row>
    <row r="20" spans="1:6" ht="12.75">
      <c r="A20" s="24">
        <v>11</v>
      </c>
      <c r="B20" s="4" t="s">
        <v>111</v>
      </c>
      <c r="C20" s="25">
        <v>12261.96</v>
      </c>
      <c r="F20" s="11"/>
    </row>
    <row r="21" spans="1:6" ht="12.75">
      <c r="A21" s="24">
        <v>12</v>
      </c>
      <c r="B21" s="4" t="s">
        <v>112</v>
      </c>
      <c r="C21" s="25">
        <v>369681.78</v>
      </c>
      <c r="F21" s="11"/>
    </row>
    <row r="22" spans="1:6" ht="12.75">
      <c r="A22" s="24">
        <v>13</v>
      </c>
      <c r="B22" s="4" t="s">
        <v>114</v>
      </c>
      <c r="C22" s="25">
        <v>6646.16</v>
      </c>
      <c r="F22" s="11"/>
    </row>
    <row r="23" spans="1:6" ht="12.75">
      <c r="A23" s="24">
        <v>14</v>
      </c>
      <c r="B23" s="4" t="s">
        <v>115</v>
      </c>
      <c r="C23" s="25">
        <v>20234.65</v>
      </c>
      <c r="F23" s="11"/>
    </row>
    <row r="24" spans="1:6" ht="12.75">
      <c r="A24" s="24">
        <v>15</v>
      </c>
      <c r="B24" s="4" t="s">
        <v>116</v>
      </c>
      <c r="C24" s="25">
        <v>35681.3</v>
      </c>
      <c r="F24" s="11"/>
    </row>
    <row r="25" spans="1:6" ht="12.75">
      <c r="A25" s="24">
        <v>16</v>
      </c>
      <c r="B25" s="4" t="s">
        <v>19</v>
      </c>
      <c r="C25" s="25">
        <v>127934.94</v>
      </c>
      <c r="F25" s="11"/>
    </row>
    <row r="26" spans="1:3" ht="12.75">
      <c r="A26" s="24"/>
      <c r="B26" s="4" t="s">
        <v>176</v>
      </c>
      <c r="C26" s="5">
        <v>268.58</v>
      </c>
    </row>
    <row r="27" spans="1:6" ht="12.75">
      <c r="A27" s="24">
        <v>17</v>
      </c>
      <c r="B27" s="4" t="s">
        <v>117</v>
      </c>
      <c r="C27" s="25">
        <v>823718.11</v>
      </c>
      <c r="F27" s="11"/>
    </row>
    <row r="28" spans="1:6" ht="12.75">
      <c r="A28" s="24">
        <v>18</v>
      </c>
      <c r="B28" s="4" t="s">
        <v>118</v>
      </c>
      <c r="C28" s="25">
        <v>105317.02</v>
      </c>
      <c r="F28" s="11"/>
    </row>
    <row r="29" spans="1:6" ht="12.75">
      <c r="A29" s="24">
        <v>19</v>
      </c>
      <c r="B29" s="4" t="s">
        <v>119</v>
      </c>
      <c r="C29" s="25">
        <v>61367.58</v>
      </c>
      <c r="F29" s="11"/>
    </row>
    <row r="30" spans="1:3" ht="12.75">
      <c r="A30" s="24">
        <v>20</v>
      </c>
      <c r="B30" s="4" t="s">
        <v>120</v>
      </c>
      <c r="C30" s="25">
        <v>5656.67</v>
      </c>
    </row>
    <row r="31" spans="1:3" ht="12.75">
      <c r="A31" s="24">
        <v>21</v>
      </c>
      <c r="B31" s="4" t="s">
        <v>49</v>
      </c>
      <c r="C31" s="25">
        <f>3029.03+29482.99</f>
        <v>32512.02</v>
      </c>
    </row>
    <row r="32" spans="1:6" ht="12.75">
      <c r="A32" s="24">
        <v>22</v>
      </c>
      <c r="B32" s="4" t="s">
        <v>72</v>
      </c>
      <c r="C32" s="25">
        <v>12338.06</v>
      </c>
      <c r="F32" s="11"/>
    </row>
    <row r="33" spans="1:3" ht="12.75">
      <c r="A33" s="24"/>
      <c r="B33" s="4" t="s">
        <v>177</v>
      </c>
      <c r="C33" s="5">
        <v>65.76</v>
      </c>
    </row>
    <row r="34" spans="1:6" ht="12.75">
      <c r="A34" s="24">
        <v>23</v>
      </c>
      <c r="B34" s="4" t="s">
        <v>121</v>
      </c>
      <c r="C34" s="25">
        <v>79273.71</v>
      </c>
      <c r="F34" s="11"/>
    </row>
    <row r="35" spans="1:6" ht="12.75">
      <c r="A35" s="24">
        <v>24</v>
      </c>
      <c r="B35" s="4" t="s">
        <v>73</v>
      </c>
      <c r="C35" s="25">
        <v>37905.83</v>
      </c>
      <c r="F35" s="11"/>
    </row>
    <row r="36" spans="1:6" ht="12.75">
      <c r="A36" s="24">
        <v>25</v>
      </c>
      <c r="B36" s="4" t="s">
        <v>122</v>
      </c>
      <c r="C36" s="25">
        <v>191572.95</v>
      </c>
      <c r="F36" s="11"/>
    </row>
    <row r="37" spans="1:3" ht="12.75">
      <c r="A37" s="24">
        <v>26</v>
      </c>
      <c r="B37" s="4" t="s">
        <v>123</v>
      </c>
      <c r="C37" s="25">
        <v>2615.71</v>
      </c>
    </row>
    <row r="38" spans="1:6" ht="12.75">
      <c r="A38" s="24">
        <v>27</v>
      </c>
      <c r="B38" s="4" t="s">
        <v>124</v>
      </c>
      <c r="C38" s="25">
        <v>1446997.72</v>
      </c>
      <c r="F38" s="11"/>
    </row>
    <row r="39" spans="1:6" ht="12.75">
      <c r="A39" s="24">
        <v>28</v>
      </c>
      <c r="B39" s="4" t="s">
        <v>28</v>
      </c>
      <c r="C39" s="25">
        <v>172654.28</v>
      </c>
      <c r="F39" s="11"/>
    </row>
    <row r="40" spans="1:3" ht="12.75">
      <c r="A40" s="24"/>
      <c r="B40" s="4" t="s">
        <v>178</v>
      </c>
      <c r="C40" s="5">
        <v>22.36</v>
      </c>
    </row>
    <row r="41" spans="1:6" ht="12.75">
      <c r="A41" s="24">
        <v>29</v>
      </c>
      <c r="B41" s="4" t="s">
        <v>125</v>
      </c>
      <c r="C41" s="25">
        <v>25961.52</v>
      </c>
      <c r="F41" s="11"/>
    </row>
    <row r="42" spans="1:6" ht="12.75">
      <c r="A42" s="24">
        <v>30</v>
      </c>
      <c r="B42" s="4" t="s">
        <v>126</v>
      </c>
      <c r="C42" s="25">
        <v>28480.49</v>
      </c>
      <c r="F42" s="11"/>
    </row>
    <row r="43" spans="1:6" ht="12.75">
      <c r="A43" s="24">
        <v>31</v>
      </c>
      <c r="B43" s="4" t="s">
        <v>127</v>
      </c>
      <c r="C43" s="25">
        <v>109827.12</v>
      </c>
      <c r="F43" s="11"/>
    </row>
    <row r="44" spans="1:6" ht="12.75">
      <c r="A44" s="24">
        <v>32</v>
      </c>
      <c r="B44" s="4" t="s">
        <v>128</v>
      </c>
      <c r="C44" s="25">
        <v>294701.51</v>
      </c>
      <c r="F44" s="11"/>
    </row>
    <row r="45" spans="1:6" ht="12.75">
      <c r="A45" s="24">
        <v>33</v>
      </c>
      <c r="B45" s="4" t="s">
        <v>129</v>
      </c>
      <c r="C45" s="25">
        <v>40322.56</v>
      </c>
      <c r="F45" s="11"/>
    </row>
    <row r="46" spans="1:6" ht="12.75">
      <c r="A46" s="24">
        <v>34</v>
      </c>
      <c r="B46" s="4" t="s">
        <v>33</v>
      </c>
      <c r="C46" s="25">
        <v>43014.11</v>
      </c>
      <c r="F46" s="11"/>
    </row>
    <row r="47" spans="1:6" ht="12.75">
      <c r="A47" s="24">
        <v>35</v>
      </c>
      <c r="B47" s="4" t="s">
        <v>158</v>
      </c>
      <c r="C47" s="25">
        <v>25396.8</v>
      </c>
      <c r="F47" s="11"/>
    </row>
    <row r="48" spans="1:6" ht="12.75">
      <c r="A48" s="24">
        <v>36</v>
      </c>
      <c r="B48" s="4" t="s">
        <v>130</v>
      </c>
      <c r="C48" s="25">
        <v>20756.36</v>
      </c>
      <c r="F48" s="11"/>
    </row>
    <row r="49" spans="1:6" ht="12.75">
      <c r="A49" s="24">
        <v>37</v>
      </c>
      <c r="B49" s="4" t="s">
        <v>131</v>
      </c>
      <c r="C49" s="25">
        <v>237770.4</v>
      </c>
      <c r="F49" s="11"/>
    </row>
    <row r="50" spans="1:6" ht="12.75">
      <c r="A50" s="24">
        <v>38</v>
      </c>
      <c r="B50" s="4" t="s">
        <v>132</v>
      </c>
      <c r="C50" s="25">
        <v>9483.99</v>
      </c>
      <c r="F50" s="11"/>
    </row>
    <row r="51" spans="1:6" ht="12.75">
      <c r="A51" s="24">
        <v>39</v>
      </c>
      <c r="B51" s="4" t="s">
        <v>133</v>
      </c>
      <c r="C51" s="25">
        <v>89891.56</v>
      </c>
      <c r="F51" s="11"/>
    </row>
    <row r="52" spans="1:6" ht="12.75">
      <c r="A52" s="24">
        <v>40</v>
      </c>
      <c r="B52" s="4" t="s">
        <v>134</v>
      </c>
      <c r="C52" s="25">
        <v>42367.31</v>
      </c>
      <c r="F52" s="11"/>
    </row>
    <row r="53" spans="1:6" ht="12.75">
      <c r="A53" s="24">
        <v>41</v>
      </c>
      <c r="B53" s="4" t="s">
        <v>175</v>
      </c>
      <c r="C53" s="25">
        <v>3571.16</v>
      </c>
      <c r="F53" s="11"/>
    </row>
    <row r="54" spans="1:6" ht="12.75">
      <c r="A54" s="24">
        <v>42</v>
      </c>
      <c r="B54" s="4" t="s">
        <v>135</v>
      </c>
      <c r="C54" s="25">
        <v>41142.44</v>
      </c>
      <c r="F54" s="11"/>
    </row>
    <row r="55" spans="1:6" ht="12.75">
      <c r="A55" s="24">
        <v>43</v>
      </c>
      <c r="B55" s="4" t="s">
        <v>136</v>
      </c>
      <c r="C55" s="25">
        <v>68206.84</v>
      </c>
      <c r="F55" s="11"/>
    </row>
    <row r="56" spans="1:3" ht="12.75">
      <c r="A56" s="24"/>
      <c r="B56" s="4" t="s">
        <v>179</v>
      </c>
      <c r="C56" s="5">
        <v>106.91</v>
      </c>
    </row>
    <row r="57" spans="1:6" ht="12.75">
      <c r="A57" s="24">
        <v>44</v>
      </c>
      <c r="B57" s="4" t="s">
        <v>137</v>
      </c>
      <c r="C57" s="25">
        <v>11430.45</v>
      </c>
      <c r="F57" s="11"/>
    </row>
    <row r="58" spans="1:6" ht="12.75">
      <c r="A58" s="24">
        <v>45</v>
      </c>
      <c r="B58" s="4" t="s">
        <v>138</v>
      </c>
      <c r="C58" s="25">
        <v>20453.78</v>
      </c>
      <c r="F58" s="11"/>
    </row>
    <row r="59" spans="1:6" ht="12.75">
      <c r="A59" s="24">
        <v>46</v>
      </c>
      <c r="B59" s="4" t="s">
        <v>139</v>
      </c>
      <c r="C59" s="25">
        <v>20143.49</v>
      </c>
      <c r="F59" s="11"/>
    </row>
    <row r="60" spans="1:6" ht="12.75">
      <c r="A60" s="24">
        <v>47</v>
      </c>
      <c r="B60" s="4" t="s">
        <v>140</v>
      </c>
      <c r="C60" s="25">
        <v>29078.89</v>
      </c>
      <c r="F60" s="11"/>
    </row>
    <row r="61" spans="1:6" ht="12.75">
      <c r="A61" s="24">
        <v>48</v>
      </c>
      <c r="B61" s="4" t="s">
        <v>141</v>
      </c>
      <c r="C61" s="25">
        <v>82493.26</v>
      </c>
      <c r="F61" s="11"/>
    </row>
    <row r="62" spans="1:6" ht="12.75">
      <c r="A62" s="24">
        <v>49</v>
      </c>
      <c r="B62" s="4" t="s">
        <v>142</v>
      </c>
      <c r="C62" s="25">
        <v>34849.64</v>
      </c>
      <c r="F62" s="11"/>
    </row>
    <row r="63" spans="1:6" ht="12.75">
      <c r="A63" s="24">
        <v>50</v>
      </c>
      <c r="B63" s="4" t="s">
        <v>143</v>
      </c>
      <c r="C63" s="25">
        <v>39442.99</v>
      </c>
      <c r="F63" s="11"/>
    </row>
    <row r="64" spans="1:6" ht="12.75">
      <c r="A64" s="24">
        <v>51</v>
      </c>
      <c r="B64" s="4" t="s">
        <v>144</v>
      </c>
      <c r="C64" s="25">
        <v>5099.04</v>
      </c>
      <c r="F64" s="11"/>
    </row>
    <row r="65" spans="1:6" ht="12.75">
      <c r="A65" s="24">
        <v>52</v>
      </c>
      <c r="B65" s="4" t="s">
        <v>145</v>
      </c>
      <c r="C65" s="25">
        <v>40664.86</v>
      </c>
      <c r="F65" s="11"/>
    </row>
    <row r="66" spans="1:6" ht="12.75">
      <c r="A66" s="24">
        <v>53</v>
      </c>
      <c r="B66" s="4" t="s">
        <v>146</v>
      </c>
      <c r="C66" s="25">
        <v>84180.28</v>
      </c>
      <c r="F66" s="11"/>
    </row>
    <row r="67" spans="1:6" ht="12.75">
      <c r="A67" s="24">
        <v>54</v>
      </c>
      <c r="B67" s="4" t="s">
        <v>147</v>
      </c>
      <c r="C67" s="25">
        <v>9837.16</v>
      </c>
      <c r="F67" s="11"/>
    </row>
    <row r="68" spans="1:6" ht="12.75">
      <c r="A68" s="24">
        <v>55</v>
      </c>
      <c r="B68" s="4" t="s">
        <v>148</v>
      </c>
      <c r="C68" s="25">
        <v>37651.73</v>
      </c>
      <c r="F68" s="11"/>
    </row>
    <row r="69" spans="1:6" ht="12.75">
      <c r="A69" s="24">
        <v>56</v>
      </c>
      <c r="B69" s="4" t="s">
        <v>149</v>
      </c>
      <c r="C69" s="25">
        <v>9079.4</v>
      </c>
      <c r="F69" s="11"/>
    </row>
    <row r="70" spans="1:6" ht="12.75">
      <c r="A70" s="24">
        <v>57</v>
      </c>
      <c r="B70" s="4" t="s">
        <v>174</v>
      </c>
      <c r="C70" s="25">
        <v>30756.21</v>
      </c>
      <c r="F70" s="11"/>
    </row>
    <row r="71" spans="1:6" ht="12.75">
      <c r="A71" s="24">
        <v>58</v>
      </c>
      <c r="B71" s="4" t="s">
        <v>150</v>
      </c>
      <c r="C71" s="25">
        <v>23580.31</v>
      </c>
      <c r="F71" s="11"/>
    </row>
    <row r="72" spans="1:6" ht="12.75">
      <c r="A72" s="24">
        <v>59</v>
      </c>
      <c r="B72" s="4" t="s">
        <v>151</v>
      </c>
      <c r="C72" s="25">
        <v>15524.79</v>
      </c>
      <c r="F72" s="11"/>
    </row>
    <row r="73" spans="1:6" ht="12.75">
      <c r="A73" s="24">
        <v>60</v>
      </c>
      <c r="B73" s="4" t="s">
        <v>152</v>
      </c>
      <c r="C73" s="25">
        <v>447961.11</v>
      </c>
      <c r="F73" s="11"/>
    </row>
    <row r="74" spans="1:6" ht="12.75">
      <c r="A74" s="24">
        <v>61</v>
      </c>
      <c r="B74" s="4" t="s">
        <v>153</v>
      </c>
      <c r="C74" s="25">
        <v>30711.4</v>
      </c>
      <c r="F74" s="11"/>
    </row>
    <row r="75" spans="1:6" ht="12.75">
      <c r="A75" s="24">
        <v>62</v>
      </c>
      <c r="B75" s="4" t="s">
        <v>61</v>
      </c>
      <c r="C75" s="25">
        <v>8745.1</v>
      </c>
      <c r="F75" s="11"/>
    </row>
    <row r="76" spans="1:6" ht="12.75">
      <c r="A76" s="24">
        <v>63</v>
      </c>
      <c r="B76" s="4" t="s">
        <v>169</v>
      </c>
      <c r="C76" s="25">
        <v>14084.21</v>
      </c>
      <c r="F76" s="11"/>
    </row>
    <row r="77" spans="1:6" ht="12.75">
      <c r="A77" s="24">
        <v>64</v>
      </c>
      <c r="B77" s="4" t="s">
        <v>154</v>
      </c>
      <c r="C77" s="25">
        <v>24737.93</v>
      </c>
      <c r="F77" s="11"/>
    </row>
    <row r="78" spans="1:6" ht="12.75">
      <c r="A78" s="24">
        <v>65</v>
      </c>
      <c r="B78" s="4" t="s">
        <v>64</v>
      </c>
      <c r="C78" s="25">
        <v>37134.87</v>
      </c>
      <c r="F78" s="11"/>
    </row>
    <row r="79" spans="1:6" ht="12.75">
      <c r="A79" s="24">
        <v>66</v>
      </c>
      <c r="B79" s="4" t="s">
        <v>65</v>
      </c>
      <c r="C79" s="25">
        <v>19890.63</v>
      </c>
      <c r="F79" s="11"/>
    </row>
    <row r="80" spans="1:6" ht="12.75">
      <c r="A80" s="24">
        <v>67</v>
      </c>
      <c r="B80" s="4" t="s">
        <v>101</v>
      </c>
      <c r="C80" s="25">
        <v>103268.82</v>
      </c>
      <c r="F80" s="11"/>
    </row>
    <row r="81" spans="1:6" ht="12.75">
      <c r="A81" s="24">
        <v>68</v>
      </c>
      <c r="B81" s="4" t="s">
        <v>67</v>
      </c>
      <c r="C81" s="25">
        <v>186864.54</v>
      </c>
      <c r="F81" s="11"/>
    </row>
    <row r="82" spans="1:3" ht="12.75">
      <c r="A82" s="4"/>
      <c r="B82" s="33" t="s">
        <v>4</v>
      </c>
      <c r="C82" s="27">
        <f>SUM(C10:C81)</f>
        <v>6824699.760000002</v>
      </c>
    </row>
    <row r="84" ht="12.75">
      <c r="C84" s="17">
        <f>6592627.18+232072.58</f>
        <v>6824699.76</v>
      </c>
    </row>
    <row r="85" ht="12.75">
      <c r="C85" s="17">
        <f>+C82-C84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9">
      <selection activeCell="C86" sqref="C86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3" width="18.28125" style="0" customWidth="1"/>
  </cols>
  <sheetData>
    <row r="1" spans="1:3" ht="12.75">
      <c r="A1" s="20" t="s">
        <v>69</v>
      </c>
      <c r="B1" s="1"/>
      <c r="C1" s="16"/>
    </row>
    <row r="2" spans="1:3" ht="12.75">
      <c r="A2" s="21"/>
      <c r="C2" s="17"/>
    </row>
    <row r="3" spans="1:3" ht="12.75">
      <c r="A3" s="21"/>
      <c r="C3" s="17"/>
    </row>
    <row r="4" spans="1:3" ht="12.75">
      <c r="A4" s="21"/>
      <c r="B4" s="1" t="s">
        <v>70</v>
      </c>
      <c r="C4" s="17"/>
    </row>
    <row r="5" spans="1:3" ht="12.75">
      <c r="A5" s="21"/>
      <c r="B5" s="1" t="s">
        <v>170</v>
      </c>
      <c r="C5" s="17"/>
    </row>
    <row r="6" spans="1:3" ht="12.75">
      <c r="A6" s="21"/>
      <c r="B6" s="1"/>
      <c r="C6" s="17"/>
    </row>
    <row r="7" spans="1:3" ht="12.75">
      <c r="A7" s="21"/>
      <c r="B7" s="1"/>
      <c r="C7" s="17"/>
    </row>
    <row r="9" spans="1:3" ht="12.75">
      <c r="A9" s="22" t="s">
        <v>2</v>
      </c>
      <c r="B9" s="3" t="s">
        <v>3</v>
      </c>
      <c r="C9" s="23" t="s">
        <v>76</v>
      </c>
    </row>
    <row r="10" spans="1:3" ht="12.75">
      <c r="A10" s="24">
        <v>1</v>
      </c>
      <c r="B10" s="4" t="s">
        <v>104</v>
      </c>
      <c r="C10" s="25">
        <v>43616.5</v>
      </c>
    </row>
    <row r="11" spans="1:3" ht="12.75">
      <c r="A11" s="24">
        <v>2</v>
      </c>
      <c r="B11" s="4" t="s">
        <v>105</v>
      </c>
      <c r="C11" s="25">
        <v>267280.78</v>
      </c>
    </row>
    <row r="12" spans="1:3" ht="12.75">
      <c r="A12" s="24">
        <v>3</v>
      </c>
      <c r="B12" s="4" t="s">
        <v>171</v>
      </c>
      <c r="C12" s="25">
        <v>10131.12</v>
      </c>
    </row>
    <row r="13" spans="1:3" ht="12.75">
      <c r="A13" s="24">
        <v>4</v>
      </c>
      <c r="B13" s="4" t="s">
        <v>106</v>
      </c>
      <c r="C13" s="25">
        <v>86915.55</v>
      </c>
    </row>
    <row r="14" spans="1:3" ht="12.75">
      <c r="A14" s="24">
        <v>5</v>
      </c>
      <c r="B14" s="4" t="s">
        <v>107</v>
      </c>
      <c r="C14" s="25">
        <v>33567.42</v>
      </c>
    </row>
    <row r="15" spans="1:3" ht="12.75">
      <c r="A15" s="24">
        <v>6</v>
      </c>
      <c r="B15" s="4" t="s">
        <v>108</v>
      </c>
      <c r="C15" s="25">
        <v>19995.19</v>
      </c>
    </row>
    <row r="16" spans="1:3" ht="12.75">
      <c r="A16" s="24">
        <v>7</v>
      </c>
      <c r="B16" s="4" t="s">
        <v>10</v>
      </c>
      <c r="C16" s="25">
        <v>10427.28</v>
      </c>
    </row>
    <row r="17" spans="1:3" ht="12.75">
      <c r="A17" s="24">
        <v>8</v>
      </c>
      <c r="B17" s="4" t="s">
        <v>166</v>
      </c>
      <c r="C17" s="25">
        <v>5121.08</v>
      </c>
    </row>
    <row r="18" spans="1:3" ht="12.75">
      <c r="A18" s="24">
        <v>9</v>
      </c>
      <c r="B18" s="4" t="s">
        <v>11</v>
      </c>
      <c r="C18" s="25">
        <v>97594.39</v>
      </c>
    </row>
    <row r="19" spans="1:3" ht="12.75">
      <c r="A19" s="24">
        <v>10</v>
      </c>
      <c r="B19" s="4" t="s">
        <v>109</v>
      </c>
      <c r="C19" s="25">
        <v>152326.8</v>
      </c>
    </row>
    <row r="20" spans="1:3" ht="12.75">
      <c r="A20" s="24">
        <v>11</v>
      </c>
      <c r="B20" s="4" t="s">
        <v>110</v>
      </c>
      <c r="C20" s="25">
        <v>84827.25</v>
      </c>
    </row>
    <row r="21" spans="1:3" ht="12.75">
      <c r="A21" s="24">
        <v>12</v>
      </c>
      <c r="B21" s="4" t="s">
        <v>111</v>
      </c>
      <c r="C21" s="25">
        <v>11366.74</v>
      </c>
    </row>
    <row r="22" spans="1:3" ht="12.75">
      <c r="A22" s="24">
        <v>13</v>
      </c>
      <c r="B22" s="4" t="s">
        <v>112</v>
      </c>
      <c r="C22" s="25">
        <v>323421.95</v>
      </c>
    </row>
    <row r="23" spans="1:3" ht="12.75">
      <c r="A23" s="24">
        <v>14</v>
      </c>
      <c r="B23" s="4" t="s">
        <v>172</v>
      </c>
      <c r="C23" s="25">
        <v>0</v>
      </c>
    </row>
    <row r="24" spans="1:3" ht="12.75">
      <c r="A24" s="24">
        <v>15</v>
      </c>
      <c r="B24" s="4" t="s">
        <v>114</v>
      </c>
      <c r="C24" s="25">
        <v>6244.73</v>
      </c>
    </row>
    <row r="25" spans="1:3" ht="12.75">
      <c r="A25" s="24">
        <v>16</v>
      </c>
      <c r="B25" s="4" t="s">
        <v>115</v>
      </c>
      <c r="C25" s="25">
        <v>17523.81</v>
      </c>
    </row>
    <row r="26" spans="1:3" ht="12.75">
      <c r="A26" s="24">
        <v>17</v>
      </c>
      <c r="B26" s="4" t="s">
        <v>116</v>
      </c>
      <c r="C26" s="25">
        <v>30452.89</v>
      </c>
    </row>
    <row r="27" spans="1:3" ht="12.75">
      <c r="A27" s="24">
        <v>18</v>
      </c>
      <c r="B27" s="4" t="s">
        <v>19</v>
      </c>
      <c r="C27" s="25">
        <v>112870.97</v>
      </c>
    </row>
    <row r="28" spans="1:3" ht="12.75">
      <c r="A28" s="24">
        <v>19</v>
      </c>
      <c r="B28" s="4" t="s">
        <v>117</v>
      </c>
      <c r="C28" s="25">
        <v>773157.06</v>
      </c>
    </row>
    <row r="29" spans="1:3" ht="12.75">
      <c r="A29" s="24">
        <v>20</v>
      </c>
      <c r="B29" s="4" t="s">
        <v>118</v>
      </c>
      <c r="C29" s="25">
        <v>116199.73</v>
      </c>
    </row>
    <row r="30" spans="1:3" ht="12.75">
      <c r="A30" s="24">
        <v>21</v>
      </c>
      <c r="B30" s="4" t="s">
        <v>119</v>
      </c>
      <c r="C30" s="25">
        <v>58997.71</v>
      </c>
    </row>
    <row r="31" spans="1:3" ht="12.75">
      <c r="A31" s="24">
        <v>22</v>
      </c>
      <c r="B31" s="4" t="s">
        <v>23</v>
      </c>
      <c r="C31" s="25">
        <v>18386.56</v>
      </c>
    </row>
    <row r="32" spans="1:3" ht="12.75">
      <c r="A32" s="24">
        <v>23</v>
      </c>
      <c r="B32" s="4" t="s">
        <v>120</v>
      </c>
      <c r="C32" s="25">
        <v>226.67</v>
      </c>
    </row>
    <row r="33" spans="1:3" ht="12.75">
      <c r="A33" s="24">
        <v>24</v>
      </c>
      <c r="B33" s="4" t="s">
        <v>72</v>
      </c>
      <c r="C33" s="25">
        <v>12406.09</v>
      </c>
    </row>
    <row r="34" spans="1:3" ht="12.75">
      <c r="A34" s="24">
        <v>25</v>
      </c>
      <c r="B34" s="4" t="s">
        <v>121</v>
      </c>
      <c r="C34" s="25">
        <v>66495.3</v>
      </c>
    </row>
    <row r="35" spans="1:3" ht="12.75">
      <c r="A35" s="24">
        <v>26</v>
      </c>
      <c r="B35" s="4" t="s">
        <v>73</v>
      </c>
      <c r="C35" s="25">
        <v>31471.02</v>
      </c>
    </row>
    <row r="36" spans="1:3" ht="12.75">
      <c r="A36" s="24">
        <v>27</v>
      </c>
      <c r="B36" s="4" t="s">
        <v>122</v>
      </c>
      <c r="C36" s="25">
        <v>227319.46</v>
      </c>
    </row>
    <row r="37" spans="1:3" ht="12.75">
      <c r="A37" s="24">
        <v>28</v>
      </c>
      <c r="B37" s="4" t="s">
        <v>123</v>
      </c>
      <c r="C37" s="25">
        <v>2134.7</v>
      </c>
    </row>
    <row r="38" spans="1:3" ht="12.75">
      <c r="A38" s="24">
        <v>29</v>
      </c>
      <c r="B38" s="4" t="s">
        <v>124</v>
      </c>
      <c r="C38" s="25">
        <v>1451748.37</v>
      </c>
    </row>
    <row r="39" spans="1:3" ht="12.75">
      <c r="A39" s="24">
        <v>30</v>
      </c>
      <c r="B39" s="4" t="s">
        <v>28</v>
      </c>
      <c r="C39" s="25">
        <v>132717.33</v>
      </c>
    </row>
    <row r="40" spans="1:3" ht="12.75">
      <c r="A40" s="24">
        <v>31</v>
      </c>
      <c r="B40" s="4" t="s">
        <v>125</v>
      </c>
      <c r="C40" s="25">
        <v>22941.38</v>
      </c>
    </row>
    <row r="41" spans="1:3" ht="12.75">
      <c r="A41" s="24">
        <v>32</v>
      </c>
      <c r="B41" s="4" t="s">
        <v>126</v>
      </c>
      <c r="C41" s="25">
        <v>27526.83</v>
      </c>
    </row>
    <row r="42" spans="1:3" ht="12.75">
      <c r="A42" s="24">
        <v>33</v>
      </c>
      <c r="B42" s="4" t="s">
        <v>127</v>
      </c>
      <c r="C42" s="25">
        <v>91875.99</v>
      </c>
    </row>
    <row r="43" spans="1:3" ht="12.75">
      <c r="A43" s="24">
        <v>34</v>
      </c>
      <c r="B43" s="4" t="s">
        <v>128</v>
      </c>
      <c r="C43" s="25">
        <v>267734.44</v>
      </c>
    </row>
    <row r="44" spans="1:3" ht="12.75">
      <c r="A44" s="24">
        <v>35</v>
      </c>
      <c r="B44" s="4" t="s">
        <v>129</v>
      </c>
      <c r="C44" s="25">
        <v>50839.92</v>
      </c>
    </row>
    <row r="45" spans="1:3" ht="12.75">
      <c r="A45" s="24">
        <v>36</v>
      </c>
      <c r="B45" s="4" t="s">
        <v>33</v>
      </c>
      <c r="C45" s="25">
        <v>38283.55</v>
      </c>
    </row>
    <row r="46" spans="1:3" ht="12.75">
      <c r="A46" s="24">
        <v>37</v>
      </c>
      <c r="B46" s="4" t="s">
        <v>158</v>
      </c>
      <c r="C46" s="25">
        <v>20629.31</v>
      </c>
    </row>
    <row r="47" spans="1:3" ht="12.75">
      <c r="A47" s="24">
        <v>38</v>
      </c>
      <c r="B47" s="4" t="s">
        <v>130</v>
      </c>
      <c r="C47" s="25">
        <v>21951.98</v>
      </c>
    </row>
    <row r="48" spans="1:3" ht="12.75">
      <c r="A48" s="24">
        <v>39</v>
      </c>
      <c r="B48" s="4" t="s">
        <v>131</v>
      </c>
      <c r="C48" s="25">
        <v>235946</v>
      </c>
    </row>
    <row r="49" spans="1:3" ht="12.75">
      <c r="A49" s="24">
        <v>40</v>
      </c>
      <c r="B49" s="4" t="s">
        <v>132</v>
      </c>
      <c r="C49" s="25">
        <v>9313.01</v>
      </c>
    </row>
    <row r="50" spans="1:3" ht="12.75">
      <c r="A50" s="24">
        <v>41</v>
      </c>
      <c r="B50" s="4" t="s">
        <v>133</v>
      </c>
      <c r="C50" s="25">
        <v>75204.52</v>
      </c>
    </row>
    <row r="51" spans="1:3" ht="12.75">
      <c r="A51" s="24">
        <v>42</v>
      </c>
      <c r="B51" s="4" t="s">
        <v>134</v>
      </c>
      <c r="C51" s="25">
        <v>44010.34</v>
      </c>
    </row>
    <row r="52" spans="1:3" ht="12.75">
      <c r="A52" s="24">
        <v>43</v>
      </c>
      <c r="B52" s="4" t="s">
        <v>135</v>
      </c>
      <c r="C52" s="25">
        <v>37481.33</v>
      </c>
    </row>
    <row r="53" spans="1:3" ht="12.75">
      <c r="A53" s="24">
        <v>44</v>
      </c>
      <c r="B53" s="4" t="s">
        <v>136</v>
      </c>
      <c r="C53" s="25">
        <v>49688.1</v>
      </c>
    </row>
    <row r="54" spans="1:3" ht="12.75">
      <c r="A54" s="24">
        <v>45</v>
      </c>
      <c r="B54" s="4" t="s">
        <v>137</v>
      </c>
      <c r="C54" s="25">
        <v>11682.7</v>
      </c>
    </row>
    <row r="55" spans="1:3" ht="12.75">
      <c r="A55" s="24">
        <v>46</v>
      </c>
      <c r="B55" s="4" t="s">
        <v>138</v>
      </c>
      <c r="C55" s="25">
        <v>20726.37</v>
      </c>
    </row>
    <row r="56" spans="1:3" ht="12.75">
      <c r="A56" s="24">
        <v>47</v>
      </c>
      <c r="B56" s="4" t="s">
        <v>139</v>
      </c>
      <c r="C56" s="25">
        <v>20054.53</v>
      </c>
    </row>
    <row r="57" spans="1:3" ht="12.75">
      <c r="A57" s="24">
        <v>48</v>
      </c>
      <c r="B57" s="4" t="s">
        <v>140</v>
      </c>
      <c r="C57" s="25">
        <v>27919.78</v>
      </c>
    </row>
    <row r="58" spans="1:3" ht="12.75">
      <c r="A58" s="24">
        <v>49</v>
      </c>
      <c r="B58" s="4" t="s">
        <v>141</v>
      </c>
      <c r="C58" s="25">
        <v>74416.29</v>
      </c>
    </row>
    <row r="59" spans="1:3" ht="12.75">
      <c r="A59" s="24">
        <v>50</v>
      </c>
      <c r="B59" s="4" t="s">
        <v>142</v>
      </c>
      <c r="C59" s="25">
        <v>32510.39</v>
      </c>
    </row>
    <row r="60" spans="1:3" ht="12.75">
      <c r="A60" s="24">
        <v>51</v>
      </c>
      <c r="B60" s="4" t="s">
        <v>143</v>
      </c>
      <c r="C60" s="25">
        <v>35335.73</v>
      </c>
    </row>
    <row r="61" spans="1:3" ht="12.75">
      <c r="A61" s="24">
        <v>52</v>
      </c>
      <c r="B61" s="4" t="s">
        <v>167</v>
      </c>
      <c r="C61" s="25">
        <v>24944.27</v>
      </c>
    </row>
    <row r="62" spans="1:3" ht="12.75">
      <c r="A62" s="24">
        <v>53</v>
      </c>
      <c r="B62" s="4" t="s">
        <v>144</v>
      </c>
      <c r="C62" s="25">
        <v>5963.36</v>
      </c>
    </row>
    <row r="63" spans="1:3" ht="12.75">
      <c r="A63" s="24">
        <v>54</v>
      </c>
      <c r="B63" s="4" t="s">
        <v>145</v>
      </c>
      <c r="C63" s="25">
        <v>36354.45</v>
      </c>
    </row>
    <row r="64" spans="1:3" ht="12.75">
      <c r="A64" s="24">
        <v>55</v>
      </c>
      <c r="B64" s="4" t="s">
        <v>146</v>
      </c>
      <c r="C64" s="25">
        <v>87732.34</v>
      </c>
    </row>
    <row r="65" spans="1:3" ht="12.75">
      <c r="A65" s="24">
        <v>56</v>
      </c>
      <c r="B65" s="4" t="s">
        <v>147</v>
      </c>
      <c r="C65" s="25">
        <v>10771.04</v>
      </c>
    </row>
    <row r="66" spans="1:3" ht="12.75">
      <c r="A66" s="24">
        <v>57</v>
      </c>
      <c r="B66" s="4" t="s">
        <v>148</v>
      </c>
      <c r="C66" s="25">
        <v>44438.24</v>
      </c>
    </row>
    <row r="67" spans="1:3" ht="12.75">
      <c r="A67" s="24">
        <v>58</v>
      </c>
      <c r="B67" s="4" t="s">
        <v>149</v>
      </c>
      <c r="C67" s="25">
        <v>7246.79</v>
      </c>
    </row>
    <row r="68" spans="1:3" ht="12.75">
      <c r="A68" s="24">
        <v>59</v>
      </c>
      <c r="B68" s="4" t="s">
        <v>168</v>
      </c>
      <c r="C68" s="25">
        <v>30983.1</v>
      </c>
    </row>
    <row r="69" spans="1:3" ht="12.75">
      <c r="A69" s="24">
        <v>60</v>
      </c>
      <c r="B69" s="4" t="s">
        <v>150</v>
      </c>
      <c r="C69" s="25">
        <v>23549.42</v>
      </c>
    </row>
    <row r="70" spans="1:3" ht="12.75">
      <c r="A70" s="24">
        <v>61</v>
      </c>
      <c r="B70" s="4" t="s">
        <v>151</v>
      </c>
      <c r="C70" s="25">
        <v>14219.82</v>
      </c>
    </row>
    <row r="71" spans="1:3" ht="12.75">
      <c r="A71" s="24">
        <v>62</v>
      </c>
      <c r="B71" s="4" t="s">
        <v>152</v>
      </c>
      <c r="C71" s="25">
        <v>453933.32</v>
      </c>
    </row>
    <row r="72" spans="1:3" ht="12.75">
      <c r="A72" s="24">
        <v>63</v>
      </c>
      <c r="B72" s="4" t="s">
        <v>153</v>
      </c>
      <c r="C72" s="25">
        <v>35229.3</v>
      </c>
    </row>
    <row r="73" spans="1:3" ht="12.75">
      <c r="A73" s="24">
        <v>64</v>
      </c>
      <c r="B73" s="4" t="s">
        <v>61</v>
      </c>
      <c r="C73" s="25">
        <v>11224.39</v>
      </c>
    </row>
    <row r="74" spans="1:3" ht="12.75">
      <c r="A74" s="24">
        <v>65</v>
      </c>
      <c r="B74" s="4" t="s">
        <v>169</v>
      </c>
      <c r="C74" s="25">
        <v>17155.56</v>
      </c>
    </row>
    <row r="75" spans="1:3" ht="12.75">
      <c r="A75" s="24">
        <v>66</v>
      </c>
      <c r="B75" s="4" t="s">
        <v>154</v>
      </c>
      <c r="C75" s="25">
        <v>18308.6</v>
      </c>
    </row>
    <row r="76" spans="1:3" ht="12.75">
      <c r="A76" s="24">
        <v>67</v>
      </c>
      <c r="B76" s="4" t="s">
        <v>64</v>
      </c>
      <c r="C76" s="25">
        <v>32343.63</v>
      </c>
    </row>
    <row r="77" spans="1:3" ht="12.75">
      <c r="A77" s="24">
        <v>68</v>
      </c>
      <c r="B77" s="4" t="s">
        <v>65</v>
      </c>
      <c r="C77" s="25">
        <v>23473.5</v>
      </c>
    </row>
    <row r="78" spans="1:3" ht="12.75">
      <c r="A78" s="24">
        <v>69</v>
      </c>
      <c r="B78" s="4" t="s">
        <v>101</v>
      </c>
      <c r="C78" s="25">
        <v>80815.58</v>
      </c>
    </row>
    <row r="79" spans="1:3" ht="12.75">
      <c r="A79" s="24">
        <v>70</v>
      </c>
      <c r="B79" s="4" t="s">
        <v>67</v>
      </c>
      <c r="C79" s="25">
        <v>188741.88</v>
      </c>
    </row>
    <row r="80" spans="1:3" ht="12.75">
      <c r="A80" s="4"/>
      <c r="B80" s="8" t="s">
        <v>4</v>
      </c>
      <c r="C80" s="29">
        <f>SUM(C10:C79)</f>
        <v>6568445.529999999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40">
      <selection activeCell="B12" sqref="B12"/>
    </sheetView>
  </sheetViews>
  <sheetFormatPr defaultColWidth="9.140625" defaultRowHeight="12.75"/>
  <cols>
    <col min="1" max="1" width="7.57421875" style="0" customWidth="1"/>
    <col min="2" max="2" width="43.8515625" style="0" customWidth="1"/>
    <col min="3" max="3" width="18.28125" style="0" customWidth="1"/>
  </cols>
  <sheetData>
    <row r="1" spans="1:4" ht="12.75">
      <c r="A1" s="20" t="s">
        <v>69</v>
      </c>
      <c r="B1" s="1"/>
      <c r="C1" s="16"/>
      <c r="D1" s="19"/>
    </row>
    <row r="2" spans="1:4" ht="12.75">
      <c r="A2" s="21"/>
      <c r="C2" s="17"/>
      <c r="D2" s="19"/>
    </row>
    <row r="3" spans="1:4" ht="12.75">
      <c r="A3" s="21"/>
      <c r="C3" s="17"/>
      <c r="D3" s="19"/>
    </row>
    <row r="4" spans="1:4" ht="12.75">
      <c r="A4" s="21"/>
      <c r="B4" s="1" t="s">
        <v>70</v>
      </c>
      <c r="C4" s="17"/>
      <c r="D4" s="19"/>
    </row>
    <row r="5" spans="1:4" ht="12.75">
      <c r="A5" s="21"/>
      <c r="B5" s="1" t="s">
        <v>165</v>
      </c>
      <c r="C5" s="17"/>
      <c r="D5" s="19"/>
    </row>
    <row r="6" spans="1:4" ht="12.75">
      <c r="A6" s="21"/>
      <c r="B6" s="1"/>
      <c r="C6" s="17"/>
      <c r="D6" s="19"/>
    </row>
    <row r="7" spans="1:4" ht="12.75">
      <c r="A7" s="21"/>
      <c r="B7" s="1"/>
      <c r="C7" s="17"/>
      <c r="D7" s="19"/>
    </row>
    <row r="9" spans="1:3" ht="12.75">
      <c r="A9" s="22" t="s">
        <v>2</v>
      </c>
      <c r="B9" s="3" t="s">
        <v>3</v>
      </c>
      <c r="C9" s="23" t="s">
        <v>76</v>
      </c>
    </row>
    <row r="10" spans="1:3" ht="12.75">
      <c r="A10" s="24">
        <v>1</v>
      </c>
      <c r="B10" s="4" t="s">
        <v>104</v>
      </c>
      <c r="C10" s="25">
        <v>54108.29</v>
      </c>
    </row>
    <row r="11" spans="1:3" ht="12.75">
      <c r="A11" s="24">
        <v>2</v>
      </c>
      <c r="B11" s="4" t="s">
        <v>105</v>
      </c>
      <c r="C11" s="25">
        <v>287517.33</v>
      </c>
    </row>
    <row r="12" spans="1:3" ht="12.75">
      <c r="A12" s="24">
        <v>3</v>
      </c>
      <c r="B12" s="4" t="s">
        <v>7</v>
      </c>
      <c r="C12" s="25">
        <v>10504.49</v>
      </c>
    </row>
    <row r="13" spans="1:3" ht="12.75">
      <c r="A13" s="24">
        <v>4</v>
      </c>
      <c r="B13" s="4" t="s">
        <v>106</v>
      </c>
      <c r="C13" s="25">
        <v>84972.11</v>
      </c>
    </row>
    <row r="14" spans="1:3" ht="12.75">
      <c r="A14" s="24">
        <v>5</v>
      </c>
      <c r="B14" s="4" t="s">
        <v>107</v>
      </c>
      <c r="C14" s="25">
        <v>39954.72</v>
      </c>
    </row>
    <row r="15" spans="1:3" ht="12.75">
      <c r="A15" s="24">
        <v>6</v>
      </c>
      <c r="B15" s="4" t="s">
        <v>108</v>
      </c>
      <c r="C15" s="25">
        <v>19612.97</v>
      </c>
    </row>
    <row r="16" spans="1:3" ht="12.75">
      <c r="A16" s="24">
        <v>7</v>
      </c>
      <c r="B16" s="4" t="s">
        <v>10</v>
      </c>
      <c r="C16" s="25">
        <v>10472.49</v>
      </c>
    </row>
    <row r="17" spans="1:3" ht="12.75">
      <c r="A17" s="24">
        <v>8</v>
      </c>
      <c r="B17" s="4" t="s">
        <v>166</v>
      </c>
      <c r="C17" s="25">
        <v>2792.97</v>
      </c>
    </row>
    <row r="18" spans="1:3" ht="12.75">
      <c r="A18" s="24">
        <v>9</v>
      </c>
      <c r="B18" s="4" t="s">
        <v>11</v>
      </c>
      <c r="C18" s="25">
        <v>78721.32</v>
      </c>
    </row>
    <row r="19" spans="1:3" ht="12.75">
      <c r="A19" s="24">
        <v>10</v>
      </c>
      <c r="B19" s="4" t="s">
        <v>109</v>
      </c>
      <c r="C19" s="25">
        <v>151551.82</v>
      </c>
    </row>
    <row r="20" spans="1:3" ht="12.75">
      <c r="A20" s="24">
        <v>11</v>
      </c>
      <c r="B20" s="4" t="s">
        <v>110</v>
      </c>
      <c r="C20" s="25">
        <v>97820.45</v>
      </c>
    </row>
    <row r="21" spans="1:3" ht="12.75">
      <c r="A21" s="24">
        <v>12</v>
      </c>
      <c r="B21" s="4" t="s">
        <v>111</v>
      </c>
      <c r="C21" s="25">
        <v>13953.3</v>
      </c>
    </row>
    <row r="22" spans="1:3" ht="12.75">
      <c r="A22" s="24">
        <v>13</v>
      </c>
      <c r="B22" s="4" t="s">
        <v>112</v>
      </c>
      <c r="C22" s="25">
        <v>390534.31</v>
      </c>
    </row>
    <row r="23" spans="1:3" ht="12.75">
      <c r="A23" s="24">
        <v>14</v>
      </c>
      <c r="B23" s="4" t="s">
        <v>113</v>
      </c>
      <c r="C23" s="25">
        <v>51435.38</v>
      </c>
    </row>
    <row r="24" spans="1:3" ht="12.75">
      <c r="A24" s="24">
        <v>15</v>
      </c>
      <c r="B24" s="4" t="s">
        <v>114</v>
      </c>
      <c r="C24" s="25">
        <v>5864.66</v>
      </c>
    </row>
    <row r="25" spans="1:3" ht="12.75">
      <c r="A25" s="24">
        <v>16</v>
      </c>
      <c r="B25" s="4" t="s">
        <v>115</v>
      </c>
      <c r="C25" s="25">
        <v>17171.36</v>
      </c>
    </row>
    <row r="26" spans="1:3" ht="12.75">
      <c r="A26" s="24">
        <v>17</v>
      </c>
      <c r="B26" s="4" t="s">
        <v>116</v>
      </c>
      <c r="C26" s="25">
        <v>31429.29</v>
      </c>
    </row>
    <row r="27" spans="1:3" ht="12.75">
      <c r="A27" s="24">
        <v>18</v>
      </c>
      <c r="B27" s="4" t="s">
        <v>19</v>
      </c>
      <c r="C27" s="25">
        <v>149275.89</v>
      </c>
    </row>
    <row r="28" spans="1:3" ht="12.75">
      <c r="A28" s="24">
        <v>19</v>
      </c>
      <c r="B28" s="4" t="s">
        <v>117</v>
      </c>
      <c r="C28" s="25">
        <v>817544.93</v>
      </c>
    </row>
    <row r="29" spans="1:3" ht="12.75">
      <c r="A29" s="24">
        <v>20</v>
      </c>
      <c r="B29" s="4" t="s">
        <v>118</v>
      </c>
      <c r="C29" s="25">
        <v>99048.11</v>
      </c>
    </row>
    <row r="30" spans="1:3" ht="12.75">
      <c r="A30" s="24">
        <v>21</v>
      </c>
      <c r="B30" s="4" t="s">
        <v>119</v>
      </c>
      <c r="C30" s="25">
        <v>44690.14</v>
      </c>
    </row>
    <row r="31" spans="1:3" ht="12.75">
      <c r="A31" s="24">
        <v>22</v>
      </c>
      <c r="B31" s="4" t="s">
        <v>23</v>
      </c>
      <c r="C31" s="25">
        <v>25182.46</v>
      </c>
    </row>
    <row r="32" spans="1:3" ht="12.75">
      <c r="A32" s="24">
        <v>23</v>
      </c>
      <c r="B32" s="4" t="s">
        <v>120</v>
      </c>
      <c r="C32" s="25">
        <v>5395.27</v>
      </c>
    </row>
    <row r="33" spans="1:3" ht="12.75">
      <c r="A33" s="24">
        <v>24</v>
      </c>
      <c r="B33" s="4" t="s">
        <v>72</v>
      </c>
      <c r="C33" s="25">
        <v>10247.61</v>
      </c>
    </row>
    <row r="34" spans="1:3" ht="12.75">
      <c r="A34" s="24">
        <v>25</v>
      </c>
      <c r="B34" s="4" t="s">
        <v>121</v>
      </c>
      <c r="C34" s="25">
        <v>63772.63</v>
      </c>
    </row>
    <row r="35" spans="1:3" ht="12.75">
      <c r="A35" s="24">
        <v>26</v>
      </c>
      <c r="B35" s="4" t="s">
        <v>73</v>
      </c>
      <c r="C35" s="25">
        <v>33675.07</v>
      </c>
    </row>
    <row r="36" spans="1:3" ht="12.75">
      <c r="A36" s="24">
        <v>27</v>
      </c>
      <c r="B36" s="4" t="s">
        <v>122</v>
      </c>
      <c r="C36" s="25">
        <v>210267.17</v>
      </c>
    </row>
    <row r="37" spans="1:3" ht="12.75">
      <c r="A37" s="24">
        <v>28</v>
      </c>
      <c r="B37" s="4" t="s">
        <v>123</v>
      </c>
      <c r="C37" s="25">
        <v>4032.51</v>
      </c>
    </row>
    <row r="38" spans="1:3" ht="12.75">
      <c r="A38" s="24">
        <v>29</v>
      </c>
      <c r="B38" s="4" t="s">
        <v>124</v>
      </c>
      <c r="C38" s="25">
        <v>1433239.71</v>
      </c>
    </row>
    <row r="39" spans="1:3" ht="12.75">
      <c r="A39" s="24">
        <v>30</v>
      </c>
      <c r="B39" s="4" t="s">
        <v>28</v>
      </c>
      <c r="C39" s="25">
        <v>203856.17</v>
      </c>
    </row>
    <row r="40" spans="1:3" ht="12.75">
      <c r="A40" s="24">
        <v>31</v>
      </c>
      <c r="B40" s="4" t="s">
        <v>125</v>
      </c>
      <c r="C40" s="25">
        <v>28349.94</v>
      </c>
    </row>
    <row r="41" spans="1:3" ht="12.75">
      <c r="A41" s="24">
        <v>32</v>
      </c>
      <c r="B41" s="4" t="s">
        <v>126</v>
      </c>
      <c r="C41" s="25">
        <v>31650.63</v>
      </c>
    </row>
    <row r="42" spans="1:3" ht="12.75">
      <c r="A42" s="24">
        <v>33</v>
      </c>
      <c r="B42" s="4" t="s">
        <v>127</v>
      </c>
      <c r="C42" s="25">
        <v>99681.29</v>
      </c>
    </row>
    <row r="43" spans="1:3" ht="12.75">
      <c r="A43" s="24">
        <v>34</v>
      </c>
      <c r="B43" s="4" t="s">
        <v>128</v>
      </c>
      <c r="C43" s="25">
        <v>259609.7</v>
      </c>
    </row>
    <row r="44" spans="1:3" ht="12.75">
      <c r="A44" s="24">
        <v>35</v>
      </c>
      <c r="B44" s="4" t="s">
        <v>129</v>
      </c>
      <c r="C44" s="25">
        <v>58544.43</v>
      </c>
    </row>
    <row r="45" spans="1:3" ht="12.75">
      <c r="A45" s="24">
        <v>36</v>
      </c>
      <c r="B45" s="4" t="s">
        <v>33</v>
      </c>
      <c r="C45" s="25">
        <v>43465.17</v>
      </c>
    </row>
    <row r="46" spans="1:3" ht="12.75">
      <c r="A46" s="24">
        <v>37</v>
      </c>
      <c r="B46" s="4" t="s">
        <v>158</v>
      </c>
      <c r="C46" s="25">
        <v>18604.53</v>
      </c>
    </row>
    <row r="47" spans="1:3" ht="12.75">
      <c r="A47" s="24">
        <v>38</v>
      </c>
      <c r="B47" s="4" t="s">
        <v>130</v>
      </c>
      <c r="C47" s="25">
        <v>21012.63</v>
      </c>
    </row>
    <row r="48" spans="1:3" ht="12.75">
      <c r="A48" s="24">
        <v>39</v>
      </c>
      <c r="B48" s="4" t="s">
        <v>131</v>
      </c>
      <c r="C48" s="25">
        <v>248010.93</v>
      </c>
    </row>
    <row r="49" spans="1:3" ht="12.75">
      <c r="A49" s="24">
        <v>40</v>
      </c>
      <c r="B49" s="4" t="s">
        <v>132</v>
      </c>
      <c r="C49" s="25">
        <v>8146.48</v>
      </c>
    </row>
    <row r="50" spans="1:3" ht="12.75">
      <c r="A50" s="24">
        <v>41</v>
      </c>
      <c r="B50" s="4" t="s">
        <v>133</v>
      </c>
      <c r="C50" s="25">
        <v>105096.32</v>
      </c>
    </row>
    <row r="51" spans="1:3" ht="12.75">
      <c r="A51" s="24">
        <v>42</v>
      </c>
      <c r="B51" s="4" t="s">
        <v>134</v>
      </c>
      <c r="C51" s="25">
        <v>45212.85</v>
      </c>
    </row>
    <row r="52" spans="1:3" ht="12.75">
      <c r="A52" s="24">
        <v>43</v>
      </c>
      <c r="B52" s="4" t="s">
        <v>135</v>
      </c>
      <c r="C52" s="25">
        <v>36147.89</v>
      </c>
    </row>
    <row r="53" spans="1:3" ht="12.75">
      <c r="A53" s="24">
        <v>44</v>
      </c>
      <c r="B53" s="4" t="s">
        <v>136</v>
      </c>
      <c r="C53" s="25">
        <v>75729.37</v>
      </c>
    </row>
    <row r="54" spans="1:3" ht="12.75">
      <c r="A54" s="24">
        <v>45</v>
      </c>
      <c r="B54" s="4" t="s">
        <v>137</v>
      </c>
      <c r="C54" s="25">
        <v>10006.09</v>
      </c>
    </row>
    <row r="55" spans="1:3" ht="12.75">
      <c r="A55" s="24">
        <v>46</v>
      </c>
      <c r="B55" s="4" t="s">
        <v>138</v>
      </c>
      <c r="C55" s="25">
        <v>19219.83</v>
      </c>
    </row>
    <row r="56" spans="1:3" ht="12.75">
      <c r="A56" s="24">
        <v>47</v>
      </c>
      <c r="B56" s="4" t="s">
        <v>139</v>
      </c>
      <c r="C56" s="25">
        <v>20205.82</v>
      </c>
    </row>
    <row r="57" spans="1:3" ht="12.75">
      <c r="A57" s="24">
        <v>48</v>
      </c>
      <c r="B57" s="4" t="s">
        <v>140</v>
      </c>
      <c r="C57" s="25">
        <v>26813.27</v>
      </c>
    </row>
    <row r="58" spans="1:3" ht="12.75">
      <c r="A58" s="24">
        <v>49</v>
      </c>
      <c r="B58" s="4" t="s">
        <v>141</v>
      </c>
      <c r="C58" s="25">
        <v>80933.53</v>
      </c>
    </row>
    <row r="59" spans="1:3" ht="12.75">
      <c r="A59" s="24">
        <v>50</v>
      </c>
      <c r="B59" s="4" t="s">
        <v>142</v>
      </c>
      <c r="C59" s="25">
        <v>34405.8</v>
      </c>
    </row>
    <row r="60" spans="1:3" ht="12.75">
      <c r="A60" s="24">
        <v>51</v>
      </c>
      <c r="B60" s="4" t="s">
        <v>143</v>
      </c>
      <c r="C60" s="25">
        <v>42446.35</v>
      </c>
    </row>
    <row r="61" spans="1:3" ht="12.75">
      <c r="A61" s="24">
        <v>52</v>
      </c>
      <c r="B61" s="4" t="s">
        <v>167</v>
      </c>
      <c r="C61" s="25">
        <v>36035.71</v>
      </c>
    </row>
    <row r="62" spans="1:3" ht="12.75">
      <c r="A62" s="24">
        <v>53</v>
      </c>
      <c r="B62" s="4" t="s">
        <v>144</v>
      </c>
      <c r="C62" s="25">
        <v>5132.13</v>
      </c>
    </row>
    <row r="63" spans="1:3" ht="12.75">
      <c r="A63" s="24">
        <v>54</v>
      </c>
      <c r="B63" s="4" t="s">
        <v>145</v>
      </c>
      <c r="C63" s="25">
        <v>33819.47</v>
      </c>
    </row>
    <row r="64" spans="1:3" ht="12.75">
      <c r="A64" s="24">
        <v>55</v>
      </c>
      <c r="B64" s="4" t="s">
        <v>146</v>
      </c>
      <c r="C64" s="25">
        <v>77604.05</v>
      </c>
    </row>
    <row r="65" spans="1:3" ht="12.75">
      <c r="A65" s="24">
        <v>56</v>
      </c>
      <c r="B65" s="4" t="s">
        <v>147</v>
      </c>
      <c r="C65" s="25">
        <v>11272.72</v>
      </c>
    </row>
    <row r="66" spans="1:3" ht="12.75">
      <c r="A66" s="24">
        <v>57</v>
      </c>
      <c r="B66" s="4" t="s">
        <v>148</v>
      </c>
      <c r="C66" s="25">
        <v>28332.89</v>
      </c>
    </row>
    <row r="67" spans="1:3" ht="12.75">
      <c r="A67" s="24">
        <v>58</v>
      </c>
      <c r="B67" s="4" t="s">
        <v>149</v>
      </c>
      <c r="C67" s="25">
        <v>8681.97</v>
      </c>
    </row>
    <row r="68" spans="1:3" ht="12.75">
      <c r="A68" s="24">
        <v>59</v>
      </c>
      <c r="B68" s="4" t="s">
        <v>168</v>
      </c>
      <c r="C68" s="25">
        <v>31376.99</v>
      </c>
    </row>
    <row r="69" spans="1:3" ht="12.75">
      <c r="A69" s="24">
        <v>60</v>
      </c>
      <c r="B69" s="4" t="s">
        <v>150</v>
      </c>
      <c r="C69" s="25">
        <v>18154.54</v>
      </c>
    </row>
    <row r="70" spans="1:3" ht="12.75">
      <c r="A70" s="24">
        <v>61</v>
      </c>
      <c r="B70" s="4" t="s">
        <v>151</v>
      </c>
      <c r="C70" s="25">
        <v>22557.24</v>
      </c>
    </row>
    <row r="71" spans="1:3" ht="12.75">
      <c r="A71" s="24">
        <v>62</v>
      </c>
      <c r="B71" s="4" t="s">
        <v>152</v>
      </c>
      <c r="C71" s="25">
        <v>416125.55</v>
      </c>
    </row>
    <row r="72" spans="1:3" ht="12.75">
      <c r="A72" s="24">
        <v>63</v>
      </c>
      <c r="B72" s="4" t="s">
        <v>153</v>
      </c>
      <c r="C72" s="25">
        <v>33822.31</v>
      </c>
    </row>
    <row r="73" spans="1:3" ht="12.75">
      <c r="A73" s="24">
        <v>64</v>
      </c>
      <c r="B73" s="4" t="s">
        <v>61</v>
      </c>
      <c r="C73" s="25">
        <v>8449.7</v>
      </c>
    </row>
    <row r="74" spans="1:3" ht="12.75">
      <c r="A74" s="24">
        <v>65</v>
      </c>
      <c r="B74" s="4" t="s">
        <v>169</v>
      </c>
      <c r="C74" s="25">
        <v>21280.9</v>
      </c>
    </row>
    <row r="75" spans="1:3" ht="12.75">
      <c r="A75" s="24">
        <v>66</v>
      </c>
      <c r="B75" s="4" t="s">
        <v>154</v>
      </c>
      <c r="C75" s="25">
        <v>21228.1</v>
      </c>
    </row>
    <row r="76" spans="1:3" ht="12.75">
      <c r="A76" s="24">
        <v>67</v>
      </c>
      <c r="B76" s="4" t="s">
        <v>64</v>
      </c>
      <c r="C76" s="25">
        <v>23744.68</v>
      </c>
    </row>
    <row r="77" spans="1:3" ht="12.75">
      <c r="A77" s="24">
        <v>68</v>
      </c>
      <c r="B77" s="4" t="s">
        <v>65</v>
      </c>
      <c r="C77" s="25">
        <v>25933.17</v>
      </c>
    </row>
    <row r="78" spans="1:3" ht="12.75">
      <c r="A78" s="24">
        <v>69</v>
      </c>
      <c r="B78" s="4" t="s">
        <v>101</v>
      </c>
      <c r="C78" s="25">
        <v>106470.96</v>
      </c>
    </row>
    <row r="79" spans="1:3" ht="12.75">
      <c r="A79" s="24">
        <v>70</v>
      </c>
      <c r="B79" s="4" t="s">
        <v>67</v>
      </c>
      <c r="C79" s="25">
        <v>193809.2</v>
      </c>
    </row>
    <row r="80" spans="1:3" ht="12.75">
      <c r="A80" s="4"/>
      <c r="B80" s="4"/>
      <c r="C80" s="29">
        <f>SUM(C10:C79)</f>
        <v>6885770.059999998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64">
      <selection activeCell="A10" sqref="A10:C10"/>
    </sheetView>
  </sheetViews>
  <sheetFormatPr defaultColWidth="9.140625" defaultRowHeight="12.75"/>
  <cols>
    <col min="1" max="1" width="6.8515625" style="21" customWidth="1"/>
    <col min="2" max="2" width="33.57421875" style="0" customWidth="1"/>
    <col min="3" max="3" width="16.140625" style="17" customWidth="1"/>
    <col min="4" max="4" width="12.28125" style="19" bestFit="1" customWidth="1"/>
    <col min="7" max="7" width="12.28125" style="0" bestFit="1" customWidth="1"/>
    <col min="9" max="9" width="29.140625" style="0" customWidth="1"/>
    <col min="10" max="10" width="16.140625" style="0" customWidth="1"/>
  </cols>
  <sheetData>
    <row r="1" spans="1:3" ht="12.75">
      <c r="A1" s="20" t="s">
        <v>69</v>
      </c>
      <c r="B1" s="1"/>
      <c r="C1" s="16"/>
    </row>
    <row r="4" ht="12.75">
      <c r="B4" s="1" t="s">
        <v>70</v>
      </c>
    </row>
    <row r="5" ht="12.75">
      <c r="B5" s="1" t="s">
        <v>155</v>
      </c>
    </row>
    <row r="10" spans="1:3" ht="12.75">
      <c r="A10" s="22" t="s">
        <v>2</v>
      </c>
      <c r="B10" s="3" t="s">
        <v>3</v>
      </c>
      <c r="C10" s="23" t="s">
        <v>76</v>
      </c>
    </row>
    <row r="11" spans="1:3" ht="12.75">
      <c r="A11" s="24">
        <v>1</v>
      </c>
      <c r="B11" s="4" t="s">
        <v>75</v>
      </c>
      <c r="C11" s="25">
        <v>622.14</v>
      </c>
    </row>
    <row r="12" spans="1:3" ht="12.75">
      <c r="A12" s="24">
        <v>2</v>
      </c>
      <c r="B12" s="4" t="s">
        <v>104</v>
      </c>
      <c r="C12" s="26">
        <v>36068.94</v>
      </c>
    </row>
    <row r="13" spans="1:3" ht="12.75">
      <c r="A13" s="24">
        <v>3</v>
      </c>
      <c r="B13" s="4" t="s">
        <v>105</v>
      </c>
      <c r="C13" s="26">
        <v>239948.36</v>
      </c>
    </row>
    <row r="14" spans="1:3" ht="12.75">
      <c r="A14" s="24">
        <v>4</v>
      </c>
      <c r="B14" s="4" t="s">
        <v>7</v>
      </c>
      <c r="C14" s="25">
        <v>543.79</v>
      </c>
    </row>
    <row r="15" spans="1:3" ht="12.75">
      <c r="A15" s="24">
        <v>5</v>
      </c>
      <c r="B15" s="4" t="s">
        <v>106</v>
      </c>
      <c r="C15" s="26">
        <v>67728.02</v>
      </c>
    </row>
    <row r="16" spans="1:3" ht="12.75" customHeight="1">
      <c r="A16" s="24">
        <v>6</v>
      </c>
      <c r="B16" s="4" t="s">
        <v>107</v>
      </c>
      <c r="C16" s="26">
        <v>38244.2</v>
      </c>
    </row>
    <row r="17" spans="1:3" ht="12.75">
      <c r="A17" s="24">
        <v>7</v>
      </c>
      <c r="B17" s="4" t="s">
        <v>108</v>
      </c>
      <c r="C17" s="26">
        <v>19935.58</v>
      </c>
    </row>
    <row r="18" spans="1:3" ht="12.75">
      <c r="A18" s="24">
        <v>8</v>
      </c>
      <c r="B18" s="4" t="s">
        <v>10</v>
      </c>
      <c r="C18" s="26">
        <v>8768.75</v>
      </c>
    </row>
    <row r="19" spans="1:3" ht="12.75">
      <c r="A19" s="24">
        <v>9</v>
      </c>
      <c r="B19" s="4" t="s">
        <v>156</v>
      </c>
      <c r="C19" s="26">
        <v>3371.15</v>
      </c>
    </row>
    <row r="20" spans="1:3" ht="12.75">
      <c r="A20" s="24">
        <v>10</v>
      </c>
      <c r="B20" s="4" t="s">
        <v>11</v>
      </c>
      <c r="C20" s="26">
        <v>92243.8</v>
      </c>
    </row>
    <row r="21" spans="1:3" ht="12.75">
      <c r="A21" s="24">
        <v>11</v>
      </c>
      <c r="B21" s="4" t="s">
        <v>109</v>
      </c>
      <c r="C21" s="26">
        <v>158855.23</v>
      </c>
    </row>
    <row r="22" spans="1:3" ht="12.75">
      <c r="A22" s="24">
        <v>12</v>
      </c>
      <c r="B22" s="4" t="s">
        <v>110</v>
      </c>
      <c r="C22" s="26">
        <v>76218.09</v>
      </c>
    </row>
    <row r="23" spans="1:3" ht="12.75">
      <c r="A23" s="24">
        <v>13</v>
      </c>
      <c r="B23" s="4" t="s">
        <v>111</v>
      </c>
      <c r="C23" s="26">
        <v>15581.35</v>
      </c>
    </row>
    <row r="24" spans="1:3" ht="12.75">
      <c r="A24" s="24">
        <v>14</v>
      </c>
      <c r="B24" s="4" t="s">
        <v>112</v>
      </c>
      <c r="C24" s="26">
        <v>364302.6</v>
      </c>
    </row>
    <row r="25" spans="1:3" ht="12.75">
      <c r="A25" s="24">
        <v>15</v>
      </c>
      <c r="B25" s="4" t="s">
        <v>113</v>
      </c>
      <c r="C25" s="26">
        <v>65421.36</v>
      </c>
    </row>
    <row r="26" spans="1:3" ht="12.75">
      <c r="A26" s="24">
        <v>16</v>
      </c>
      <c r="B26" s="4" t="s">
        <v>114</v>
      </c>
      <c r="C26" s="26">
        <v>7928.15</v>
      </c>
    </row>
    <row r="27" spans="1:3" ht="12.75">
      <c r="A27" s="24">
        <v>17</v>
      </c>
      <c r="B27" s="4" t="s">
        <v>115</v>
      </c>
      <c r="C27" s="26">
        <v>14478.3</v>
      </c>
    </row>
    <row r="28" spans="1:3" ht="12.75">
      <c r="A28" s="24">
        <v>18</v>
      </c>
      <c r="B28" s="4" t="s">
        <v>116</v>
      </c>
      <c r="C28" s="26">
        <v>35112.51</v>
      </c>
    </row>
    <row r="29" spans="1:3" ht="12.75">
      <c r="A29" s="24">
        <v>19</v>
      </c>
      <c r="B29" s="4" t="s">
        <v>19</v>
      </c>
      <c r="C29" s="26">
        <v>127057.3</v>
      </c>
    </row>
    <row r="30" spans="1:3" ht="12.75">
      <c r="A30" s="24">
        <v>20</v>
      </c>
      <c r="B30" s="4" t="s">
        <v>117</v>
      </c>
      <c r="C30" s="26">
        <v>784469.55</v>
      </c>
    </row>
    <row r="31" spans="1:3" ht="12.75">
      <c r="A31" s="24">
        <v>21</v>
      </c>
      <c r="B31" s="4" t="s">
        <v>118</v>
      </c>
      <c r="C31" s="26">
        <v>87650.64</v>
      </c>
    </row>
    <row r="32" spans="1:3" ht="12.75">
      <c r="A32" s="24">
        <v>22</v>
      </c>
      <c r="B32" s="4" t="s">
        <v>119</v>
      </c>
      <c r="C32" s="26">
        <v>43845.27</v>
      </c>
    </row>
    <row r="33" spans="1:3" ht="12.75">
      <c r="A33" s="24">
        <v>23</v>
      </c>
      <c r="B33" s="4" t="s">
        <v>23</v>
      </c>
      <c r="C33" s="25">
        <v>250.15</v>
      </c>
    </row>
    <row r="34" spans="1:3" ht="12.75">
      <c r="A34" s="24">
        <v>24</v>
      </c>
      <c r="B34" s="4" t="s">
        <v>120</v>
      </c>
      <c r="C34" s="26">
        <v>3964.13</v>
      </c>
    </row>
    <row r="35" spans="1:3" ht="12.75">
      <c r="A35" s="24">
        <v>25</v>
      </c>
      <c r="B35" s="4" t="s">
        <v>157</v>
      </c>
      <c r="C35" s="26">
        <v>25727.05</v>
      </c>
    </row>
    <row r="36" spans="1:3" ht="12.75">
      <c r="A36" s="24">
        <v>26</v>
      </c>
      <c r="B36" s="4" t="s">
        <v>72</v>
      </c>
      <c r="C36" s="26">
        <v>7837.77</v>
      </c>
    </row>
    <row r="37" spans="1:3" ht="12.75">
      <c r="A37" s="24">
        <v>27</v>
      </c>
      <c r="B37" s="4" t="s">
        <v>121</v>
      </c>
      <c r="C37" s="26">
        <v>66205.41</v>
      </c>
    </row>
    <row r="38" spans="1:3" ht="12.75">
      <c r="A38" s="24">
        <v>28</v>
      </c>
      <c r="B38" s="4" t="s">
        <v>73</v>
      </c>
      <c r="C38" s="26">
        <v>31500.93</v>
      </c>
    </row>
    <row r="39" spans="1:3" ht="12.75">
      <c r="A39" s="24">
        <v>29</v>
      </c>
      <c r="B39" s="4" t="s">
        <v>122</v>
      </c>
      <c r="C39" s="26">
        <v>250366.76</v>
      </c>
    </row>
    <row r="40" spans="1:3" ht="12.75">
      <c r="A40" s="24">
        <v>30</v>
      </c>
      <c r="B40" s="4" t="s">
        <v>123</v>
      </c>
      <c r="C40" s="26">
        <v>3156.28</v>
      </c>
    </row>
    <row r="41" spans="1:3" ht="12.75">
      <c r="A41" s="24">
        <v>31</v>
      </c>
      <c r="B41" s="4" t="s">
        <v>124</v>
      </c>
      <c r="C41" s="26">
        <v>1405838.78</v>
      </c>
    </row>
    <row r="42" spans="1:3" ht="12.75">
      <c r="A42" s="24">
        <v>32</v>
      </c>
      <c r="B42" s="4" t="s">
        <v>28</v>
      </c>
      <c r="C42" s="26">
        <v>182598.49</v>
      </c>
    </row>
    <row r="43" spans="1:3" ht="12.75">
      <c r="A43" s="24">
        <v>33</v>
      </c>
      <c r="B43" s="4" t="s">
        <v>125</v>
      </c>
      <c r="C43" s="26">
        <v>20143.27</v>
      </c>
    </row>
    <row r="44" spans="1:3" ht="12.75">
      <c r="A44" s="24">
        <v>34</v>
      </c>
      <c r="B44" s="4" t="s">
        <v>126</v>
      </c>
      <c r="C44" s="26">
        <v>3685.3</v>
      </c>
    </row>
    <row r="45" spans="1:3" ht="12.75">
      <c r="A45" s="24">
        <v>35</v>
      </c>
      <c r="B45" s="4" t="s">
        <v>127</v>
      </c>
      <c r="C45" s="26">
        <v>84405.79</v>
      </c>
    </row>
    <row r="46" spans="1:4" ht="12.75">
      <c r="A46" s="24">
        <v>36</v>
      </c>
      <c r="B46" s="4" t="s">
        <v>128</v>
      </c>
      <c r="C46" s="26">
        <f>167144.6+128453.26</f>
        <v>295597.86</v>
      </c>
      <c r="D46" s="28" t="s">
        <v>162</v>
      </c>
    </row>
    <row r="47" spans="1:3" ht="12.75">
      <c r="A47" s="24">
        <v>37</v>
      </c>
      <c r="B47" s="4" t="s">
        <v>159</v>
      </c>
      <c r="C47" s="25">
        <v>6000</v>
      </c>
    </row>
    <row r="48" spans="1:3" ht="12.75">
      <c r="A48" s="24">
        <v>38</v>
      </c>
      <c r="B48" s="4" t="s">
        <v>129</v>
      </c>
      <c r="C48" s="26">
        <v>48984.24</v>
      </c>
    </row>
    <row r="49" spans="1:3" ht="12.75">
      <c r="A49" s="24">
        <v>39</v>
      </c>
      <c r="B49" s="4" t="s">
        <v>33</v>
      </c>
      <c r="C49" s="26">
        <v>30128.28</v>
      </c>
    </row>
    <row r="50" spans="1:3" ht="12.75">
      <c r="A50" s="24">
        <v>40</v>
      </c>
      <c r="B50" s="4" t="s">
        <v>158</v>
      </c>
      <c r="C50" s="26">
        <v>17337.92</v>
      </c>
    </row>
    <row r="51" spans="1:3" ht="12.75">
      <c r="A51" s="24">
        <v>41</v>
      </c>
      <c r="B51" s="4" t="s">
        <v>130</v>
      </c>
      <c r="C51" s="26">
        <v>8799.74</v>
      </c>
    </row>
    <row r="52" spans="1:3" ht="12.75">
      <c r="A52" s="24">
        <v>42</v>
      </c>
      <c r="B52" s="4" t="s">
        <v>160</v>
      </c>
      <c r="C52" s="26">
        <v>20603.82</v>
      </c>
    </row>
    <row r="53" spans="1:3" ht="12.75">
      <c r="A53" s="24">
        <v>43</v>
      </c>
      <c r="B53" s="4" t="s">
        <v>131</v>
      </c>
      <c r="C53" s="26">
        <v>227646.19</v>
      </c>
    </row>
    <row r="54" spans="1:3" ht="12.75">
      <c r="A54" s="24">
        <v>44</v>
      </c>
      <c r="B54" s="4" t="s">
        <v>132</v>
      </c>
      <c r="C54" s="26">
        <v>11266.55</v>
      </c>
    </row>
    <row r="55" spans="1:3" ht="12.75">
      <c r="A55" s="24">
        <v>45</v>
      </c>
      <c r="B55" s="4" t="s">
        <v>133</v>
      </c>
      <c r="C55" s="26">
        <v>69067.39</v>
      </c>
    </row>
    <row r="56" spans="1:3" ht="12.75">
      <c r="A56" s="24">
        <v>46</v>
      </c>
      <c r="B56" s="4" t="s">
        <v>134</v>
      </c>
      <c r="C56" s="26">
        <v>33391.55</v>
      </c>
    </row>
    <row r="57" spans="1:3" ht="12.75">
      <c r="A57" s="24">
        <v>47</v>
      </c>
      <c r="B57" s="4" t="s">
        <v>135</v>
      </c>
      <c r="C57" s="26">
        <v>35905</v>
      </c>
    </row>
    <row r="58" spans="1:3" ht="14.25" customHeight="1">
      <c r="A58" s="24">
        <v>48</v>
      </c>
      <c r="B58" s="4" t="s">
        <v>136</v>
      </c>
      <c r="C58" s="26">
        <v>68031.35</v>
      </c>
    </row>
    <row r="59" spans="1:3" ht="12.75">
      <c r="A59" s="24">
        <v>49</v>
      </c>
      <c r="B59" s="4" t="s">
        <v>137</v>
      </c>
      <c r="C59" s="26">
        <v>9733.62</v>
      </c>
    </row>
    <row r="60" spans="1:3" ht="12.75">
      <c r="A60" s="24">
        <v>50</v>
      </c>
      <c r="B60" s="4" t="s">
        <v>138</v>
      </c>
      <c r="C60" s="26">
        <v>18626.7</v>
      </c>
    </row>
    <row r="61" spans="1:3" ht="12.75">
      <c r="A61" s="24">
        <v>51</v>
      </c>
      <c r="B61" s="4" t="s">
        <v>139</v>
      </c>
      <c r="C61" s="26">
        <v>22096.46</v>
      </c>
    </row>
    <row r="62" spans="1:3" ht="12.75">
      <c r="A62" s="24">
        <v>52</v>
      </c>
      <c r="B62" s="4" t="s">
        <v>140</v>
      </c>
      <c r="C62" s="26">
        <v>27785.31</v>
      </c>
    </row>
    <row r="63" spans="1:3" ht="12.75">
      <c r="A63" s="24">
        <v>53</v>
      </c>
      <c r="B63" s="4" t="s">
        <v>141</v>
      </c>
      <c r="C63" s="26">
        <v>79447.37</v>
      </c>
    </row>
    <row r="64" spans="1:3" ht="12.75">
      <c r="A64" s="24">
        <v>54</v>
      </c>
      <c r="B64" s="4" t="s">
        <v>142</v>
      </c>
      <c r="C64" s="26">
        <v>24337.88</v>
      </c>
    </row>
    <row r="65" spans="1:3" ht="12.75">
      <c r="A65" s="24">
        <v>55</v>
      </c>
      <c r="B65" s="4" t="s">
        <v>143</v>
      </c>
      <c r="C65" s="26">
        <v>30239.27</v>
      </c>
    </row>
    <row r="66" spans="1:3" ht="12.75">
      <c r="A66" s="24">
        <v>56</v>
      </c>
      <c r="B66" s="4" t="s">
        <v>144</v>
      </c>
      <c r="C66" s="26">
        <v>4332.68</v>
      </c>
    </row>
    <row r="67" spans="1:3" ht="12.75">
      <c r="A67" s="24">
        <v>57</v>
      </c>
      <c r="B67" s="4" t="s">
        <v>145</v>
      </c>
      <c r="C67" s="26">
        <v>28867.47</v>
      </c>
    </row>
    <row r="68" spans="1:3" ht="12.75">
      <c r="A68" s="24">
        <v>58</v>
      </c>
      <c r="B68" s="4" t="s">
        <v>146</v>
      </c>
      <c r="C68" s="26">
        <v>69161.78</v>
      </c>
    </row>
    <row r="69" spans="1:3" ht="12.75">
      <c r="A69" s="24">
        <v>59</v>
      </c>
      <c r="B69" s="4" t="s">
        <v>147</v>
      </c>
      <c r="C69" s="26">
        <v>8446.78</v>
      </c>
    </row>
    <row r="70" spans="1:3" ht="12.75">
      <c r="A70" s="24">
        <v>60</v>
      </c>
      <c r="B70" s="4" t="s">
        <v>148</v>
      </c>
      <c r="C70" s="26">
        <v>27139.97</v>
      </c>
    </row>
    <row r="71" spans="1:3" ht="12.75">
      <c r="A71" s="24">
        <v>61</v>
      </c>
      <c r="B71" s="4" t="s">
        <v>149</v>
      </c>
      <c r="C71" s="26">
        <v>7865.07</v>
      </c>
    </row>
    <row r="72" spans="1:3" ht="12.75">
      <c r="A72" s="24">
        <v>62</v>
      </c>
      <c r="B72" s="4" t="s">
        <v>161</v>
      </c>
      <c r="C72" s="26">
        <v>32770.54</v>
      </c>
    </row>
    <row r="73" spans="1:3" ht="12.75">
      <c r="A73" s="24">
        <v>63</v>
      </c>
      <c r="B73" s="4" t="s">
        <v>150</v>
      </c>
      <c r="C73" s="26">
        <v>16798.66</v>
      </c>
    </row>
    <row r="74" spans="1:3" ht="12.75">
      <c r="A74" s="24">
        <v>64</v>
      </c>
      <c r="B74" s="4" t="s">
        <v>151</v>
      </c>
      <c r="C74" s="26">
        <v>17675.08</v>
      </c>
    </row>
    <row r="75" spans="1:3" ht="12.75">
      <c r="A75" s="24">
        <v>65</v>
      </c>
      <c r="B75" s="4" t="s">
        <v>152</v>
      </c>
      <c r="C75" s="26">
        <v>606784.35</v>
      </c>
    </row>
    <row r="76" spans="1:3" ht="12.75">
      <c r="A76" s="24">
        <v>66</v>
      </c>
      <c r="B76" s="4" t="s">
        <v>153</v>
      </c>
      <c r="C76" s="26">
        <v>34129.09</v>
      </c>
    </row>
    <row r="77" spans="1:3" ht="12.75">
      <c r="A77" s="24">
        <v>67</v>
      </c>
      <c r="B77" s="4" t="s">
        <v>61</v>
      </c>
      <c r="C77" s="26">
        <v>9241.18</v>
      </c>
    </row>
    <row r="78" spans="1:3" ht="12.75">
      <c r="A78" s="24">
        <v>68</v>
      </c>
      <c r="B78" s="4" t="s">
        <v>163</v>
      </c>
      <c r="C78" s="26">
        <v>17688.29</v>
      </c>
    </row>
    <row r="79" spans="1:3" ht="12.75">
      <c r="A79" s="24">
        <v>69</v>
      </c>
      <c r="B79" s="4" t="s">
        <v>154</v>
      </c>
      <c r="C79" s="26">
        <v>15486.45</v>
      </c>
    </row>
    <row r="80" spans="1:3" ht="12.75">
      <c r="A80" s="24">
        <v>70</v>
      </c>
      <c r="B80" s="4" t="s">
        <v>64</v>
      </c>
      <c r="C80" s="26">
        <v>19793.92</v>
      </c>
    </row>
    <row r="81" spans="1:3" ht="12.75">
      <c r="A81" s="24">
        <v>71</v>
      </c>
      <c r="B81" s="4" t="s">
        <v>65</v>
      </c>
      <c r="C81" s="26">
        <v>24593.73</v>
      </c>
    </row>
    <row r="82" spans="1:3" ht="12.75">
      <c r="A82" s="24">
        <v>72</v>
      </c>
      <c r="B82" s="4" t="s">
        <v>101</v>
      </c>
      <c r="C82" s="26">
        <v>113538.8</v>
      </c>
    </row>
    <row r="83" spans="1:3" ht="12.75">
      <c r="A83" s="24">
        <v>73</v>
      </c>
      <c r="B83" s="4" t="s">
        <v>67</v>
      </c>
      <c r="C83" s="26">
        <v>174317.73</v>
      </c>
    </row>
    <row r="84" spans="1:4" ht="12.75">
      <c r="A84" s="24"/>
      <c r="B84" s="4"/>
      <c r="C84" s="27">
        <f>SUM(C11:C83)</f>
        <v>6687733.26</v>
      </c>
      <c r="D84" s="18"/>
    </row>
    <row r="87" ht="12.75">
      <c r="C87" s="17">
        <f>6302810+256470</f>
        <v>6559280</v>
      </c>
    </row>
    <row r="88" spans="3:4" ht="12.75">
      <c r="C88" s="17">
        <f>+C84-C87</f>
        <v>128453.25999999978</v>
      </c>
      <c r="D88" s="19" t="s">
        <v>164</v>
      </c>
    </row>
    <row r="93" ht="12.75">
      <c r="C93" s="18"/>
    </row>
    <row r="94" ht="12.75">
      <c r="G94" s="18"/>
    </row>
    <row r="97" ht="12.75">
      <c r="G97" s="17"/>
    </row>
  </sheetData>
  <printOptions/>
  <pageMargins left="0.3937007874015748" right="0.35433070866141736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1">
      <selection activeCell="C62" sqref="C62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4.00390625" style="0" customWidth="1"/>
    <col min="4" max="4" width="15.140625" style="0" customWidth="1"/>
  </cols>
  <sheetData>
    <row r="1" spans="1:3" ht="12.75">
      <c r="A1" s="1" t="s">
        <v>69</v>
      </c>
      <c r="B1" s="1"/>
      <c r="C1" s="1"/>
    </row>
    <row r="4" spans="2:4" ht="12.75">
      <c r="B4" s="1" t="s">
        <v>70</v>
      </c>
      <c r="D4" s="1"/>
    </row>
    <row r="5" spans="2:4" ht="12.75">
      <c r="B5" s="1" t="s">
        <v>102</v>
      </c>
      <c r="D5" s="1"/>
    </row>
    <row r="6" spans="3:4" ht="12.75">
      <c r="C6" s="1"/>
      <c r="D6" s="1"/>
    </row>
    <row r="7" spans="3:4" ht="12.75">
      <c r="C7" s="1"/>
      <c r="D7" s="1"/>
    </row>
    <row r="9" spans="1:3" ht="29.25" customHeight="1">
      <c r="A9" s="2" t="s">
        <v>2</v>
      </c>
      <c r="B9" s="3" t="s">
        <v>3</v>
      </c>
      <c r="C9" s="12" t="s">
        <v>76</v>
      </c>
    </row>
    <row r="10" spans="1:3" ht="12.75">
      <c r="A10" s="4">
        <v>1</v>
      </c>
      <c r="B10" s="4" t="s">
        <v>80</v>
      </c>
      <c r="C10" s="5">
        <f>699.25+6149.53+8520.47</f>
        <v>15369.25</v>
      </c>
    </row>
    <row r="11" spans="1:3" ht="12.75">
      <c r="A11" s="4">
        <v>2</v>
      </c>
      <c r="B11" s="4" t="s">
        <v>34</v>
      </c>
      <c r="C11" s="5">
        <f>236.6+8980.16</f>
        <v>9216.76</v>
      </c>
    </row>
    <row r="12" spans="1:3" ht="12.75">
      <c r="A12" s="4">
        <v>3</v>
      </c>
      <c r="B12" s="4" t="s">
        <v>29</v>
      </c>
      <c r="C12" s="5">
        <f>1468.8+1542.5+13069.34+7220.2</f>
        <v>23300.84</v>
      </c>
    </row>
    <row r="13" spans="1:3" ht="12.75">
      <c r="A13" s="4">
        <v>4</v>
      </c>
      <c r="B13" s="4" t="s">
        <v>35</v>
      </c>
      <c r="C13" s="5">
        <f>11695.02+150906.7+30000+14000+37364.73</f>
        <v>243966.45</v>
      </c>
    </row>
    <row r="14" spans="1:3" ht="12.75">
      <c r="A14" s="4">
        <v>5</v>
      </c>
      <c r="B14" s="4" t="s">
        <v>5</v>
      </c>
      <c r="C14" s="5">
        <f>1703.39+39089.82</f>
        <v>40793.21</v>
      </c>
    </row>
    <row r="15" spans="1:3" ht="12.75">
      <c r="A15" s="4">
        <v>6</v>
      </c>
      <c r="B15" s="4" t="s">
        <v>6</v>
      </c>
      <c r="C15" s="5">
        <f>7158.98+224871.38</f>
        <v>232030.36000000002</v>
      </c>
    </row>
    <row r="16" spans="1:3" ht="12.75">
      <c r="A16" s="4">
        <v>7</v>
      </c>
      <c r="B16" s="4" t="s">
        <v>36</v>
      </c>
      <c r="C16" s="5">
        <f>280.38+8772.14</f>
        <v>9052.519999999999</v>
      </c>
    </row>
    <row r="17" spans="1:3" ht="12.75">
      <c r="A17" s="4">
        <v>8</v>
      </c>
      <c r="B17" s="4" t="s">
        <v>7</v>
      </c>
      <c r="C17" s="5">
        <v>6879.5</v>
      </c>
    </row>
    <row r="18" spans="1:3" ht="12.75">
      <c r="A18" s="4">
        <v>9</v>
      </c>
      <c r="B18" s="4" t="s">
        <v>96</v>
      </c>
      <c r="C18" s="5">
        <f>2890.42+46994.83</f>
        <v>49885.25</v>
      </c>
    </row>
    <row r="19" spans="1:3" ht="12.75">
      <c r="A19" s="4">
        <v>10</v>
      </c>
      <c r="B19" s="4" t="s">
        <v>8</v>
      </c>
      <c r="C19" s="5">
        <f>1928.07+32294.59</f>
        <v>34222.66</v>
      </c>
    </row>
    <row r="20" spans="1:3" ht="12.75">
      <c r="A20" s="4">
        <v>11</v>
      </c>
      <c r="B20" s="4" t="s">
        <v>9</v>
      </c>
      <c r="C20" s="5">
        <f>637.08+18937.93</f>
        <v>19575.010000000002</v>
      </c>
    </row>
    <row r="21" spans="1:3" ht="12.75">
      <c r="A21" s="4">
        <v>12</v>
      </c>
      <c r="B21" s="4" t="s">
        <v>10</v>
      </c>
      <c r="C21" s="5">
        <f>960.63+7846.67</f>
        <v>8807.3</v>
      </c>
    </row>
    <row r="22" spans="1:3" ht="12.75">
      <c r="A22" s="4">
        <v>13</v>
      </c>
      <c r="B22" s="4" t="s">
        <v>37</v>
      </c>
      <c r="C22" s="5">
        <f>3902.03+93763.91</f>
        <v>97665.94</v>
      </c>
    </row>
    <row r="23" spans="1:3" ht="12.75">
      <c r="A23" s="4">
        <v>14</v>
      </c>
      <c r="B23" s="4" t="s">
        <v>38</v>
      </c>
      <c r="C23" s="5">
        <f>1976.09+12550.16+1658.14+9931.06+10000</f>
        <v>36115.45</v>
      </c>
    </row>
    <row r="24" spans="1:3" ht="12.75">
      <c r="A24" s="4">
        <v>15</v>
      </c>
      <c r="B24" s="4" t="s">
        <v>39</v>
      </c>
      <c r="C24" s="5">
        <f>236.81+2195.37+1390.08</f>
        <v>3822.2599999999998</v>
      </c>
    </row>
    <row r="25" spans="1:3" ht="12.75">
      <c r="A25" s="4">
        <v>16</v>
      </c>
      <c r="B25" s="4" t="s">
        <v>11</v>
      </c>
      <c r="C25" s="5">
        <f>857.38+32207.81+28898.57+19101.43</f>
        <v>81065.19</v>
      </c>
    </row>
    <row r="26" spans="1:3" ht="12.75">
      <c r="A26" s="4">
        <v>17</v>
      </c>
      <c r="B26" s="4" t="s">
        <v>40</v>
      </c>
      <c r="C26" s="5">
        <f>3788.51+30686.88</f>
        <v>34475.39</v>
      </c>
    </row>
    <row r="27" spans="1:3" ht="12.75">
      <c r="A27" s="4">
        <v>18</v>
      </c>
      <c r="B27" s="6" t="s">
        <v>41</v>
      </c>
      <c r="C27" s="5">
        <f>3207.61+56890.85</f>
        <v>60098.46</v>
      </c>
    </row>
    <row r="28" spans="1:3" ht="12.75">
      <c r="A28" s="4">
        <v>19</v>
      </c>
      <c r="B28" s="4" t="s">
        <v>12</v>
      </c>
      <c r="C28" s="5">
        <f>3496.89+135663.01</f>
        <v>139159.90000000002</v>
      </c>
    </row>
    <row r="29" spans="1:3" ht="12.75">
      <c r="A29" s="4">
        <v>20</v>
      </c>
      <c r="B29" s="4" t="s">
        <v>13</v>
      </c>
      <c r="C29" s="5">
        <f>6471.07+74658.66</f>
        <v>81129.73000000001</v>
      </c>
    </row>
    <row r="30" spans="1:3" ht="12.75">
      <c r="A30" s="4">
        <v>21</v>
      </c>
      <c r="B30" s="4" t="s">
        <v>14</v>
      </c>
      <c r="C30" s="5">
        <f>973.13+11002.49</f>
        <v>11975.619999999999</v>
      </c>
    </row>
    <row r="31" spans="1:3" ht="12.75">
      <c r="A31" s="4">
        <v>22</v>
      </c>
      <c r="B31" s="4" t="s">
        <v>15</v>
      </c>
      <c r="C31" s="5">
        <f>16628.86+228801.38+106944.49</f>
        <v>352374.73</v>
      </c>
    </row>
    <row r="32" spans="1:3" ht="12.75">
      <c r="A32" s="4">
        <v>23</v>
      </c>
      <c r="B32" s="4" t="s">
        <v>42</v>
      </c>
      <c r="C32" s="5">
        <f>149.27+11314.32</f>
        <v>11463.59</v>
      </c>
    </row>
    <row r="33" spans="1:3" ht="12.75">
      <c r="A33" s="4">
        <v>24</v>
      </c>
      <c r="B33" s="4" t="s">
        <v>16</v>
      </c>
      <c r="C33" s="5">
        <f>1603.85+55426.18</f>
        <v>57030.03</v>
      </c>
    </row>
    <row r="34" spans="1:3" ht="12.75">
      <c r="A34" s="4">
        <v>25</v>
      </c>
      <c r="B34" s="4" t="s">
        <v>17</v>
      </c>
      <c r="C34" s="5">
        <f>47.43+6285.66</f>
        <v>6333.09</v>
      </c>
    </row>
    <row r="35" spans="1:3" ht="12.75">
      <c r="A35" s="4">
        <v>26</v>
      </c>
      <c r="B35" s="4" t="s">
        <v>43</v>
      </c>
      <c r="C35" s="5">
        <f>1335.72+17685.98</f>
        <v>19021.7</v>
      </c>
    </row>
    <row r="36" spans="1:3" ht="12.75">
      <c r="A36" s="4">
        <v>27</v>
      </c>
      <c r="B36" s="4" t="s">
        <v>71</v>
      </c>
      <c r="C36" s="5">
        <f>985.53+10531.36</f>
        <v>11516.890000000001</v>
      </c>
    </row>
    <row r="37" spans="1:3" ht="12.75">
      <c r="A37" s="4">
        <v>28</v>
      </c>
      <c r="B37" s="4" t="s">
        <v>44</v>
      </c>
      <c r="C37" s="5">
        <f>1783.86+17153.19</f>
        <v>18937.05</v>
      </c>
    </row>
    <row r="38" spans="1:3" ht="12.75">
      <c r="A38" s="4">
        <v>29</v>
      </c>
      <c r="B38" s="4" t="s">
        <v>18</v>
      </c>
      <c r="C38" s="5">
        <f>62.48+21907.45</f>
        <v>21969.93</v>
      </c>
    </row>
    <row r="39" spans="1:3" ht="12.75">
      <c r="A39" s="4">
        <v>30</v>
      </c>
      <c r="B39" s="4" t="s">
        <v>19</v>
      </c>
      <c r="C39" s="5">
        <f>2558.71+71955.27+3354.12+15900+42000</f>
        <v>135768.1</v>
      </c>
    </row>
    <row r="40" spans="1:3" ht="12.75">
      <c r="A40" s="4">
        <v>31</v>
      </c>
      <c r="B40" s="4" t="s">
        <v>20</v>
      </c>
      <c r="C40" s="5">
        <f>31403.42+707189.53</f>
        <v>738592.9500000001</v>
      </c>
    </row>
    <row r="41" spans="1:3" ht="12.75">
      <c r="A41" s="4">
        <v>32</v>
      </c>
      <c r="B41" s="4" t="s">
        <v>45</v>
      </c>
      <c r="C41" s="5">
        <f>1328.64+27627.5</f>
        <v>28956.14</v>
      </c>
    </row>
    <row r="42" spans="1:3" ht="12.75">
      <c r="A42" s="4">
        <v>33</v>
      </c>
      <c r="B42" s="4" t="s">
        <v>95</v>
      </c>
      <c r="C42" s="5">
        <f>3513.82+70559.92</f>
        <v>74073.74</v>
      </c>
    </row>
    <row r="43" spans="1:3" ht="12.75">
      <c r="A43" s="4">
        <v>34</v>
      </c>
      <c r="B43" s="4" t="s">
        <v>21</v>
      </c>
      <c r="C43" s="5">
        <f>2104.82+93538.19</f>
        <v>95643.01000000001</v>
      </c>
    </row>
    <row r="44" spans="1:3" ht="12.75">
      <c r="A44" s="4">
        <v>35</v>
      </c>
      <c r="B44" s="4" t="s">
        <v>47</v>
      </c>
      <c r="C44" s="5">
        <f>1749.19+29007.33</f>
        <v>30756.52</v>
      </c>
    </row>
    <row r="45" spans="1:3" ht="12.75">
      <c r="A45" s="4">
        <v>36</v>
      </c>
      <c r="B45" s="6" t="s">
        <v>22</v>
      </c>
      <c r="C45" s="5">
        <f>641.63+55727</f>
        <v>56368.63</v>
      </c>
    </row>
    <row r="46" spans="1:3" ht="12.75">
      <c r="A46" s="4">
        <v>37</v>
      </c>
      <c r="B46" s="4" t="s">
        <v>74</v>
      </c>
      <c r="C46" s="5">
        <f>1464.02+12953.46+5006.12</f>
        <v>19423.6</v>
      </c>
    </row>
    <row r="47" spans="1:3" ht="12.75">
      <c r="A47" s="4">
        <v>38</v>
      </c>
      <c r="B47" s="6" t="s">
        <v>23</v>
      </c>
      <c r="C47" s="5">
        <v>24808.99</v>
      </c>
    </row>
    <row r="48" spans="1:3" ht="12.75">
      <c r="A48" s="4">
        <v>39</v>
      </c>
      <c r="B48" s="4" t="s">
        <v>48</v>
      </c>
      <c r="C48" s="5">
        <f>3034.39+29966.72</f>
        <v>33001.11</v>
      </c>
    </row>
    <row r="49" spans="1:3" ht="12.75">
      <c r="A49" s="4">
        <v>40</v>
      </c>
      <c r="B49" s="4" t="s">
        <v>97</v>
      </c>
      <c r="C49" s="5">
        <f>326.28+2274.13</f>
        <v>2600.41</v>
      </c>
    </row>
    <row r="50" spans="1:3" ht="12.75">
      <c r="A50" s="4">
        <v>41</v>
      </c>
      <c r="B50" s="4" t="s">
        <v>49</v>
      </c>
      <c r="C50" s="5">
        <f>1008.77+18.52+25347.24</f>
        <v>26374.530000000002</v>
      </c>
    </row>
    <row r="51" spans="1:3" ht="12.75">
      <c r="A51" s="4">
        <v>42</v>
      </c>
      <c r="B51" s="4" t="s">
        <v>79</v>
      </c>
      <c r="C51" s="5">
        <f>530.92+8152.94</f>
        <v>8683.859999999999</v>
      </c>
    </row>
    <row r="52" spans="1:3" ht="12.75">
      <c r="A52" s="4">
        <v>43</v>
      </c>
      <c r="B52" s="4" t="s">
        <v>24</v>
      </c>
      <c r="C52" s="5">
        <f>2892.39+52768.53</f>
        <v>55660.92</v>
      </c>
    </row>
    <row r="53" spans="1:3" ht="12.75">
      <c r="A53" s="4">
        <v>44</v>
      </c>
      <c r="B53" s="4" t="s">
        <v>50</v>
      </c>
      <c r="C53" s="5">
        <f>451.72+3763.52</f>
        <v>4215.24</v>
      </c>
    </row>
    <row r="54" spans="1:3" ht="12.75">
      <c r="A54" s="4">
        <v>45</v>
      </c>
      <c r="B54" s="4" t="s">
        <v>73</v>
      </c>
      <c r="C54" s="5">
        <f>2199.23+24351.18</f>
        <v>26550.41</v>
      </c>
    </row>
    <row r="55" spans="1:3" ht="12.75">
      <c r="A55" s="4">
        <v>46</v>
      </c>
      <c r="B55" s="4" t="s">
        <v>51</v>
      </c>
      <c r="C55" s="5">
        <f>3608.33+25290.18</f>
        <v>28898.510000000002</v>
      </c>
    </row>
    <row r="56" spans="1:3" ht="12.75">
      <c r="A56" s="4">
        <v>47</v>
      </c>
      <c r="B56" s="6" t="s">
        <v>52</v>
      </c>
      <c r="C56" s="5">
        <f>3222.53+72643.75</f>
        <v>75866.28</v>
      </c>
    </row>
    <row r="57" spans="1:3" ht="12.75">
      <c r="A57" s="4">
        <v>48</v>
      </c>
      <c r="B57" s="4" t="s">
        <v>25</v>
      </c>
      <c r="C57" s="5">
        <f>4257.06+102348.77+40000+74575.52</f>
        <v>221181.35000000003</v>
      </c>
    </row>
    <row r="58" spans="1:3" ht="12.75">
      <c r="A58" s="4">
        <v>49</v>
      </c>
      <c r="B58" s="4" t="s">
        <v>26</v>
      </c>
      <c r="C58" s="5">
        <f>284.4+2837.81</f>
        <v>3122.21</v>
      </c>
    </row>
    <row r="59" spans="1:3" ht="12.75">
      <c r="A59" s="4">
        <v>50</v>
      </c>
      <c r="B59" s="4" t="s">
        <v>27</v>
      </c>
      <c r="C59" s="5">
        <f>26820.65+1389912.41+57378.55</f>
        <v>1474111.6099999999</v>
      </c>
    </row>
    <row r="60" spans="1:3" ht="12.75">
      <c r="A60" s="4">
        <v>51</v>
      </c>
      <c r="B60" s="4" t="s">
        <v>28</v>
      </c>
      <c r="C60" s="5">
        <f>7506.86+191871.11</f>
        <v>199377.96999999997</v>
      </c>
    </row>
    <row r="61" spans="1:3" ht="12.75">
      <c r="A61" s="4">
        <v>52</v>
      </c>
      <c r="B61" s="4" t="s">
        <v>53</v>
      </c>
      <c r="C61" s="5">
        <f>106.57+10512.38</f>
        <v>10618.949999999999</v>
      </c>
    </row>
    <row r="62" spans="1:4" ht="12.75">
      <c r="A62" s="4">
        <v>53</v>
      </c>
      <c r="B62" s="4" t="s">
        <v>31</v>
      </c>
      <c r="C62" s="5">
        <f>8701.8+29527.17+128453.26</f>
        <v>166682.22999999998</v>
      </c>
      <c r="D62" s="15" t="s">
        <v>103</v>
      </c>
    </row>
    <row r="63" spans="1:3" ht="12.75">
      <c r="A63" s="4">
        <v>54</v>
      </c>
      <c r="B63" s="4" t="s">
        <v>54</v>
      </c>
      <c r="C63" s="5">
        <f>869.61+20372.37+9838.25</f>
        <v>31080.23</v>
      </c>
    </row>
    <row r="64" spans="1:3" ht="12.75">
      <c r="A64" s="4">
        <v>55</v>
      </c>
      <c r="B64" s="4" t="s">
        <v>32</v>
      </c>
      <c r="C64" s="5">
        <f>2864.15+7380.12+37000+12655.02</f>
        <v>59899.29000000001</v>
      </c>
    </row>
    <row r="65" spans="1:3" ht="12.75">
      <c r="A65" s="4">
        <v>56</v>
      </c>
      <c r="B65" s="4" t="s">
        <v>30</v>
      </c>
      <c r="C65" s="5">
        <f>6953.77+76950.15</f>
        <v>83903.92</v>
      </c>
    </row>
    <row r="66" spans="1:3" ht="12.75">
      <c r="A66" s="4">
        <v>57</v>
      </c>
      <c r="B66" s="4" t="s">
        <v>33</v>
      </c>
      <c r="C66" s="5">
        <f>2498.21+31602.24</f>
        <v>34100.450000000004</v>
      </c>
    </row>
    <row r="67" spans="1:3" ht="12.75">
      <c r="A67" s="4">
        <v>58</v>
      </c>
      <c r="B67" s="4" t="s">
        <v>59</v>
      </c>
      <c r="C67" s="5">
        <f>9729.9+539293.16</f>
        <v>549023.06</v>
      </c>
    </row>
    <row r="68" spans="1:3" ht="12.75">
      <c r="A68" s="4">
        <v>59</v>
      </c>
      <c r="B68" s="4" t="s">
        <v>60</v>
      </c>
      <c r="C68" s="5">
        <f>486.29+1815.43+31142.87</f>
        <v>33444.59</v>
      </c>
    </row>
    <row r="69" spans="1:3" ht="12.75">
      <c r="A69" s="4">
        <v>60</v>
      </c>
      <c r="B69" s="4" t="s">
        <v>55</v>
      </c>
      <c r="C69" s="5">
        <f>965.39+6561.6</f>
        <v>7526.990000000001</v>
      </c>
    </row>
    <row r="70" spans="1:3" ht="12.75">
      <c r="A70" s="4">
        <v>61</v>
      </c>
      <c r="B70" s="4" t="s">
        <v>61</v>
      </c>
      <c r="C70" s="5">
        <f>430.37+763.61+10902.27</f>
        <v>12096.25</v>
      </c>
    </row>
    <row r="71" spans="1:3" ht="12.75">
      <c r="A71" s="4">
        <v>62</v>
      </c>
      <c r="B71" s="4" t="s">
        <v>62</v>
      </c>
      <c r="C71" s="5">
        <f>1440.26+11079.79+5000</f>
        <v>17520.050000000003</v>
      </c>
    </row>
    <row r="72" spans="1:3" ht="12.75">
      <c r="A72" s="4">
        <v>63</v>
      </c>
      <c r="B72" s="4" t="s">
        <v>63</v>
      </c>
      <c r="C72" s="5">
        <f>1512.88+18195.84</f>
        <v>19708.72</v>
      </c>
    </row>
    <row r="73" spans="1:3" ht="12.75">
      <c r="A73" s="4">
        <v>64</v>
      </c>
      <c r="B73" s="4" t="s">
        <v>64</v>
      </c>
      <c r="C73" s="5">
        <f>1118.52+15141.71</f>
        <v>16260.23</v>
      </c>
    </row>
    <row r="74" spans="1:3" ht="12.75">
      <c r="A74" s="4">
        <v>65</v>
      </c>
      <c r="B74" s="4" t="s">
        <v>65</v>
      </c>
      <c r="C74" s="5">
        <f>974.74+21226.59</f>
        <v>22201.33</v>
      </c>
    </row>
    <row r="75" spans="1:3" ht="12.75">
      <c r="A75" s="4">
        <v>66</v>
      </c>
      <c r="B75" s="4" t="s">
        <v>56</v>
      </c>
      <c r="C75" s="5">
        <f>2573.66+28839.72</f>
        <v>31413.38</v>
      </c>
    </row>
    <row r="76" spans="1:3" ht="12.75">
      <c r="A76" s="4">
        <v>67</v>
      </c>
      <c r="B76" s="4" t="s">
        <v>99</v>
      </c>
      <c r="C76" s="5">
        <f>1128.38+24120.5</f>
        <v>25248.88</v>
      </c>
    </row>
    <row r="77" spans="1:3" ht="12.75">
      <c r="A77" s="4">
        <v>68</v>
      </c>
      <c r="B77" s="4" t="s">
        <v>101</v>
      </c>
      <c r="C77" s="5">
        <f>9463.61+89969.44</f>
        <v>99433.05</v>
      </c>
    </row>
    <row r="78" spans="1:3" ht="12.75">
      <c r="A78" s="4">
        <v>69</v>
      </c>
      <c r="B78" s="4" t="s">
        <v>100</v>
      </c>
      <c r="C78" s="5">
        <f>2632.45+11378.27</f>
        <v>14010.720000000001</v>
      </c>
    </row>
    <row r="79" spans="1:3" ht="12.75">
      <c r="A79" s="4">
        <v>70</v>
      </c>
      <c r="B79" s="4" t="s">
        <v>67</v>
      </c>
      <c r="C79" s="5">
        <f>9622.57+161404.96</f>
        <v>171027.53</v>
      </c>
    </row>
    <row r="80" spans="1:3" ht="12.75">
      <c r="A80" s="4"/>
      <c r="B80" s="8" t="s">
        <v>68</v>
      </c>
      <c r="C80" s="9">
        <f>SUM(C10:C79)</f>
        <v>6506490.000000001</v>
      </c>
    </row>
    <row r="83" ht="12.75">
      <c r="C83">
        <f>243980+5477722.65+59652.68+106944.49+163440.86+158379.41+292784.46+2195.37+1390.08</f>
        <v>6506490.000000001</v>
      </c>
    </row>
    <row r="84" ht="12.75">
      <c r="C84" s="11">
        <f>+C80-C83</f>
        <v>0</v>
      </c>
    </row>
    <row r="87" ht="12.75">
      <c r="C87">
        <f>243980+6262510</f>
        <v>6506490</v>
      </c>
    </row>
    <row r="88" ht="12.75">
      <c r="C88" s="11">
        <f>+C80-C87</f>
        <v>0</v>
      </c>
    </row>
  </sheetData>
  <sheetProtection/>
  <printOptions/>
  <pageMargins left="0.5511811023622047" right="0.5511811023622047" top="0.2362204724409449" bottom="0.2755905511811024" header="0.1968503937007874" footer="0.275590551181102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61">
      <selection activeCell="C89" sqref="C89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98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8255.79+5747.07</f>
        <v>14002.86</v>
      </c>
    </row>
    <row r="11" spans="2:4" ht="12.75">
      <c r="B11" s="4">
        <v>2</v>
      </c>
      <c r="C11" s="4" t="s">
        <v>34</v>
      </c>
      <c r="D11" s="5">
        <v>2296.05</v>
      </c>
    </row>
    <row r="12" spans="2:4" ht="12.75">
      <c r="B12" s="4">
        <v>3</v>
      </c>
      <c r="C12" s="4" t="s">
        <v>29</v>
      </c>
      <c r="D12" s="5">
        <f>2506.16+10264.26+16518.39</f>
        <v>29288.809999999998</v>
      </c>
    </row>
    <row r="13" spans="2:4" ht="12.75">
      <c r="B13" s="4">
        <v>4</v>
      </c>
      <c r="C13" s="4" t="s">
        <v>35</v>
      </c>
      <c r="D13" s="5">
        <f>59808.77+51256.14+24485+30000+71127</f>
        <v>236676.91</v>
      </c>
    </row>
    <row r="14" spans="2:4" ht="12.75">
      <c r="B14" s="4">
        <v>5</v>
      </c>
      <c r="C14" s="4" t="s">
        <v>5</v>
      </c>
      <c r="D14" s="5">
        <v>48561.45</v>
      </c>
    </row>
    <row r="15" spans="2:4" ht="12.75">
      <c r="B15" s="4">
        <v>6</v>
      </c>
      <c r="C15" s="4" t="s">
        <v>6</v>
      </c>
      <c r="D15" s="5">
        <v>248384.88</v>
      </c>
    </row>
    <row r="16" spans="2:4" ht="12.75">
      <c r="B16" s="4">
        <v>7</v>
      </c>
      <c r="C16" s="4" t="s">
        <v>36</v>
      </c>
      <c r="D16" s="5">
        <v>9299.46</v>
      </c>
    </row>
    <row r="17" spans="2:4" ht="12.75">
      <c r="B17" s="4">
        <v>8</v>
      </c>
      <c r="C17" s="4" t="s">
        <v>7</v>
      </c>
      <c r="D17" s="5">
        <v>10348.83</v>
      </c>
    </row>
    <row r="18" spans="2:4" ht="12.75">
      <c r="B18" s="4">
        <v>9</v>
      </c>
      <c r="C18" s="4" t="s">
        <v>96</v>
      </c>
      <c r="D18" s="5"/>
    </row>
    <row r="19" spans="2:4" ht="12.75">
      <c r="B19" s="4">
        <v>10</v>
      </c>
      <c r="C19" s="4" t="s">
        <v>8</v>
      </c>
      <c r="D19" s="5">
        <v>36253.69</v>
      </c>
    </row>
    <row r="20" spans="2:4" ht="12.75">
      <c r="B20" s="4">
        <v>11</v>
      </c>
      <c r="C20" s="4" t="s">
        <v>9</v>
      </c>
      <c r="D20" s="5">
        <v>22402.62</v>
      </c>
    </row>
    <row r="21" spans="2:4" ht="12.75">
      <c r="B21" s="4">
        <v>12</v>
      </c>
      <c r="C21" s="4" t="s">
        <v>10</v>
      </c>
      <c r="D21" s="5">
        <v>7699.29</v>
      </c>
    </row>
    <row r="22" spans="2:4" ht="12.75">
      <c r="B22" s="4">
        <v>13</v>
      </c>
      <c r="C22" s="4" t="s">
        <v>37</v>
      </c>
      <c r="D22" s="5">
        <v>84418.42</v>
      </c>
    </row>
    <row r="23" spans="2:4" ht="12.75">
      <c r="B23" s="4">
        <v>14</v>
      </c>
      <c r="C23" s="4" t="s">
        <v>38</v>
      </c>
      <c r="D23" s="5">
        <f>4638.03+10000+22000+1254.65</f>
        <v>37892.68</v>
      </c>
    </row>
    <row r="24" spans="2:4" ht="12.75">
      <c r="B24" s="4">
        <v>15</v>
      </c>
      <c r="C24" s="4" t="s">
        <v>39</v>
      </c>
      <c r="D24" s="5">
        <v>5528.78</v>
      </c>
    </row>
    <row r="25" spans="2:4" ht="12.75">
      <c r="B25" s="4">
        <v>16</v>
      </c>
      <c r="C25" s="4" t="s">
        <v>11</v>
      </c>
      <c r="D25" s="5">
        <f>1672.4+51163.69+42875</f>
        <v>95711.09</v>
      </c>
    </row>
    <row r="26" spans="2:4" ht="12.75">
      <c r="B26" s="4">
        <v>17</v>
      </c>
      <c r="C26" s="4" t="s">
        <v>40</v>
      </c>
      <c r="D26" s="5">
        <v>30035.52</v>
      </c>
    </row>
    <row r="27" spans="2:4" ht="12.75">
      <c r="B27" s="4">
        <v>18</v>
      </c>
      <c r="C27" s="6" t="s">
        <v>41</v>
      </c>
      <c r="D27" s="5">
        <v>53918.42</v>
      </c>
    </row>
    <row r="28" spans="2:4" ht="12.75">
      <c r="B28" s="4">
        <v>19</v>
      </c>
      <c r="C28" s="4" t="s">
        <v>12</v>
      </c>
      <c r="D28" s="5">
        <v>180750.08</v>
      </c>
    </row>
    <row r="29" spans="2:4" ht="12.75">
      <c r="B29" s="4">
        <v>20</v>
      </c>
      <c r="C29" s="4" t="s">
        <v>13</v>
      </c>
      <c r="D29" s="5">
        <v>88416.25</v>
      </c>
    </row>
    <row r="30" spans="2:4" ht="12.75">
      <c r="B30" s="4">
        <v>21</v>
      </c>
      <c r="C30" s="4" t="s">
        <v>14</v>
      </c>
      <c r="D30" s="5">
        <v>14680.46</v>
      </c>
    </row>
    <row r="31" spans="2:4" ht="12.75">
      <c r="B31" s="4">
        <v>22</v>
      </c>
      <c r="C31" s="4" t="s">
        <v>15</v>
      </c>
      <c r="D31" s="5">
        <f>196636.63+134021.73</f>
        <v>330658.36</v>
      </c>
    </row>
    <row r="32" spans="2:4" ht="12.75">
      <c r="B32" s="4">
        <v>23</v>
      </c>
      <c r="C32" s="4" t="s">
        <v>42</v>
      </c>
      <c r="D32" s="5">
        <v>13674.35</v>
      </c>
    </row>
    <row r="33" spans="2:4" ht="12.75">
      <c r="B33" s="4">
        <v>24</v>
      </c>
      <c r="C33" s="4" t="s">
        <v>16</v>
      </c>
      <c r="D33" s="5">
        <v>68031.52</v>
      </c>
    </row>
    <row r="34" spans="2:4" ht="12.75">
      <c r="B34" s="4">
        <v>25</v>
      </c>
      <c r="C34" s="4" t="s">
        <v>17</v>
      </c>
      <c r="D34" s="5">
        <v>8247.84</v>
      </c>
    </row>
    <row r="35" spans="2:4" ht="12.75">
      <c r="B35" s="4">
        <v>26</v>
      </c>
      <c r="C35" s="4" t="s">
        <v>43</v>
      </c>
      <c r="D35" s="5">
        <v>18961.57</v>
      </c>
    </row>
    <row r="36" spans="2:4" ht="12.75">
      <c r="B36" s="4">
        <v>27</v>
      </c>
      <c r="C36" s="4" t="s">
        <v>71</v>
      </c>
      <c r="D36" s="5">
        <v>11735.57</v>
      </c>
    </row>
    <row r="37" spans="2:4" ht="12.75">
      <c r="B37" s="4">
        <v>28</v>
      </c>
      <c r="C37" s="4" t="s">
        <v>44</v>
      </c>
      <c r="D37" s="5">
        <v>23562.37</v>
      </c>
    </row>
    <row r="38" spans="2:4" ht="12.75">
      <c r="B38" s="4">
        <v>29</v>
      </c>
      <c r="C38" s="4" t="s">
        <v>18</v>
      </c>
      <c r="D38" s="5">
        <v>24477.66</v>
      </c>
    </row>
    <row r="39" spans="2:4" ht="12.75">
      <c r="B39" s="4">
        <v>30</v>
      </c>
      <c r="C39" s="4" t="s">
        <v>19</v>
      </c>
      <c r="D39" s="5">
        <f>50326.36+27159+69000</f>
        <v>146485.36</v>
      </c>
    </row>
    <row r="40" spans="2:4" ht="12.75">
      <c r="B40" s="4">
        <v>31</v>
      </c>
      <c r="C40" s="4" t="s">
        <v>20</v>
      </c>
      <c r="D40" s="5">
        <v>687437.93</v>
      </c>
    </row>
    <row r="41" spans="2:4" ht="12.75">
      <c r="B41" s="4">
        <v>32</v>
      </c>
      <c r="C41" s="4" t="s">
        <v>45</v>
      </c>
      <c r="D41" s="5">
        <v>27087.93</v>
      </c>
    </row>
    <row r="42" spans="2:4" ht="12.75">
      <c r="B42" s="4">
        <v>33</v>
      </c>
      <c r="C42" s="4" t="s">
        <v>95</v>
      </c>
      <c r="D42" s="5">
        <v>72847.31</v>
      </c>
    </row>
    <row r="43" spans="2:4" ht="12.75">
      <c r="B43" s="4">
        <v>34</v>
      </c>
      <c r="C43" s="4" t="s">
        <v>21</v>
      </c>
      <c r="D43" s="5">
        <v>111114.84</v>
      </c>
    </row>
    <row r="44" spans="2:4" ht="12.75">
      <c r="B44" s="4">
        <v>35</v>
      </c>
      <c r="C44" s="4" t="s">
        <v>47</v>
      </c>
      <c r="D44" s="5">
        <v>30536.98</v>
      </c>
    </row>
    <row r="45" spans="2:4" ht="12.75">
      <c r="B45" s="4">
        <v>36</v>
      </c>
      <c r="C45" s="6" t="s">
        <v>22</v>
      </c>
      <c r="D45" s="5">
        <v>37818.37</v>
      </c>
    </row>
    <row r="46" spans="2:4" ht="12.75">
      <c r="B46" s="4">
        <v>37</v>
      </c>
      <c r="C46" s="4" t="s">
        <v>74</v>
      </c>
      <c r="D46" s="5">
        <f>14372.66+5000</f>
        <v>19372.66</v>
      </c>
    </row>
    <row r="47" spans="2:4" ht="12.75">
      <c r="B47" s="4">
        <v>38</v>
      </c>
      <c r="C47" s="6" t="s">
        <v>23</v>
      </c>
      <c r="D47" s="5">
        <v>27102.95</v>
      </c>
    </row>
    <row r="48" spans="2:4" ht="12.75">
      <c r="B48" s="4">
        <v>39</v>
      </c>
      <c r="C48" s="4" t="s">
        <v>48</v>
      </c>
      <c r="D48" s="5">
        <v>34204.84</v>
      </c>
    </row>
    <row r="49" spans="2:4" ht="12.75">
      <c r="B49" s="4">
        <v>40</v>
      </c>
      <c r="C49" s="4" t="s">
        <v>97</v>
      </c>
      <c r="D49" s="5">
        <v>2921.39</v>
      </c>
    </row>
    <row r="50" spans="2:4" ht="12.75">
      <c r="B50" s="4">
        <v>41</v>
      </c>
      <c r="C50" s="4" t="s">
        <v>49</v>
      </c>
      <c r="D50" s="5">
        <f>10000+35573.74</f>
        <v>45573.74</v>
      </c>
    </row>
    <row r="51" spans="2:4" ht="12.75">
      <c r="B51" s="4">
        <v>42</v>
      </c>
      <c r="C51" s="4" t="s">
        <v>79</v>
      </c>
      <c r="D51" s="5">
        <v>9626.09</v>
      </c>
    </row>
    <row r="52" spans="2:4" ht="12.75">
      <c r="B52" s="4">
        <v>43</v>
      </c>
      <c r="C52" s="4" t="s">
        <v>24</v>
      </c>
      <c r="D52" s="5">
        <v>56331.96</v>
      </c>
    </row>
    <row r="53" spans="2:4" ht="12.75">
      <c r="B53" s="4">
        <v>44</v>
      </c>
      <c r="C53" s="4" t="s">
        <v>50</v>
      </c>
      <c r="D53" s="5">
        <v>4961.82</v>
      </c>
    </row>
    <row r="54" spans="2:4" ht="12.75">
      <c r="B54" s="4">
        <v>45</v>
      </c>
      <c r="C54" s="4" t="s">
        <v>73</v>
      </c>
      <c r="D54" s="5">
        <v>25696.56</v>
      </c>
    </row>
    <row r="55" spans="2:4" ht="12.75">
      <c r="B55" s="4">
        <v>46</v>
      </c>
      <c r="C55" s="4" t="s">
        <v>51</v>
      </c>
      <c r="D55" s="5">
        <v>29256.37</v>
      </c>
    </row>
    <row r="56" spans="2:4" ht="12.75">
      <c r="B56" s="4">
        <v>47</v>
      </c>
      <c r="C56" s="6" t="s">
        <v>52</v>
      </c>
      <c r="D56" s="5">
        <v>74350.74</v>
      </c>
    </row>
    <row r="57" spans="2:4" ht="12.75">
      <c r="B57" s="4">
        <v>48</v>
      </c>
      <c r="C57" s="4" t="s">
        <v>25</v>
      </c>
      <c r="D57" s="5">
        <f>49564.98+92541+86766.8</f>
        <v>228872.78000000003</v>
      </c>
    </row>
    <row r="58" spans="2:4" ht="12.75">
      <c r="B58" s="4">
        <v>49</v>
      </c>
      <c r="C58" s="4" t="s">
        <v>26</v>
      </c>
      <c r="D58" s="5">
        <v>2931.42</v>
      </c>
    </row>
    <row r="59" spans="2:4" ht="12.75">
      <c r="B59" s="4">
        <v>50</v>
      </c>
      <c r="C59" s="4" t="s">
        <v>27</v>
      </c>
      <c r="D59" s="5">
        <f>1479551.15+56082.31</f>
        <v>1535633.46</v>
      </c>
    </row>
    <row r="60" spans="2:4" ht="12.75">
      <c r="B60" s="4">
        <v>51</v>
      </c>
      <c r="C60" s="4" t="s">
        <v>28</v>
      </c>
      <c r="D60" s="5">
        <v>212326.24</v>
      </c>
    </row>
    <row r="61" spans="2:4" ht="12.75">
      <c r="B61" s="4">
        <v>52</v>
      </c>
      <c r="C61" s="4" t="s">
        <v>53</v>
      </c>
      <c r="D61" s="5">
        <v>8488.3</v>
      </c>
    </row>
    <row r="62" spans="2:4" ht="12.75">
      <c r="B62" s="4">
        <v>53</v>
      </c>
      <c r="C62" s="4" t="s">
        <v>31</v>
      </c>
      <c r="D62" s="5">
        <v>127356.85</v>
      </c>
    </row>
    <row r="63" spans="2:4" ht="12.75">
      <c r="B63" s="4">
        <v>54</v>
      </c>
      <c r="C63" s="4" t="s">
        <v>54</v>
      </c>
      <c r="D63" s="5">
        <f>2096.75+9838.25+13890.98+5000</f>
        <v>30825.98</v>
      </c>
    </row>
    <row r="64" spans="2:4" ht="12.75">
      <c r="B64" s="4">
        <v>55</v>
      </c>
      <c r="C64" s="4" t="s">
        <v>32</v>
      </c>
      <c r="D64" s="5">
        <f>177.29+16116.13+35000</f>
        <v>51293.42</v>
      </c>
    </row>
    <row r="65" spans="2:4" ht="12.75">
      <c r="B65" s="4">
        <v>56</v>
      </c>
      <c r="C65" s="4" t="s">
        <v>30</v>
      </c>
      <c r="D65" s="5">
        <v>83934.8</v>
      </c>
    </row>
    <row r="66" spans="2:4" ht="12.75">
      <c r="B66" s="4">
        <v>57</v>
      </c>
      <c r="C66" s="4" t="s">
        <v>33</v>
      </c>
      <c r="D66" s="5">
        <v>34406.5</v>
      </c>
    </row>
    <row r="67" spans="2:4" ht="12.75">
      <c r="B67" s="4">
        <v>58</v>
      </c>
      <c r="C67" s="4" t="s">
        <v>59</v>
      </c>
      <c r="D67" s="5">
        <v>715001.39</v>
      </c>
    </row>
    <row r="68" spans="2:4" ht="12.75">
      <c r="B68" s="4">
        <v>59</v>
      </c>
      <c r="C68" s="4" t="s">
        <v>60</v>
      </c>
      <c r="D68" s="5">
        <v>38692.58</v>
      </c>
    </row>
    <row r="69" spans="2:4" ht="12.75">
      <c r="B69" s="4">
        <v>60</v>
      </c>
      <c r="C69" s="4" t="s">
        <v>55</v>
      </c>
      <c r="D69" s="5">
        <f>611.34+4985.87</f>
        <v>5597.21</v>
      </c>
    </row>
    <row r="70" spans="2:4" ht="12.75">
      <c r="B70" s="4">
        <v>61</v>
      </c>
      <c r="C70" s="4" t="s">
        <v>61</v>
      </c>
      <c r="D70" s="5">
        <f>617.82+12074.07</f>
        <v>12691.89</v>
      </c>
    </row>
    <row r="71" spans="2:4" ht="12.75">
      <c r="B71" s="4">
        <v>62</v>
      </c>
      <c r="C71" s="4" t="s">
        <v>62</v>
      </c>
      <c r="D71" s="5">
        <f>4694.74+10000</f>
        <v>14694.74</v>
      </c>
    </row>
    <row r="72" spans="2:4" ht="12.75">
      <c r="B72" s="4">
        <v>63</v>
      </c>
      <c r="C72" s="4" t="s">
        <v>63</v>
      </c>
      <c r="D72" s="5">
        <v>16677.77</v>
      </c>
    </row>
    <row r="73" spans="2:4" ht="12.75">
      <c r="B73" s="4">
        <v>64</v>
      </c>
      <c r="C73" s="4" t="s">
        <v>64</v>
      </c>
      <c r="D73" s="5">
        <v>19553.27</v>
      </c>
    </row>
    <row r="74" spans="2:4" ht="12.75">
      <c r="B74" s="4">
        <v>65</v>
      </c>
      <c r="C74" s="4" t="s">
        <v>65</v>
      </c>
      <c r="D74" s="5">
        <v>27732.94</v>
      </c>
    </row>
    <row r="75" spans="2:4" ht="12.75">
      <c r="B75" s="4">
        <v>66</v>
      </c>
      <c r="C75" s="4" t="s">
        <v>56</v>
      </c>
      <c r="D75" s="5">
        <v>32057.92</v>
      </c>
    </row>
    <row r="76" spans="2:4" ht="12.75">
      <c r="B76" s="4">
        <v>67</v>
      </c>
      <c r="C76" s="4" t="s">
        <v>99</v>
      </c>
      <c r="D76" s="5">
        <v>28975.43</v>
      </c>
    </row>
    <row r="77" spans="2:4" ht="12.75">
      <c r="B77" s="4">
        <v>68</v>
      </c>
      <c r="C77" s="4" t="s">
        <v>101</v>
      </c>
      <c r="D77" s="5">
        <v>98184.52</v>
      </c>
    </row>
    <row r="78" spans="2:4" ht="12.75">
      <c r="B78" s="4">
        <v>69</v>
      </c>
      <c r="C78" s="4" t="s">
        <v>100</v>
      </c>
      <c r="D78" s="5">
        <v>14183.8</v>
      </c>
    </row>
    <row r="79" spans="2:4" ht="12.75">
      <c r="B79" s="4">
        <v>70</v>
      </c>
      <c r="C79" s="4" t="s">
        <v>67</v>
      </c>
      <c r="D79" s="5">
        <v>167843.16</v>
      </c>
    </row>
    <row r="80" spans="2:4" ht="12.75">
      <c r="B80" s="4"/>
      <c r="C80" s="8" t="s">
        <v>68</v>
      </c>
      <c r="D80" s="9">
        <f>SUM(D10:D79)</f>
        <v>6706599.999999999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7">
      <selection activeCell="D25" sqref="D25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81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7683.85+837.59</f>
        <v>8521.44</v>
      </c>
    </row>
    <row r="11" spans="2:4" ht="12.75">
      <c r="B11" s="4">
        <v>2</v>
      </c>
      <c r="C11" s="4" t="s">
        <v>34</v>
      </c>
      <c r="D11" s="5">
        <f>929.97+2585.26+300.81</f>
        <v>3816.0400000000004</v>
      </c>
    </row>
    <row r="12" spans="2:4" ht="12.75">
      <c r="B12" s="4">
        <v>3</v>
      </c>
      <c r="C12" s="4" t="s">
        <v>29</v>
      </c>
      <c r="D12" s="5">
        <f>1741.71+3941.79+9249.96+1234.01</f>
        <v>16167.47</v>
      </c>
    </row>
    <row r="13" spans="2:4" ht="12.75">
      <c r="B13" s="4">
        <v>4</v>
      </c>
      <c r="C13" s="4" t="s">
        <v>35</v>
      </c>
      <c r="D13" s="5">
        <f>117673.3+25860.9+9590.96+24169.99+13907.89</f>
        <v>191203.03999999998</v>
      </c>
    </row>
    <row r="14" spans="2:4" ht="12.75">
      <c r="B14" s="4">
        <v>5</v>
      </c>
      <c r="C14" s="4" t="s">
        <v>5</v>
      </c>
      <c r="D14" s="5">
        <f>24938.79+2392.79</f>
        <v>27331.58</v>
      </c>
    </row>
    <row r="15" spans="2:4" ht="12.75">
      <c r="B15" s="4">
        <v>6</v>
      </c>
      <c r="C15" s="4" t="s">
        <v>6</v>
      </c>
      <c r="D15" s="5">
        <f>132617.03+8092.5</f>
        <v>140709.53</v>
      </c>
    </row>
    <row r="16" spans="2:4" ht="12.75">
      <c r="B16" s="4">
        <v>7</v>
      </c>
      <c r="C16" s="4" t="s">
        <v>36</v>
      </c>
      <c r="D16" s="5">
        <f>5820.87+257.71+76.58+490.3</f>
        <v>6645.46</v>
      </c>
    </row>
    <row r="17" spans="2:4" ht="12.75">
      <c r="B17" s="4">
        <v>8</v>
      </c>
      <c r="C17" s="4" t="s">
        <v>7</v>
      </c>
      <c r="D17" s="5">
        <f>6678.84+338.36</f>
        <v>7017.2</v>
      </c>
    </row>
    <row r="18" spans="2:4" ht="12.75">
      <c r="B18" s="4">
        <v>9</v>
      </c>
      <c r="C18" s="4" t="s">
        <v>96</v>
      </c>
      <c r="D18" s="5">
        <v>2109.77</v>
      </c>
    </row>
    <row r="19" spans="2:4" ht="12.75">
      <c r="B19" s="4">
        <v>10</v>
      </c>
      <c r="C19" s="4" t="s">
        <v>8</v>
      </c>
      <c r="D19" s="5">
        <f>24610.1+1333.74</f>
        <v>25943.84</v>
      </c>
    </row>
    <row r="20" spans="2:4" ht="12.75">
      <c r="B20" s="4">
        <v>11</v>
      </c>
      <c r="C20" s="4" t="s">
        <v>9</v>
      </c>
      <c r="D20" s="5">
        <f>13141.84+981.88</f>
        <v>14123.72</v>
      </c>
    </row>
    <row r="21" spans="2:4" ht="12.75">
      <c r="B21" s="4">
        <v>12</v>
      </c>
      <c r="C21" s="4" t="s">
        <v>10</v>
      </c>
      <c r="D21" s="5">
        <f>4785.03+1279.94</f>
        <v>6064.969999999999</v>
      </c>
    </row>
    <row r="22" spans="2:4" ht="12.75">
      <c r="B22" s="4">
        <v>13</v>
      </c>
      <c r="C22" s="4" t="s">
        <v>37</v>
      </c>
      <c r="D22" s="5">
        <f>53258.81+3565.58</f>
        <v>56824.39</v>
      </c>
    </row>
    <row r="23" spans="2:4" ht="12.75">
      <c r="B23" s="4">
        <v>14</v>
      </c>
      <c r="C23" s="4" t="s">
        <v>38</v>
      </c>
      <c r="D23" s="5">
        <f>7818.12+6631+6631+1940.33</f>
        <v>23020.449999999997</v>
      </c>
    </row>
    <row r="24" spans="2:4" ht="12.75">
      <c r="B24" s="4">
        <v>15</v>
      </c>
      <c r="C24" s="4" t="s">
        <v>39</v>
      </c>
      <c r="D24" s="5">
        <f>2206.1+668.53+188.51</f>
        <v>3063.1400000000003</v>
      </c>
    </row>
    <row r="25" spans="2:4" ht="12.75">
      <c r="B25" s="4">
        <v>16</v>
      </c>
      <c r="C25" s="4" t="s">
        <v>11</v>
      </c>
      <c r="D25" s="5">
        <f>15757.52+9482.33+8854.68+21300.57+1694.6</f>
        <v>57089.7</v>
      </c>
    </row>
    <row r="26" spans="2:4" ht="12.75">
      <c r="B26" s="4">
        <v>17</v>
      </c>
      <c r="C26" s="4" t="s">
        <v>40</v>
      </c>
      <c r="D26" s="5">
        <f>20686.27+3887.89</f>
        <v>24574.16</v>
      </c>
    </row>
    <row r="27" spans="2:4" ht="12.75">
      <c r="B27" s="4">
        <v>18</v>
      </c>
      <c r="C27" s="6" t="s">
        <v>41</v>
      </c>
      <c r="D27" s="5">
        <f>39051.18+2821.67</f>
        <v>41872.85</v>
      </c>
    </row>
    <row r="28" spans="2:4" ht="12.75">
      <c r="B28" s="4">
        <v>19</v>
      </c>
      <c r="C28" s="4" t="s">
        <v>12</v>
      </c>
      <c r="D28" s="5">
        <f>65687.86+3531.59</f>
        <v>69219.45</v>
      </c>
    </row>
    <row r="29" spans="2:4" ht="12.75">
      <c r="B29" s="4">
        <v>20</v>
      </c>
      <c r="C29" s="4" t="s">
        <v>13</v>
      </c>
      <c r="D29" s="5">
        <f>48571.73+5704.19</f>
        <v>54275.920000000006</v>
      </c>
    </row>
    <row r="30" spans="2:4" ht="12.75">
      <c r="B30" s="4">
        <v>21</v>
      </c>
      <c r="C30" s="4" t="s">
        <v>14</v>
      </c>
      <c r="D30" s="5">
        <f>7405.21+364.69+1127.79</f>
        <v>8897.689999999999</v>
      </c>
    </row>
    <row r="31" spans="2:4" ht="12.75">
      <c r="B31" s="4">
        <v>22</v>
      </c>
      <c r="C31" s="4" t="s">
        <v>15</v>
      </c>
      <c r="D31" s="5">
        <f>204318.39+19424.2</f>
        <v>223742.59000000003</v>
      </c>
    </row>
    <row r="32" spans="2:4" ht="12.75">
      <c r="B32" s="4">
        <v>23</v>
      </c>
      <c r="C32" s="4" t="s">
        <v>42</v>
      </c>
      <c r="D32" s="5">
        <f>7962.06+128.49</f>
        <v>8090.55</v>
      </c>
    </row>
    <row r="33" spans="2:4" ht="12.75">
      <c r="B33" s="4">
        <v>24</v>
      </c>
      <c r="C33" s="4" t="s">
        <v>16</v>
      </c>
      <c r="D33" s="5">
        <f>51869.45+745.62+1015.49</f>
        <v>53630.56</v>
      </c>
    </row>
    <row r="34" spans="2:4" ht="12.75">
      <c r="B34" s="4">
        <v>25</v>
      </c>
      <c r="C34" s="4" t="s">
        <v>17</v>
      </c>
      <c r="D34" s="5">
        <f>5896.15+314.98+13.89</f>
        <v>6225.0199999999995</v>
      </c>
    </row>
    <row r="35" spans="2:4" ht="12.75">
      <c r="B35" s="4">
        <v>26</v>
      </c>
      <c r="C35" s="4" t="s">
        <v>43</v>
      </c>
      <c r="D35" s="5">
        <f>12747.35+1385.94</f>
        <v>14133.29</v>
      </c>
    </row>
    <row r="36" spans="2:4" ht="12.75">
      <c r="B36" s="4">
        <v>27</v>
      </c>
      <c r="C36" s="4" t="s">
        <v>71</v>
      </c>
      <c r="D36" s="5">
        <f>6675.42+633.9</f>
        <v>7309.32</v>
      </c>
    </row>
    <row r="37" spans="2:4" ht="12.75">
      <c r="B37" s="4">
        <v>28</v>
      </c>
      <c r="C37" s="4" t="s">
        <v>44</v>
      </c>
      <c r="D37" s="5">
        <f>15165.56+1350.6</f>
        <v>16516.16</v>
      </c>
    </row>
    <row r="38" spans="2:4" ht="12.75">
      <c r="B38" s="4">
        <v>29</v>
      </c>
      <c r="C38" s="4" t="s">
        <v>18</v>
      </c>
      <c r="D38" s="5">
        <f>7298.62+908.89+84.25</f>
        <v>8291.76</v>
      </c>
    </row>
    <row r="39" spans="2:4" ht="12.75">
      <c r="B39" s="4">
        <v>30</v>
      </c>
      <c r="C39" s="4" t="s">
        <v>19</v>
      </c>
      <c r="D39" s="5">
        <f>21305.07+27850.2+3830.8+16218.76+1733.94+75.16+2741.83</f>
        <v>73755.76000000001</v>
      </c>
    </row>
    <row r="40" spans="2:4" ht="12.75">
      <c r="B40" s="4">
        <v>31</v>
      </c>
      <c r="C40" s="4" t="s">
        <v>20</v>
      </c>
      <c r="D40" s="5">
        <f>417244.23+24000+75.3+31183.9</f>
        <v>472503.43</v>
      </c>
    </row>
    <row r="41" spans="2:4" ht="12.75">
      <c r="B41" s="4">
        <v>32</v>
      </c>
      <c r="C41" s="4" t="s">
        <v>45</v>
      </c>
      <c r="D41" s="5">
        <f>17764.84+786.83</f>
        <v>18551.670000000002</v>
      </c>
    </row>
    <row r="42" spans="2:4" ht="12.75">
      <c r="B42" s="4">
        <v>33</v>
      </c>
      <c r="C42" s="4" t="s">
        <v>95</v>
      </c>
      <c r="D42" s="5">
        <f>43826.72+3123.93</f>
        <v>46950.65</v>
      </c>
    </row>
    <row r="43" spans="2:4" ht="12.75">
      <c r="B43" s="4">
        <v>34</v>
      </c>
      <c r="C43" s="4" t="s">
        <v>21</v>
      </c>
      <c r="D43" s="5">
        <f>58648.82+2225.86</f>
        <v>60874.68</v>
      </c>
    </row>
    <row r="44" spans="2:4" ht="12.75">
      <c r="B44" s="4">
        <v>35</v>
      </c>
      <c r="C44" s="4" t="s">
        <v>47</v>
      </c>
      <c r="D44" s="5">
        <f>16739.21+1200</f>
        <v>17939.21</v>
      </c>
    </row>
    <row r="45" spans="2:4" ht="12.75">
      <c r="B45" s="4">
        <v>36</v>
      </c>
      <c r="C45" s="6" t="s">
        <v>22</v>
      </c>
      <c r="D45" s="5">
        <f>50583.91+824.39</f>
        <v>51408.3</v>
      </c>
    </row>
    <row r="46" spans="2:4" ht="12.75">
      <c r="B46" s="4">
        <v>37</v>
      </c>
      <c r="C46" s="4" t="s">
        <v>74</v>
      </c>
      <c r="D46" s="5">
        <f>9998.31+1845.62+1465.08</f>
        <v>13309.01</v>
      </c>
    </row>
    <row r="47" spans="2:4" ht="12.75">
      <c r="B47" s="4">
        <v>38</v>
      </c>
      <c r="C47" s="6" t="s">
        <v>23</v>
      </c>
      <c r="D47" s="5">
        <f>14343.05+228.97</f>
        <v>14572.019999999999</v>
      </c>
    </row>
    <row r="48" spans="2:4" ht="12.75">
      <c r="B48" s="4">
        <v>39</v>
      </c>
      <c r="C48" s="4" t="s">
        <v>48</v>
      </c>
      <c r="D48" s="5">
        <f>18997.09+2999.28</f>
        <v>21996.37</v>
      </c>
    </row>
    <row r="49" spans="2:4" ht="12.75">
      <c r="B49" s="4">
        <v>40</v>
      </c>
      <c r="C49" s="4" t="s">
        <v>97</v>
      </c>
      <c r="D49" s="5">
        <v>249.1</v>
      </c>
    </row>
    <row r="50" spans="2:4" ht="12.75">
      <c r="B50" s="4">
        <v>41</v>
      </c>
      <c r="C50" s="4" t="s">
        <v>49</v>
      </c>
      <c r="D50" s="5">
        <f>6516.61+1849.17+19270.02+890.77</f>
        <v>28526.57</v>
      </c>
    </row>
    <row r="51" spans="2:4" ht="12.75">
      <c r="B51" s="4">
        <v>42</v>
      </c>
      <c r="C51" s="4" t="s">
        <v>79</v>
      </c>
      <c r="D51" s="5">
        <f>3206.53+316.91+479.05</f>
        <v>4002.4900000000002</v>
      </c>
    </row>
    <row r="52" spans="2:4" ht="12.75">
      <c r="B52" s="4">
        <v>43</v>
      </c>
      <c r="C52" s="4" t="s">
        <v>24</v>
      </c>
      <c r="D52" s="5">
        <f>28143.29+2806.13</f>
        <v>30949.420000000002</v>
      </c>
    </row>
    <row r="53" spans="2:4" ht="12.75">
      <c r="B53" s="4">
        <v>44</v>
      </c>
      <c r="C53" s="4" t="s">
        <v>50</v>
      </c>
      <c r="D53" s="5">
        <f>2605.22+404.55</f>
        <v>3009.77</v>
      </c>
    </row>
    <row r="54" spans="2:4" ht="12.75">
      <c r="B54" s="4">
        <v>45</v>
      </c>
      <c r="C54" s="4" t="s">
        <v>73</v>
      </c>
      <c r="D54" s="5">
        <f>11957+1893.43</f>
        <v>13850.43</v>
      </c>
    </row>
    <row r="55" spans="2:4" ht="12.75">
      <c r="B55" s="4">
        <v>46</v>
      </c>
      <c r="C55" s="4" t="s">
        <v>51</v>
      </c>
      <c r="D55" s="5">
        <f>16240.34+3767.42</f>
        <v>20007.760000000002</v>
      </c>
    </row>
    <row r="56" spans="2:4" ht="12.75">
      <c r="B56" s="4">
        <v>47</v>
      </c>
      <c r="C56" s="6" t="s">
        <v>52</v>
      </c>
      <c r="D56" s="5">
        <f>46471.91+3129.85</f>
        <v>49601.76</v>
      </c>
    </row>
    <row r="57" spans="2:4" ht="12.75">
      <c r="B57" s="4">
        <v>48</v>
      </c>
      <c r="C57" s="4" t="s">
        <v>25</v>
      </c>
      <c r="D57" s="5">
        <f>103629.27+41152.68+4339.97</f>
        <v>149121.92</v>
      </c>
    </row>
    <row r="58" spans="2:4" ht="12.75">
      <c r="B58" s="4">
        <v>49</v>
      </c>
      <c r="C58" s="4" t="s">
        <v>26</v>
      </c>
      <c r="D58" s="5">
        <f>1680.99+323.83+400.46</f>
        <v>2405.2799999999997</v>
      </c>
    </row>
    <row r="59" spans="2:4" ht="12.75">
      <c r="B59" s="4">
        <v>50</v>
      </c>
      <c r="C59" s="4" t="s">
        <v>27</v>
      </c>
      <c r="D59" s="5">
        <f>902752.56+27340.03</f>
        <v>930092.5900000001</v>
      </c>
    </row>
    <row r="60" spans="2:4" ht="12.75">
      <c r="B60" s="4">
        <v>51</v>
      </c>
      <c r="C60" s="4" t="s">
        <v>28</v>
      </c>
      <c r="D60" s="5">
        <f>126006.53+6998.98</f>
        <v>133005.51</v>
      </c>
    </row>
    <row r="61" spans="2:4" ht="12.75">
      <c r="B61" s="4">
        <v>52</v>
      </c>
      <c r="C61" s="4" t="s">
        <v>53</v>
      </c>
      <c r="D61" s="5">
        <f>6458.95+289.05</f>
        <v>6748</v>
      </c>
    </row>
    <row r="62" spans="2:4" ht="12.75">
      <c r="B62" s="4">
        <v>53</v>
      </c>
      <c r="C62" s="4" t="s">
        <v>31</v>
      </c>
      <c r="D62" s="5">
        <f>73684.9+9443.89</f>
        <v>83128.79</v>
      </c>
    </row>
    <row r="63" spans="2:4" ht="12.75">
      <c r="B63" s="4">
        <v>54</v>
      </c>
      <c r="C63" s="4" t="s">
        <v>54</v>
      </c>
      <c r="D63" s="5">
        <f>13307.42+3374.6+942.9</f>
        <v>17624.920000000002</v>
      </c>
    </row>
    <row r="64" spans="2:4" ht="12.75">
      <c r="B64" s="4">
        <v>55</v>
      </c>
      <c r="C64" s="4" t="s">
        <v>32</v>
      </c>
      <c r="D64" s="5">
        <f>25197.9+11529.64+1278.44+2344.98</f>
        <v>40350.96000000001</v>
      </c>
    </row>
    <row r="65" spans="2:4" ht="12.75">
      <c r="B65" s="4">
        <v>56</v>
      </c>
      <c r="C65" s="4" t="s">
        <v>30</v>
      </c>
      <c r="D65" s="5">
        <f>53730.7+6453.49</f>
        <v>60184.189999999995</v>
      </c>
    </row>
    <row r="66" spans="2:4" ht="12.75">
      <c r="B66" s="4">
        <v>57</v>
      </c>
      <c r="C66" s="4" t="s">
        <v>33</v>
      </c>
      <c r="D66" s="5">
        <f>6809.48+10079.67+2949.17</f>
        <v>19838.32</v>
      </c>
    </row>
    <row r="67" spans="2:4" ht="12.75">
      <c r="B67" s="4">
        <v>58</v>
      </c>
      <c r="C67" s="4" t="s">
        <v>59</v>
      </c>
      <c r="D67" s="5">
        <f>364195.42+23835.52+79.65+10441.25</f>
        <v>398551.84</v>
      </c>
    </row>
    <row r="68" spans="2:4" ht="12.75">
      <c r="B68" s="4">
        <v>59</v>
      </c>
      <c r="C68" s="4" t="s">
        <v>60</v>
      </c>
      <c r="D68" s="5">
        <f>28337.81+10.9+1822.38</f>
        <v>30171.090000000004</v>
      </c>
    </row>
    <row r="69" spans="2:4" ht="12.75">
      <c r="B69" s="4">
        <v>60</v>
      </c>
      <c r="C69" s="4" t="s">
        <v>55</v>
      </c>
      <c r="D69" s="5">
        <f>428.38+4362.94+721</f>
        <v>5512.32</v>
      </c>
    </row>
    <row r="70" spans="2:4" ht="12.75">
      <c r="B70" s="4">
        <v>61</v>
      </c>
      <c r="C70" s="4" t="s">
        <v>61</v>
      </c>
      <c r="D70" s="5">
        <f>549.12+6676.01+610.89</f>
        <v>7836.02</v>
      </c>
    </row>
    <row r="71" spans="2:4" ht="12.75">
      <c r="B71" s="4">
        <v>62</v>
      </c>
      <c r="C71" s="4" t="s">
        <v>62</v>
      </c>
      <c r="D71" s="5">
        <f>2453.6+6631+1786.97</f>
        <v>10871.57</v>
      </c>
    </row>
    <row r="72" spans="2:4" ht="12.75">
      <c r="B72" s="4">
        <v>63</v>
      </c>
      <c r="C72" s="4" t="s">
        <v>63</v>
      </c>
      <c r="D72" s="5">
        <f>10017.75+195.5+1617.97</f>
        <v>11831.22</v>
      </c>
    </row>
    <row r="73" spans="2:4" ht="12.75">
      <c r="B73" s="4">
        <v>64</v>
      </c>
      <c r="C73" s="4" t="s">
        <v>64</v>
      </c>
      <c r="D73" s="5">
        <f>13784.58+840.12</f>
        <v>14624.7</v>
      </c>
    </row>
    <row r="74" spans="2:4" ht="12.75">
      <c r="B74" s="4">
        <v>65</v>
      </c>
      <c r="C74" s="4" t="s">
        <v>65</v>
      </c>
      <c r="D74" s="5">
        <f>14408.48+1060.04</f>
        <v>15468.52</v>
      </c>
    </row>
    <row r="75" spans="2:4" ht="12.75">
      <c r="B75" s="4">
        <v>66</v>
      </c>
      <c r="C75" s="4" t="s">
        <v>56</v>
      </c>
      <c r="D75" s="5">
        <f>17555.69+2852.24</f>
        <v>20407.93</v>
      </c>
    </row>
    <row r="76" spans="2:4" ht="12.75">
      <c r="B76" s="4">
        <v>67</v>
      </c>
      <c r="C76" s="4" t="s">
        <v>57</v>
      </c>
      <c r="D76" s="5">
        <f>18934.46+1567.45</f>
        <v>20501.91</v>
      </c>
    </row>
    <row r="77" spans="2:4" ht="12.75">
      <c r="B77" s="4">
        <v>68</v>
      </c>
      <c r="C77" s="4" t="s">
        <v>66</v>
      </c>
      <c r="D77" s="5">
        <f>64198.09+8352.16</f>
        <v>72550.25</v>
      </c>
    </row>
    <row r="78" spans="2:4" ht="12.75">
      <c r="B78" s="4">
        <v>69</v>
      </c>
      <c r="C78" s="4" t="s">
        <v>58</v>
      </c>
      <c r="D78" s="5">
        <f>8417.1+1948.06</f>
        <v>10365.16</v>
      </c>
    </row>
    <row r="79" spans="2:4" ht="12.75">
      <c r="B79" s="4">
        <v>70</v>
      </c>
      <c r="C79" s="4" t="s">
        <v>67</v>
      </c>
      <c r="D79" s="5">
        <f>105608.4+6021.77+189.01+9958.35</f>
        <v>121777.53</v>
      </c>
    </row>
    <row r="80" spans="2:4" ht="12.75">
      <c r="B80" s="4"/>
      <c r="C80" s="8" t="s">
        <v>68</v>
      </c>
      <c r="D80" s="9">
        <f>SUM(D10:D79)</f>
        <v>4251460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2015-09-28T11:08:51Z</cp:lastPrinted>
  <dcterms:created xsi:type="dcterms:W3CDTF">2014-08-11T06:10:45Z</dcterms:created>
  <dcterms:modified xsi:type="dcterms:W3CDTF">2015-09-29T12:52:30Z</dcterms:modified>
  <cp:category/>
  <cp:version/>
  <cp:contentType/>
  <cp:contentStatus/>
</cp:coreProperties>
</file>