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CONSUM MEDICAMENTE AN 2023" sheetId="2" r:id="rId1"/>
    <sheet name="PNS AN 2023" sheetId="1" r:id="rId2"/>
    <sheet name="Foaie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5" i="2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B2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4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3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19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B1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C11"/>
  <c r="B11"/>
  <c r="Y22"/>
  <c r="P22"/>
  <c r="M22"/>
  <c r="D22"/>
  <c r="B22" s="1"/>
  <c r="Y21"/>
  <c r="P21"/>
  <c r="M21"/>
  <c r="D21"/>
  <c r="B21" s="1"/>
  <c r="Y20"/>
  <c r="P20"/>
  <c r="M20"/>
  <c r="D20"/>
  <c r="Y18"/>
  <c r="P18"/>
  <c r="M18"/>
  <c r="D18"/>
  <c r="B18" s="1"/>
  <c r="Y17"/>
  <c r="P17"/>
  <c r="M17"/>
  <c r="D17"/>
  <c r="B17" s="1"/>
  <c r="Y16"/>
  <c r="P16"/>
  <c r="M16"/>
  <c r="D16"/>
  <c r="B16" s="1"/>
  <c r="Y14"/>
  <c r="P14"/>
  <c r="M14"/>
  <c r="D14"/>
  <c r="B14" s="1"/>
  <c r="Y13"/>
  <c r="P13"/>
  <c r="M13"/>
  <c r="D13"/>
  <c r="B13" s="1"/>
  <c r="W12"/>
  <c r="V12"/>
  <c r="U12"/>
  <c r="T12"/>
  <c r="S12"/>
  <c r="R12"/>
  <c r="Q12"/>
  <c r="O12"/>
  <c r="N12"/>
  <c r="L12"/>
  <c r="K12"/>
  <c r="J12"/>
  <c r="I12"/>
  <c r="H12"/>
  <c r="G12"/>
  <c r="F12"/>
  <c r="E12"/>
  <c r="D12"/>
  <c r="W10"/>
  <c r="V10"/>
  <c r="U10"/>
  <c r="T10"/>
  <c r="S10"/>
  <c r="R10"/>
  <c r="Q10"/>
  <c r="O10"/>
  <c r="N10"/>
  <c r="L10"/>
  <c r="K10"/>
  <c r="J10"/>
  <c r="I10"/>
  <c r="H10"/>
  <c r="G10"/>
  <c r="F10"/>
  <c r="E10"/>
  <c r="D10"/>
  <c r="W9"/>
  <c r="V9"/>
  <c r="U9"/>
  <c r="T9"/>
  <c r="S9"/>
  <c r="R9"/>
  <c r="Q9"/>
  <c r="O9"/>
  <c r="P9" s="1"/>
  <c r="N9"/>
  <c r="L9"/>
  <c r="K9"/>
  <c r="J9"/>
  <c r="I9"/>
  <c r="H9"/>
  <c r="G9"/>
  <c r="F9"/>
  <c r="E9"/>
  <c r="D9"/>
  <c r="W8"/>
  <c r="V8"/>
  <c r="U8"/>
  <c r="T8"/>
  <c r="S8"/>
  <c r="R8"/>
  <c r="Q8"/>
  <c r="O8"/>
  <c r="N8"/>
  <c r="L8"/>
  <c r="K8"/>
  <c r="J8"/>
  <c r="I8"/>
  <c r="H8"/>
  <c r="G8"/>
  <c r="D8"/>
  <c r="W55" i="1"/>
  <c r="T55"/>
  <c r="S55"/>
  <c r="R55"/>
  <c r="Q55"/>
  <c r="P55"/>
  <c r="O55"/>
  <c r="N55"/>
  <c r="M55"/>
  <c r="K55"/>
  <c r="J55"/>
  <c r="I55"/>
  <c r="H55"/>
  <c r="G55"/>
  <c r="W54"/>
  <c r="T54"/>
  <c r="S54"/>
  <c r="R54"/>
  <c r="Q54"/>
  <c r="P54"/>
  <c r="O54"/>
  <c r="N54"/>
  <c r="M54"/>
  <c r="K54"/>
  <c r="J54"/>
  <c r="I54"/>
  <c r="H54"/>
  <c r="G54"/>
  <c r="W53"/>
  <c r="T53"/>
  <c r="S53"/>
  <c r="R53"/>
  <c r="Q53"/>
  <c r="P53"/>
  <c r="O53"/>
  <c r="N53"/>
  <c r="M53"/>
  <c r="K53"/>
  <c r="J53"/>
  <c r="I53"/>
  <c r="H53"/>
  <c r="G53"/>
  <c r="W52"/>
  <c r="T52"/>
  <c r="S52"/>
  <c r="R52"/>
  <c r="Q52"/>
  <c r="P52"/>
  <c r="O52"/>
  <c r="N52"/>
  <c r="M52"/>
  <c r="K52"/>
  <c r="J52"/>
  <c r="I52"/>
  <c r="H52"/>
  <c r="G52"/>
  <c r="W51"/>
  <c r="T51"/>
  <c r="S51"/>
  <c r="R51"/>
  <c r="Q51"/>
  <c r="P51"/>
  <c r="O51"/>
  <c r="N51"/>
  <c r="M51"/>
  <c r="L51"/>
  <c r="K51"/>
  <c r="J51"/>
  <c r="I51"/>
  <c r="H51"/>
  <c r="G51"/>
  <c r="W50"/>
  <c r="T50"/>
  <c r="S50"/>
  <c r="R50"/>
  <c r="Q50"/>
  <c r="P50"/>
  <c r="O50"/>
  <c r="N50"/>
  <c r="M50"/>
  <c r="K50"/>
  <c r="J50"/>
  <c r="L50" s="1"/>
  <c r="I50"/>
  <c r="H50"/>
  <c r="G50"/>
  <c r="W49"/>
  <c r="T49"/>
  <c r="S49"/>
  <c r="R49"/>
  <c r="Q49"/>
  <c r="P49"/>
  <c r="O49"/>
  <c r="N49"/>
  <c r="M49"/>
  <c r="K49"/>
  <c r="J49"/>
  <c r="L49" s="1"/>
  <c r="I49"/>
  <c r="H49"/>
  <c r="G49"/>
  <c r="W48"/>
  <c r="T48"/>
  <c r="S48"/>
  <c r="R48"/>
  <c r="Q48"/>
  <c r="P48"/>
  <c r="O48"/>
  <c r="N48"/>
  <c r="M48"/>
  <c r="K48"/>
  <c r="J48"/>
  <c r="L48" s="1"/>
  <c r="I48"/>
  <c r="H48"/>
  <c r="G48"/>
  <c r="W47"/>
  <c r="T47"/>
  <c r="S47"/>
  <c r="R47"/>
  <c r="Q47"/>
  <c r="P47"/>
  <c r="O47"/>
  <c r="N47"/>
  <c r="M47"/>
  <c r="K47"/>
  <c r="J47"/>
  <c r="L47" s="1"/>
  <c r="I47"/>
  <c r="H47"/>
  <c r="G47"/>
  <c r="W46"/>
  <c r="T46"/>
  <c r="S46"/>
  <c r="R46"/>
  <c r="Q46"/>
  <c r="P46"/>
  <c r="O46"/>
  <c r="N46"/>
  <c r="M46"/>
  <c r="K46"/>
  <c r="J46"/>
  <c r="L46" s="1"/>
  <c r="I46"/>
  <c r="H46"/>
  <c r="G46"/>
  <c r="W45"/>
  <c r="T45"/>
  <c r="S45"/>
  <c r="R45"/>
  <c r="Q45"/>
  <c r="P45"/>
  <c r="O45"/>
  <c r="N45"/>
  <c r="M45"/>
  <c r="K45"/>
  <c r="J45"/>
  <c r="L45" s="1"/>
  <c r="I45"/>
  <c r="H45"/>
  <c r="G45"/>
  <c r="W44"/>
  <c r="T44"/>
  <c r="S44"/>
  <c r="R44"/>
  <c r="Q44"/>
  <c r="P44"/>
  <c r="O44"/>
  <c r="N44"/>
  <c r="M44"/>
  <c r="K44"/>
  <c r="J44"/>
  <c r="L44" s="1"/>
  <c r="I44"/>
  <c r="H44"/>
  <c r="G44"/>
  <c r="W43"/>
  <c r="T43"/>
  <c r="S43"/>
  <c r="R43"/>
  <c r="Q43"/>
  <c r="P43"/>
  <c r="O43"/>
  <c r="N43"/>
  <c r="M43"/>
  <c r="K43"/>
  <c r="J43"/>
  <c r="L43" s="1"/>
  <c r="I43"/>
  <c r="H43"/>
  <c r="G43"/>
  <c r="W42"/>
  <c r="T42"/>
  <c r="S42"/>
  <c r="R42"/>
  <c r="Q42"/>
  <c r="P42"/>
  <c r="O42"/>
  <c r="N42"/>
  <c r="M42"/>
  <c r="K42"/>
  <c r="J42"/>
  <c r="L42" s="1"/>
  <c r="I42"/>
  <c r="H42"/>
  <c r="G42"/>
  <c r="W41"/>
  <c r="T41"/>
  <c r="S41"/>
  <c r="R41"/>
  <c r="Q41"/>
  <c r="P41"/>
  <c r="O41"/>
  <c r="N41"/>
  <c r="M41"/>
  <c r="K41"/>
  <c r="J41"/>
  <c r="L41" s="1"/>
  <c r="I41"/>
  <c r="H41"/>
  <c r="G41"/>
  <c r="W40"/>
  <c r="T40"/>
  <c r="S40"/>
  <c r="R40"/>
  <c r="Q40"/>
  <c r="P40"/>
  <c r="O40"/>
  <c r="N40"/>
  <c r="M40"/>
  <c r="K40"/>
  <c r="J40"/>
  <c r="L40" s="1"/>
  <c r="I40"/>
  <c r="H40"/>
  <c r="G40"/>
  <c r="W39"/>
  <c r="T39"/>
  <c r="S39"/>
  <c r="R39"/>
  <c r="Q39"/>
  <c r="P39"/>
  <c r="O39"/>
  <c r="N39"/>
  <c r="M39"/>
  <c r="K39"/>
  <c r="J39"/>
  <c r="L39" s="1"/>
  <c r="I39"/>
  <c r="H39"/>
  <c r="G39"/>
  <c r="W38"/>
  <c r="T38"/>
  <c r="S38"/>
  <c r="R38"/>
  <c r="Q38"/>
  <c r="P38"/>
  <c r="O38"/>
  <c r="N38"/>
  <c r="M38"/>
  <c r="K38"/>
  <c r="J38"/>
  <c r="L38" s="1"/>
  <c r="I38"/>
  <c r="H38"/>
  <c r="G38"/>
  <c r="W37"/>
  <c r="T37"/>
  <c r="S37"/>
  <c r="R37"/>
  <c r="Q37"/>
  <c r="P37"/>
  <c r="O37"/>
  <c r="N37"/>
  <c r="M37"/>
  <c r="K37"/>
  <c r="J37"/>
  <c r="L37" s="1"/>
  <c r="I37"/>
  <c r="H37"/>
  <c r="G37"/>
  <c r="W36"/>
  <c r="T36"/>
  <c r="S36"/>
  <c r="R36"/>
  <c r="Q36"/>
  <c r="P36"/>
  <c r="O36"/>
  <c r="N36"/>
  <c r="M36"/>
  <c r="K36"/>
  <c r="J36"/>
  <c r="L36" s="1"/>
  <c r="I36"/>
  <c r="H36"/>
  <c r="G36"/>
  <c r="W35"/>
  <c r="T35"/>
  <c r="S35"/>
  <c r="R35"/>
  <c r="Q35"/>
  <c r="P35"/>
  <c r="O35"/>
  <c r="N35"/>
  <c r="M35"/>
  <c r="K35"/>
  <c r="J35"/>
  <c r="L35" s="1"/>
  <c r="I35"/>
  <c r="H35"/>
  <c r="G35"/>
  <c r="W34"/>
  <c r="T34"/>
  <c r="S34"/>
  <c r="R34"/>
  <c r="Q34"/>
  <c r="P34"/>
  <c r="O34"/>
  <c r="N34"/>
  <c r="M34"/>
  <c r="K34"/>
  <c r="J34"/>
  <c r="L34" s="1"/>
  <c r="I34"/>
  <c r="H34"/>
  <c r="G34"/>
  <c r="W33"/>
  <c r="T33"/>
  <c r="S33"/>
  <c r="R33"/>
  <c r="Q33"/>
  <c r="P33"/>
  <c r="O33"/>
  <c r="N33"/>
  <c r="M33"/>
  <c r="K33"/>
  <c r="J33"/>
  <c r="L33" s="1"/>
  <c r="I33"/>
  <c r="H33"/>
  <c r="G33"/>
  <c r="W32"/>
  <c r="T32"/>
  <c r="S32"/>
  <c r="R32"/>
  <c r="Q32"/>
  <c r="P32"/>
  <c r="O32"/>
  <c r="N32"/>
  <c r="M32"/>
  <c r="K32"/>
  <c r="J32"/>
  <c r="L32" s="1"/>
  <c r="I32"/>
  <c r="H32"/>
  <c r="G32"/>
  <c r="W31"/>
  <c r="T31"/>
  <c r="S31"/>
  <c r="R31"/>
  <c r="Q31"/>
  <c r="P31"/>
  <c r="O31"/>
  <c r="N31"/>
  <c r="M31"/>
  <c r="K31"/>
  <c r="J31"/>
  <c r="L31" s="1"/>
  <c r="I31"/>
  <c r="H31"/>
  <c r="G31"/>
  <c r="W30"/>
  <c r="T30"/>
  <c r="S30"/>
  <c r="R30"/>
  <c r="Q30"/>
  <c r="P30"/>
  <c r="O30"/>
  <c r="N30"/>
  <c r="M30"/>
  <c r="K30"/>
  <c r="J30"/>
  <c r="L30" s="1"/>
  <c r="I30"/>
  <c r="H30"/>
  <c r="G30"/>
  <c r="W29"/>
  <c r="T29"/>
  <c r="S29"/>
  <c r="R29"/>
  <c r="Q29"/>
  <c r="P29"/>
  <c r="O29"/>
  <c r="N29"/>
  <c r="M29"/>
  <c r="K29"/>
  <c r="J29"/>
  <c r="L29" s="1"/>
  <c r="I29"/>
  <c r="H29"/>
  <c r="G29"/>
  <c r="W28"/>
  <c r="T28"/>
  <c r="S28"/>
  <c r="R28"/>
  <c r="Q28"/>
  <c r="P28"/>
  <c r="O28"/>
  <c r="N28"/>
  <c r="M28"/>
  <c r="K28"/>
  <c r="J28"/>
  <c r="L28" s="1"/>
  <c r="I28"/>
  <c r="H28"/>
  <c r="G28"/>
  <c r="W27"/>
  <c r="T27"/>
  <c r="S27"/>
  <c r="R27"/>
  <c r="Q27"/>
  <c r="P27"/>
  <c r="O27"/>
  <c r="N27"/>
  <c r="M27"/>
  <c r="K27"/>
  <c r="J27"/>
  <c r="L27" s="1"/>
  <c r="I27"/>
  <c r="H27"/>
  <c r="G27"/>
  <c r="W26"/>
  <c r="T26"/>
  <c r="S26"/>
  <c r="R26"/>
  <c r="Q26"/>
  <c r="P26"/>
  <c r="O26"/>
  <c r="N26"/>
  <c r="M26"/>
  <c r="K26"/>
  <c r="J26"/>
  <c r="L26" s="1"/>
  <c r="I26"/>
  <c r="H26"/>
  <c r="G26"/>
  <c r="W25"/>
  <c r="T25"/>
  <c r="S25"/>
  <c r="R25"/>
  <c r="Q25"/>
  <c r="P25"/>
  <c r="O25"/>
  <c r="N25"/>
  <c r="M25"/>
  <c r="K25"/>
  <c r="J25"/>
  <c r="L25" s="1"/>
  <c r="I25"/>
  <c r="H25"/>
  <c r="G25"/>
  <c r="W24"/>
  <c r="T24"/>
  <c r="S24"/>
  <c r="R24"/>
  <c r="Q24"/>
  <c r="P24"/>
  <c r="O24"/>
  <c r="N24"/>
  <c r="M24"/>
  <c r="K24"/>
  <c r="J24"/>
  <c r="L24" s="1"/>
  <c r="I24"/>
  <c r="H24"/>
  <c r="G24"/>
  <c r="W23"/>
  <c r="T23"/>
  <c r="S23"/>
  <c r="R23"/>
  <c r="Q23"/>
  <c r="P23"/>
  <c r="O23"/>
  <c r="N23"/>
  <c r="M23"/>
  <c r="K23"/>
  <c r="J23"/>
  <c r="L23" s="1"/>
  <c r="I23"/>
  <c r="H23"/>
  <c r="G23"/>
  <c r="W22"/>
  <c r="V22"/>
  <c r="T22"/>
  <c r="S22"/>
  <c r="R22"/>
  <c r="Q22"/>
  <c r="P22"/>
  <c r="O22"/>
  <c r="N22"/>
  <c r="M22"/>
  <c r="K22"/>
  <c r="J22"/>
  <c r="I22"/>
  <c r="H22"/>
  <c r="G22"/>
  <c r="E22"/>
  <c r="E55" s="1"/>
  <c r="W21"/>
  <c r="T21"/>
  <c r="S21"/>
  <c r="R21"/>
  <c r="Q21"/>
  <c r="P21"/>
  <c r="O21"/>
  <c r="N21"/>
  <c r="M21"/>
  <c r="K21"/>
  <c r="J21"/>
  <c r="L21" s="1"/>
  <c r="I21"/>
  <c r="H21"/>
  <c r="G21"/>
  <c r="W20"/>
  <c r="T20"/>
  <c r="S20"/>
  <c r="R20"/>
  <c r="Q20"/>
  <c r="P20"/>
  <c r="O20"/>
  <c r="N20"/>
  <c r="M20"/>
  <c r="K20"/>
  <c r="J20"/>
  <c r="L20" s="1"/>
  <c r="I20"/>
  <c r="H20"/>
  <c r="G20"/>
  <c r="W19"/>
  <c r="T19"/>
  <c r="S19"/>
  <c r="R19"/>
  <c r="Q19"/>
  <c r="P19"/>
  <c r="O19"/>
  <c r="N19"/>
  <c r="M19"/>
  <c r="K19"/>
  <c r="J19"/>
  <c r="L19" s="1"/>
  <c r="I19"/>
  <c r="H19"/>
  <c r="G19"/>
  <c r="W18"/>
  <c r="T18"/>
  <c r="S18"/>
  <c r="R18"/>
  <c r="Q18"/>
  <c r="P18"/>
  <c r="O18"/>
  <c r="N18"/>
  <c r="M18"/>
  <c r="K18"/>
  <c r="J18"/>
  <c r="L18" s="1"/>
  <c r="I18"/>
  <c r="H18"/>
  <c r="G18"/>
  <c r="W17"/>
  <c r="T17"/>
  <c r="S17"/>
  <c r="R17"/>
  <c r="Q17"/>
  <c r="P17"/>
  <c r="O17"/>
  <c r="N17"/>
  <c r="M17"/>
  <c r="K17"/>
  <c r="J17"/>
  <c r="L17" s="1"/>
  <c r="I17"/>
  <c r="H17"/>
  <c r="G17"/>
  <c r="W16"/>
  <c r="T16"/>
  <c r="S16"/>
  <c r="R16"/>
  <c r="Q16"/>
  <c r="P16"/>
  <c r="O16"/>
  <c r="N16"/>
  <c r="M16"/>
  <c r="K16"/>
  <c r="J16"/>
  <c r="L16" s="1"/>
  <c r="I16"/>
  <c r="H16"/>
  <c r="G16"/>
  <c r="W15"/>
  <c r="T15"/>
  <c r="S15"/>
  <c r="R15"/>
  <c r="Q15"/>
  <c r="P15"/>
  <c r="O15"/>
  <c r="N15"/>
  <c r="M15"/>
  <c r="K15"/>
  <c r="J15"/>
  <c r="L15" s="1"/>
  <c r="I15"/>
  <c r="H15"/>
  <c r="G15"/>
  <c r="W14"/>
  <c r="T14"/>
  <c r="S14"/>
  <c r="R14"/>
  <c r="Q14"/>
  <c r="P14"/>
  <c r="O14"/>
  <c r="N14"/>
  <c r="M14"/>
  <c r="K14"/>
  <c r="J14"/>
  <c r="L14" s="1"/>
  <c r="I14"/>
  <c r="H14"/>
  <c r="G14"/>
  <c r="W13"/>
  <c r="T13"/>
  <c r="S13"/>
  <c r="R13"/>
  <c r="Q13"/>
  <c r="P13"/>
  <c r="O13"/>
  <c r="N13"/>
  <c r="M13"/>
  <c r="K13"/>
  <c r="J13"/>
  <c r="I13"/>
  <c r="H13"/>
  <c r="G13"/>
  <c r="W12"/>
  <c r="T12"/>
  <c r="S12"/>
  <c r="R12"/>
  <c r="Q12"/>
  <c r="P12"/>
  <c r="O12"/>
  <c r="N12"/>
  <c r="M12"/>
  <c r="K12"/>
  <c r="J12"/>
  <c r="I12"/>
  <c r="H12"/>
  <c r="G12"/>
  <c r="W11"/>
  <c r="T11"/>
  <c r="S11"/>
  <c r="R11"/>
  <c r="Q11"/>
  <c r="P11"/>
  <c r="O11"/>
  <c r="N11"/>
  <c r="M11"/>
  <c r="K11"/>
  <c r="J11"/>
  <c r="I11"/>
  <c r="H11"/>
  <c r="G11"/>
  <c r="W10"/>
  <c r="T10"/>
  <c r="S10"/>
  <c r="R10"/>
  <c r="Q10"/>
  <c r="P10"/>
  <c r="O10"/>
  <c r="N10"/>
  <c r="M10"/>
  <c r="L10"/>
  <c r="K10"/>
  <c r="J10"/>
  <c r="I10"/>
  <c r="H10"/>
  <c r="G10"/>
  <c r="W9"/>
  <c r="V9"/>
  <c r="V55" s="1"/>
  <c r="T9"/>
  <c r="S9"/>
  <c r="R9"/>
  <c r="Q9"/>
  <c r="P9"/>
  <c r="O9"/>
  <c r="N9"/>
  <c r="M9"/>
  <c r="K9"/>
  <c r="J9"/>
  <c r="I9"/>
  <c r="H9"/>
  <c r="G9"/>
  <c r="W8"/>
  <c r="T8"/>
  <c r="S8"/>
  <c r="R8"/>
  <c r="Q8"/>
  <c r="P8"/>
  <c r="O8"/>
  <c r="N8"/>
  <c r="M8"/>
  <c r="K8"/>
  <c r="J8"/>
  <c r="I8"/>
  <c r="H8"/>
  <c r="G8"/>
  <c r="L8" l="1"/>
  <c r="U8"/>
  <c r="L11"/>
  <c r="U11"/>
  <c r="L13"/>
  <c r="U14"/>
  <c r="X14" s="1"/>
  <c r="L22"/>
  <c r="U23"/>
  <c r="U25"/>
  <c r="U27"/>
  <c r="U29"/>
  <c r="U31"/>
  <c r="U33"/>
  <c r="U35"/>
  <c r="U37"/>
  <c r="U39"/>
  <c r="U41"/>
  <c r="U43"/>
  <c r="U45"/>
  <c r="U47"/>
  <c r="U49"/>
  <c r="L53"/>
  <c r="U54"/>
  <c r="L55"/>
  <c r="U55"/>
  <c r="U9"/>
  <c r="U10"/>
  <c r="X10" s="1"/>
  <c r="U12"/>
  <c r="U16"/>
  <c r="U18"/>
  <c r="U20"/>
  <c r="U50"/>
  <c r="L9"/>
  <c r="L12"/>
  <c r="U13"/>
  <c r="U15"/>
  <c r="X15" s="1"/>
  <c r="U17"/>
  <c r="U19"/>
  <c r="U21"/>
  <c r="L52"/>
  <c r="U52"/>
  <c r="L54"/>
  <c r="X55"/>
  <c r="X16"/>
  <c r="U22"/>
  <c r="X22" s="1"/>
  <c r="X23"/>
  <c r="U24"/>
  <c r="X25"/>
  <c r="U26"/>
  <c r="X27"/>
  <c r="U28"/>
  <c r="X29"/>
  <c r="U30"/>
  <c r="X31"/>
  <c r="U32"/>
  <c r="X33"/>
  <c r="U34"/>
  <c r="X35"/>
  <c r="U36"/>
  <c r="X37"/>
  <c r="U38"/>
  <c r="X39"/>
  <c r="U40"/>
  <c r="U42"/>
  <c r="U44"/>
  <c r="U46"/>
  <c r="U48"/>
  <c r="U51"/>
  <c r="X51" s="1"/>
  <c r="U53"/>
  <c r="X53" s="1"/>
  <c r="Y9" i="2"/>
  <c r="Z13"/>
  <c r="AA13" s="1"/>
  <c r="Z14"/>
  <c r="AA14" s="1"/>
  <c r="P10"/>
  <c r="Z16"/>
  <c r="Z17"/>
  <c r="AA17" s="1"/>
  <c r="Z18"/>
  <c r="AA18" s="1"/>
  <c r="Z21"/>
  <c r="AA21" s="1"/>
  <c r="M10"/>
  <c r="M9"/>
  <c r="Z9" s="1"/>
  <c r="AA9" s="1"/>
  <c r="Y10"/>
  <c r="P12"/>
  <c r="Z20"/>
  <c r="AA20" s="1"/>
  <c r="P8"/>
  <c r="Y8"/>
  <c r="B9"/>
  <c r="B20"/>
  <c r="Z22"/>
  <c r="AA22" s="1"/>
  <c r="B10"/>
  <c r="Y12"/>
  <c r="Z10"/>
  <c r="AA10" s="1"/>
  <c r="AA16"/>
  <c r="B8"/>
  <c r="M8"/>
  <c r="B12"/>
  <c r="M12"/>
  <c r="X13" i="1"/>
  <c r="X52"/>
  <c r="X24"/>
  <c r="X26"/>
  <c r="X28"/>
  <c r="X30"/>
  <c r="X32"/>
  <c r="X34"/>
  <c r="X36"/>
  <c r="X38"/>
  <c r="X40"/>
  <c r="X41"/>
  <c r="X42"/>
  <c r="X43"/>
  <c r="X44"/>
  <c r="X45"/>
  <c r="X46"/>
  <c r="X47"/>
  <c r="X48"/>
  <c r="X49"/>
  <c r="X8"/>
  <c r="X11"/>
  <c r="X12"/>
  <c r="X54"/>
  <c r="X9"/>
  <c r="X17"/>
  <c r="X18"/>
  <c r="X19"/>
  <c r="X20"/>
  <c r="X21"/>
  <c r="X50"/>
  <c r="Z8" i="2" l="1"/>
  <c r="Z12"/>
  <c r="AA8" l="1"/>
  <c r="AA12"/>
</calcChain>
</file>

<file path=xl/sharedStrings.xml><?xml version="1.0" encoding="utf-8"?>
<sst xmlns="http://schemas.openxmlformats.org/spreadsheetml/2006/main" count="169" uniqueCount="166">
  <si>
    <t>Programe de sanatate 2023 - nr. farmacii</t>
  </si>
  <si>
    <t>Nr. crt.</t>
  </si>
  <si>
    <t>Nr. contract PNS</t>
  </si>
  <si>
    <t>CUI</t>
  </si>
  <si>
    <t>FARMACIA</t>
  </si>
  <si>
    <t>Nr. farm. PNS</t>
  </si>
  <si>
    <t>Reprezentant legal</t>
  </si>
  <si>
    <t xml:space="preserve"> oncologie</t>
  </si>
  <si>
    <t xml:space="preserve"> posttransplant</t>
  </si>
  <si>
    <t>MED. PNS  DIABET</t>
  </si>
  <si>
    <t>TESTE ADULTI</t>
  </si>
  <si>
    <t>TESTE COPII</t>
  </si>
  <si>
    <t>TOTAL MAT PNS DIABET
 (teste)</t>
  </si>
  <si>
    <t xml:space="preserve"> SLA</t>
  </si>
  <si>
    <t>Mucoviscidoza adulti</t>
  </si>
  <si>
    <t>Mucoviscidoza copii</t>
  </si>
  <si>
    <t xml:space="preserve"> Sdr. Prader Willi</t>
  </si>
  <si>
    <t xml:space="preserve">Fibroza pulmonara idiopatica </t>
  </si>
  <si>
    <t>Boala Noeleber</t>
  </si>
  <si>
    <t>Amiotrofie spinala</t>
  </si>
  <si>
    <t>Purpura tromb</t>
  </si>
  <si>
    <t>TOTAL BOLI RARE</t>
  </si>
  <si>
    <t>Nr. farmacii cost - volum</t>
  </si>
  <si>
    <t>ONCO
Valoare cost - volum</t>
  </si>
  <si>
    <t>TOTAL PNS</t>
  </si>
  <si>
    <t>ADRYMAR SRL</t>
  </si>
  <si>
    <t>Maxim Filareta</t>
  </si>
  <si>
    <t>AVALUX-STAR SRL VASLUI</t>
  </si>
  <si>
    <t>farm.Merla Andreea</t>
  </si>
  <si>
    <t>ARCALEANU FARM SRL</t>
  </si>
  <si>
    <t>Patrichi Ionut Dorin</t>
  </si>
  <si>
    <t>BALSAM SRL NEGRESTI</t>
  </si>
  <si>
    <t>farm.Popa Filofteia</t>
  </si>
  <si>
    <t>BIOSFARM SRL BARLAD</t>
  </si>
  <si>
    <t>farm.Constantinciu Frasina</t>
  </si>
  <si>
    <t>CATENA HYGENIA</t>
  </si>
  <si>
    <t>Crica Marius Petru</t>
  </si>
  <si>
    <t>CHIMFARM SRL VASLUI</t>
  </si>
  <si>
    <t>farm.Ciubotaru Maria</t>
  </si>
  <si>
    <t>CORAGAFARM DELESTI</t>
  </si>
  <si>
    <t>farm Cozma Gabriela</t>
  </si>
  <si>
    <t>CRATAEGUS PHARMA SRL HUSI</t>
  </si>
  <si>
    <t>farm.Tataru Rodica</t>
  </si>
  <si>
    <t>DAVILLA SRL VASLUI</t>
  </si>
  <si>
    <t>farm. Olteanu Rodica</t>
  </si>
  <si>
    <t>ECO RBK SRL</t>
  </si>
  <si>
    <t>Iosub Monica</t>
  </si>
  <si>
    <t>ELEFARM SRL BARLAD</t>
  </si>
  <si>
    <t>d-na Iancu Mihaiela</t>
  </si>
  <si>
    <t>ELIXIR SRL BARLAD</t>
  </si>
  <si>
    <t>farm.Zamfir Carmen</t>
  </si>
  <si>
    <t>FARMAB SRL VASLUI</t>
  </si>
  <si>
    <t>farm.Biga Maria</t>
  </si>
  <si>
    <t>FARMABEN - Draxeni (01,08,2016)</t>
  </si>
  <si>
    <t>Benchea Dumitru</t>
  </si>
  <si>
    <t>FARMACO GAMA DRANCENI</t>
  </si>
  <si>
    <t>Murgulet Lucia</t>
  </si>
  <si>
    <t>FARMNOVA SRL HUSI</t>
  </si>
  <si>
    <t>farm.Catargiu Dumitra</t>
  </si>
  <si>
    <t>HELIANTHI SRL - Falciu</t>
  </si>
  <si>
    <t>Marin Teodor Stefan</t>
  </si>
  <si>
    <t>HYPOCRATE SRL BIRLAD</t>
  </si>
  <si>
    <t>farm.Cioroiu Pierina</t>
  </si>
  <si>
    <t>IRA FAM Dragomiresti</t>
  </si>
  <si>
    <t>Toma Angela</t>
  </si>
  <si>
    <t>LAVIRA TRANSPORT VASLUI</t>
  </si>
  <si>
    <t>Ponca Simona</t>
  </si>
  <si>
    <t>LEVENTICA SRL PADURENI</t>
  </si>
  <si>
    <t>d-na Zaharia Catalina -Marinela</t>
  </si>
  <si>
    <t>MAYA FARM SRL</t>
  </si>
  <si>
    <t>Iosub Sebatian</t>
  </si>
  <si>
    <t>MEDIMFARM TOPFARM BARLAD</t>
  </si>
  <si>
    <t>Popescu Catalin</t>
  </si>
  <si>
    <t>MENTOGELY SRL VASLUI</t>
  </si>
  <si>
    <t>d-na Barbosu Mioara</t>
  </si>
  <si>
    <t>NIKI PHARM SRL BIRLAD</t>
  </si>
  <si>
    <t>Mateesescu Stefan</t>
  </si>
  <si>
    <t>ONIAGROFARM SRL</t>
  </si>
  <si>
    <t>Plesnicute Maria</t>
  </si>
  <si>
    <t>PARACELSIUS SRL</t>
  </si>
  <si>
    <t>Barboceanu Maria</t>
  </si>
  <si>
    <t>PLANTAGO TEHNOFARM SRL VASLUI</t>
  </si>
  <si>
    <t>d-na Mihalcea Lidia</t>
  </si>
  <si>
    <t>PRIMULA</t>
  </si>
  <si>
    <t>Tiron Lenuta</t>
  </si>
  <si>
    <t>PROFARM COMP SRL</t>
  </si>
  <si>
    <t>Craciun Mihaela</t>
  </si>
  <si>
    <t>PUNCTFARM SRL VASLUI</t>
  </si>
  <si>
    <t>Paun Madalina</t>
  </si>
  <si>
    <t>RA SRL VASLUI</t>
  </si>
  <si>
    <t>farm.Barbau Gheorghita</t>
  </si>
  <si>
    <t>ROPHARMA SA BRASOV</t>
  </si>
  <si>
    <t>d-l Miron Mihai</t>
  </si>
  <si>
    <t>REFLEXPHARM SRL</t>
  </si>
  <si>
    <t>Leon Andreea Maria</t>
  </si>
  <si>
    <t>SANIFARM SRL VASLUI</t>
  </si>
  <si>
    <t>farm.Ripanu Elena</t>
  </si>
  <si>
    <t>SANTAVIC FARM SRL  Murgeni</t>
  </si>
  <si>
    <t>Stan Catalin</t>
  </si>
  <si>
    <t>SASVIRO SRL PUIESTI</t>
  </si>
  <si>
    <t>Robu Viorel</t>
  </si>
  <si>
    <t>SENSIBLU S.R.L. BUCURESTI</t>
  </si>
  <si>
    <t>Grigorescu Andreea</t>
  </si>
  <si>
    <t>SPATIFILIUS SRL  PUNGESTI</t>
  </si>
  <si>
    <t>Moise Angelica</t>
  </si>
  <si>
    <t>TELKAPHARM SRL - IVANESTI</t>
  </si>
  <si>
    <t>Bild Veronica</t>
  </si>
  <si>
    <t>TERAPIA SRL BARLAD</t>
  </si>
  <si>
    <t>farm.Banita Dorina</t>
  </si>
  <si>
    <t>TONIC LIFE FARMA BARLAD</t>
  </si>
  <si>
    <t>Farm Constantiniciu Mircea Stefan</t>
  </si>
  <si>
    <t>VITAFARM SRL VASLUI</t>
  </si>
  <si>
    <t>d-l Petrisor Neculai</t>
  </si>
  <si>
    <t>VITALPHARM SRL GALATI</t>
  </si>
  <si>
    <t>d-l Ghiur Ionut</t>
  </si>
  <si>
    <t>VIVIAN FARM SRL IASI</t>
  </si>
  <si>
    <t>farm.Putina Cristinel</t>
  </si>
  <si>
    <t>VOIN VASLUI</t>
  </si>
  <si>
    <t>Lungu Dan Ciprian</t>
  </si>
  <si>
    <t>Total farmacii</t>
  </si>
  <si>
    <t>VALOARE CONSUM  MEDICAMENTE  - PROGRAME NATIONALE DE SANATATE - AN 2023</t>
  </si>
  <si>
    <t>CASA DE ASIGURARI DE SANATATE VASLUI</t>
  </si>
  <si>
    <t>Consum lunar medicamente compensate si gratuite , medicamente si materiale sanitare PNS an 2023</t>
  </si>
  <si>
    <t>LUNA</t>
  </si>
  <si>
    <t>Medicamente cost volum</t>
  </si>
  <si>
    <t>ONCOLOGIE medicamente</t>
  </si>
  <si>
    <t>ONCOLOGIE 
cost- volum</t>
  </si>
  <si>
    <t>materiale sanitare PNS DIABET:teste adulti</t>
  </si>
  <si>
    <t>materiale sanitare PNS DIABET :teste copii</t>
  </si>
  <si>
    <t>PNS boli rare 
SLA</t>
  </si>
  <si>
    <t>PNS boli rare mucoviscidoza adulti</t>
  </si>
  <si>
    <t>PNS boli rare mucoviscidoza copii</t>
  </si>
  <si>
    <t>Sindrom Prader Willi</t>
  </si>
  <si>
    <t>Neuropatie  oculara ereditara Leber</t>
  </si>
  <si>
    <t>total C+G+PNS</t>
  </si>
  <si>
    <t>ianuarie</t>
  </si>
  <si>
    <t>februarie</t>
  </si>
  <si>
    <t>martie</t>
  </si>
  <si>
    <t>trim I</t>
  </si>
  <si>
    <t>aprilie</t>
  </si>
  <si>
    <t>mai</t>
  </si>
  <si>
    <t>iunie</t>
  </si>
  <si>
    <t>trim.II</t>
  </si>
  <si>
    <t xml:space="preserve">  </t>
  </si>
  <si>
    <t>iulie</t>
  </si>
  <si>
    <t>august</t>
  </si>
  <si>
    <t>septembrie</t>
  </si>
  <si>
    <t>trim. III</t>
  </si>
  <si>
    <t>octombrie</t>
  </si>
  <si>
    <t>noiembrie</t>
  </si>
  <si>
    <t>decembrie</t>
  </si>
  <si>
    <t>trim. IV</t>
  </si>
  <si>
    <t xml:space="preserve">consum mediu lunar </t>
  </si>
  <si>
    <t>Purpura trombocitopenica</t>
  </si>
  <si>
    <t>Fibroza pulmonara idiopatica</t>
  </si>
  <si>
    <t>POST TRANSPLANT</t>
  </si>
  <si>
    <t>Total C+G, din care:</t>
  </si>
  <si>
    <t>Pers contr</t>
  </si>
  <si>
    <t>MEDICAMENTE
C+G fara 40% MS si CV</t>
  </si>
  <si>
    <t>MEDICAMENTE 40% MS</t>
  </si>
  <si>
    <t>medicamente PNS- DIABET ZAHARAT :ado</t>
  </si>
  <si>
    <t>medicamente PNS -DIABET ZAHARAT :tratament mixt</t>
  </si>
  <si>
    <t>medicamente PNS - DIABET ZAHARAT:insulina</t>
  </si>
  <si>
    <t>TOTAL  - medicamente DIABET ZAHARAT</t>
  </si>
  <si>
    <t>TOTAL  teste DIABET ZAHARAT</t>
  </si>
  <si>
    <t>total consum 2023</t>
  </si>
</sst>
</file>

<file path=xl/styles.xml><?xml version="1.0" encoding="utf-8"?>
<styleSheet xmlns="http://schemas.openxmlformats.org/spreadsheetml/2006/main">
  <numFmts count="1">
    <numFmt numFmtId="164" formatCode="[$-418]d\-mmm\-yy;@"/>
  </numFmts>
  <fonts count="16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  <charset val="238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1" fillId="0" borderId="0" xfId="0" applyNumberFormat="1" applyFont="1" applyFill="1" applyBorder="1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14" fontId="1" fillId="0" borderId="0" xfId="0" applyNumberFormat="1" applyFont="1" applyFill="1"/>
    <xf numFmtId="164" fontId="2" fillId="0" borderId="0" xfId="0" applyNumberFormat="1" applyFont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1" fontId="7" fillId="0" borderId="2" xfId="0" applyNumberFormat="1" applyFont="1" applyFill="1" applyBorder="1"/>
    <xf numFmtId="0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wrapText="1"/>
    </xf>
    <xf numFmtId="4" fontId="3" fillId="0" borderId="2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3" fillId="0" borderId="2" xfId="0" applyNumberFormat="1" applyFont="1" applyFill="1" applyBorder="1"/>
    <xf numFmtId="0" fontId="9" fillId="0" borderId="2" xfId="0" applyNumberFormat="1" applyFont="1" applyBorder="1" applyAlignment="1">
      <alignment wrapText="1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wrapText="1"/>
    </xf>
    <xf numFmtId="0" fontId="6" fillId="0" borderId="2" xfId="0" applyFont="1" applyFill="1" applyBorder="1"/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6" fillId="0" borderId="0" xfId="0" applyFont="1" applyFill="1"/>
    <xf numFmtId="0" fontId="9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0" xfId="0" applyFont="1" applyFill="1"/>
    <xf numFmtId="0" fontId="4" fillId="0" borderId="0" xfId="0" applyFont="1" applyFill="1" applyBorder="1" applyAlignment="1"/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0" fillId="2" borderId="0" xfId="0" applyFont="1" applyFill="1"/>
    <xf numFmtId="4" fontId="10" fillId="2" borderId="0" xfId="0" applyNumberFormat="1" applyFont="1" applyFill="1"/>
    <xf numFmtId="164" fontId="11" fillId="2" borderId="0" xfId="0" applyNumberFormat="1" applyFont="1" applyFill="1"/>
    <xf numFmtId="0" fontId="12" fillId="2" borderId="0" xfId="0" applyFont="1" applyFill="1"/>
    <xf numFmtId="4" fontId="12" fillId="2" borderId="0" xfId="0" applyNumberFormat="1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4" fontId="10" fillId="2" borderId="2" xfId="0" applyNumberFormat="1" applyFont="1" applyFill="1" applyBorder="1"/>
    <xf numFmtId="4" fontId="12" fillId="2" borderId="2" xfId="0" applyNumberFormat="1" applyFont="1" applyFill="1" applyBorder="1"/>
    <xf numFmtId="4" fontId="10" fillId="2" borderId="2" xfId="0" applyNumberFormat="1" applyFont="1" applyFill="1" applyBorder="1" applyAlignment="1"/>
    <xf numFmtId="0" fontId="12" fillId="2" borderId="2" xfId="0" applyFont="1" applyFill="1" applyBorder="1"/>
    <xf numFmtId="0" fontId="14" fillId="2" borderId="0" xfId="0" applyFont="1" applyFill="1"/>
    <xf numFmtId="4" fontId="10" fillId="2" borderId="2" xfId="0" applyNumberFormat="1" applyFont="1" applyFill="1" applyBorder="1" applyAlignment="1">
      <alignment wrapText="1"/>
    </xf>
    <xf numFmtId="2" fontId="15" fillId="2" borderId="2" xfId="0" applyNumberFormat="1" applyFont="1" applyFill="1" applyBorder="1" applyAlignment="1">
      <alignment wrapText="1"/>
    </xf>
    <xf numFmtId="4" fontId="15" fillId="2" borderId="2" xfId="0" applyNumberFormat="1" applyFont="1" applyFill="1" applyBorder="1"/>
    <xf numFmtId="0" fontId="13" fillId="2" borderId="0" xfId="0" applyFont="1" applyFill="1"/>
    <xf numFmtId="0" fontId="10" fillId="2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FURNIZORI/FARMACII/valori%20contract/6_VAL_ctr_farm_trim%20IV%2023_Roxi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macii_20"/>
      <sheetName val="ian+feb23"/>
      <sheetName val="trim1_ 2023"/>
      <sheetName val="trim2_2023"/>
      <sheetName val="trim3_2023"/>
      <sheetName val="trim4_2023"/>
      <sheetName val="contr_AN2023"/>
      <sheetName val="an_trimestre_2023"/>
      <sheetName val="consum lunar 2023"/>
      <sheetName val="VAL_CONTR"/>
      <sheetName val="spit2023"/>
      <sheetName val="amb+spit"/>
    </sheetNames>
    <sheetDataSet>
      <sheetData sheetId="0"/>
      <sheetData sheetId="1"/>
      <sheetData sheetId="2">
        <row r="8">
          <cell r="G8">
            <v>0</v>
          </cell>
          <cell r="H8">
            <v>0</v>
          </cell>
          <cell r="I8">
            <v>13080.689999999999</v>
          </cell>
          <cell r="J8">
            <v>900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G9">
            <v>9240.81</v>
          </cell>
          <cell r="H9">
            <v>2098.04</v>
          </cell>
          <cell r="I9">
            <v>49997.08</v>
          </cell>
          <cell r="J9">
            <v>2820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59212.02</v>
          </cell>
          <cell r="S9">
            <v>0</v>
          </cell>
          <cell r="T9">
            <v>0</v>
          </cell>
          <cell r="W9">
            <v>0</v>
          </cell>
        </row>
        <row r="10">
          <cell r="G10">
            <v>0</v>
          </cell>
          <cell r="H10">
            <v>0</v>
          </cell>
          <cell r="I10">
            <v>586.09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G11">
            <v>1472.48</v>
          </cell>
          <cell r="H11">
            <v>0</v>
          </cell>
          <cell r="I11">
            <v>8793.0399999999991</v>
          </cell>
          <cell r="J11">
            <v>480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G12">
            <v>11441.41</v>
          </cell>
          <cell r="H12">
            <v>11242.18</v>
          </cell>
          <cell r="I12">
            <v>324272.34999999998</v>
          </cell>
          <cell r="J12">
            <v>22800</v>
          </cell>
          <cell r="K12">
            <v>1200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</row>
        <row r="13">
          <cell r="G13">
            <v>3916.89</v>
          </cell>
          <cell r="H13">
            <v>11401.33</v>
          </cell>
          <cell r="I13">
            <v>615817.54</v>
          </cell>
          <cell r="J13">
            <v>40800</v>
          </cell>
          <cell r="K13">
            <v>960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G14">
            <v>0</v>
          </cell>
          <cell r="H14">
            <v>0</v>
          </cell>
          <cell r="I14">
            <v>22432.059999999998</v>
          </cell>
          <cell r="J14">
            <v>2520</v>
          </cell>
          <cell r="K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</row>
        <row r="15">
          <cell r="G15">
            <v>0</v>
          </cell>
          <cell r="H15">
            <v>0</v>
          </cell>
          <cell r="I15">
            <v>415.38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G16">
            <v>316.91000000000003</v>
          </cell>
          <cell r="H16">
            <v>0</v>
          </cell>
          <cell r="I16">
            <v>17179.47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81596.77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G17">
            <v>613.17999999999995</v>
          </cell>
          <cell r="H17">
            <v>0</v>
          </cell>
          <cell r="I17">
            <v>4390.45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2855.05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G18">
            <v>0</v>
          </cell>
          <cell r="H18">
            <v>0</v>
          </cell>
          <cell r="I18">
            <v>4251.6000000000004</v>
          </cell>
          <cell r="J18">
            <v>120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</row>
        <row r="19">
          <cell r="G19">
            <v>218.51</v>
          </cell>
          <cell r="H19">
            <v>0</v>
          </cell>
          <cell r="I19">
            <v>20245.13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</row>
        <row r="20">
          <cell r="G20">
            <v>7712.82</v>
          </cell>
          <cell r="H20">
            <v>10191.06</v>
          </cell>
          <cell r="I20">
            <v>103805.03000000001</v>
          </cell>
          <cell r="J20">
            <v>5940</v>
          </cell>
          <cell r="K20">
            <v>0</v>
          </cell>
          <cell r="M20">
            <v>2347.71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2590.58</v>
          </cell>
        </row>
        <row r="21">
          <cell r="G21">
            <v>0</v>
          </cell>
          <cell r="H21">
            <v>0</v>
          </cell>
          <cell r="I21">
            <v>189.66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</row>
        <row r="22">
          <cell r="G22">
            <v>0</v>
          </cell>
          <cell r="H22">
            <v>0</v>
          </cell>
          <cell r="I22">
            <v>524.54999999999995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G23">
            <v>0</v>
          </cell>
          <cell r="H23">
            <v>0</v>
          </cell>
          <cell r="I23">
            <v>1356.91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G24">
            <v>7068.05</v>
          </cell>
          <cell r="H24">
            <v>793.61</v>
          </cell>
          <cell r="I24">
            <v>259709.86</v>
          </cell>
          <cell r="J24">
            <v>21204</v>
          </cell>
          <cell r="K24">
            <v>2640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G25">
            <v>0</v>
          </cell>
          <cell r="H25">
            <v>0</v>
          </cell>
          <cell r="I25">
            <v>5440.64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G26">
            <v>347.65</v>
          </cell>
          <cell r="H26">
            <v>0</v>
          </cell>
          <cell r="I26">
            <v>90925.95</v>
          </cell>
          <cell r="J26">
            <v>6240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</row>
        <row r="27">
          <cell r="G27">
            <v>0</v>
          </cell>
          <cell r="H27">
            <v>0</v>
          </cell>
          <cell r="I27">
            <v>585.78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</row>
        <row r="28">
          <cell r="G28">
            <v>467411.46</v>
          </cell>
          <cell r="H28">
            <v>32770.14</v>
          </cell>
          <cell r="I28">
            <v>1906547.58</v>
          </cell>
          <cell r="J28">
            <v>137352</v>
          </cell>
          <cell r="K28">
            <v>3960</v>
          </cell>
          <cell r="M28">
            <v>0</v>
          </cell>
          <cell r="N28">
            <v>0</v>
          </cell>
          <cell r="O28">
            <v>17106.84</v>
          </cell>
          <cell r="P28">
            <v>2058.1799999999998</v>
          </cell>
          <cell r="Q28">
            <v>16351.71</v>
          </cell>
          <cell r="R28">
            <v>0</v>
          </cell>
          <cell r="S28">
            <v>0</v>
          </cell>
          <cell r="T28">
            <v>0</v>
          </cell>
          <cell r="W28">
            <v>54148.7</v>
          </cell>
        </row>
        <row r="29">
          <cell r="G29">
            <v>0</v>
          </cell>
          <cell r="H29">
            <v>0</v>
          </cell>
          <cell r="I29">
            <v>606.73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</row>
        <row r="30">
          <cell r="G30">
            <v>25.04</v>
          </cell>
          <cell r="H30">
            <v>0</v>
          </cell>
          <cell r="I30">
            <v>6660.61</v>
          </cell>
          <cell r="J30">
            <v>480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</row>
        <row r="31">
          <cell r="G31">
            <v>1227.9100000000001</v>
          </cell>
          <cell r="H31">
            <v>0</v>
          </cell>
          <cell r="I31">
            <v>49483.97</v>
          </cell>
          <cell r="J31">
            <v>4320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</row>
        <row r="32">
          <cell r="G32">
            <v>468.29</v>
          </cell>
          <cell r="H32">
            <v>15874.14</v>
          </cell>
          <cell r="I32">
            <v>13269.21</v>
          </cell>
          <cell r="J32">
            <v>840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</row>
        <row r="33">
          <cell r="G33">
            <v>0</v>
          </cell>
          <cell r="H33">
            <v>0</v>
          </cell>
          <cell r="I33">
            <v>6761.87</v>
          </cell>
          <cell r="J33">
            <v>240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</row>
        <row r="34">
          <cell r="G34">
            <v>0</v>
          </cell>
          <cell r="H34">
            <v>0</v>
          </cell>
          <cell r="I34">
            <v>785.91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</row>
        <row r="35">
          <cell r="G35">
            <v>0</v>
          </cell>
          <cell r="H35">
            <v>0</v>
          </cell>
          <cell r="I35">
            <v>18.190000000000001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</row>
        <row r="36">
          <cell r="G36">
            <v>1199.6500000000001</v>
          </cell>
          <cell r="H36">
            <v>0</v>
          </cell>
          <cell r="I36">
            <v>84868.7</v>
          </cell>
          <cell r="J36">
            <v>3480</v>
          </cell>
          <cell r="K36">
            <v>480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</row>
        <row r="37">
          <cell r="G37">
            <v>0</v>
          </cell>
          <cell r="H37">
            <v>0</v>
          </cell>
          <cell r="I37">
            <v>84.43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</row>
        <row r="38">
          <cell r="G38">
            <v>2844.1</v>
          </cell>
          <cell r="H38">
            <v>0</v>
          </cell>
          <cell r="I38">
            <v>30269.219999999998</v>
          </cell>
          <cell r="J38">
            <v>2076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</row>
        <row r="39">
          <cell r="G39">
            <v>2319.88</v>
          </cell>
          <cell r="H39">
            <v>0</v>
          </cell>
          <cell r="I39">
            <v>25067.06</v>
          </cell>
          <cell r="J39">
            <v>720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</row>
        <row r="40">
          <cell r="G40">
            <v>1307.19</v>
          </cell>
          <cell r="H40">
            <v>3328.36</v>
          </cell>
          <cell r="I40">
            <v>12048.23</v>
          </cell>
          <cell r="J40">
            <v>600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</row>
        <row r="41">
          <cell r="G41">
            <v>1851843.44</v>
          </cell>
          <cell r="H41">
            <v>39288.69</v>
          </cell>
          <cell r="I41">
            <v>2979724.57</v>
          </cell>
          <cell r="J41">
            <v>185112</v>
          </cell>
          <cell r="K41">
            <v>5160</v>
          </cell>
          <cell r="M41">
            <v>809.56</v>
          </cell>
          <cell r="N41">
            <v>8565.15</v>
          </cell>
          <cell r="O41">
            <v>263.48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747270.69</v>
          </cell>
        </row>
        <row r="42">
          <cell r="G42">
            <v>0</v>
          </cell>
          <cell r="H42">
            <v>0</v>
          </cell>
          <cell r="I42">
            <v>323.23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</row>
        <row r="43">
          <cell r="G43">
            <v>0</v>
          </cell>
          <cell r="H43">
            <v>0</v>
          </cell>
          <cell r="I43">
            <v>6295.99</v>
          </cell>
          <cell r="J43">
            <v>720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</row>
        <row r="44">
          <cell r="G44">
            <v>870.41</v>
          </cell>
          <cell r="H44">
            <v>0</v>
          </cell>
          <cell r="I44">
            <v>31199.87</v>
          </cell>
          <cell r="J44">
            <v>1620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</row>
        <row r="45">
          <cell r="G45">
            <v>0</v>
          </cell>
          <cell r="H45">
            <v>0</v>
          </cell>
          <cell r="I45">
            <v>3126.37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</row>
        <row r="46">
          <cell r="G46">
            <v>21171.34</v>
          </cell>
          <cell r="H46">
            <v>49560.22</v>
          </cell>
          <cell r="I46">
            <v>230168.95</v>
          </cell>
          <cell r="J46">
            <v>12960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397117.53</v>
          </cell>
          <cell r="T46">
            <v>0</v>
          </cell>
          <cell r="W46">
            <v>0</v>
          </cell>
        </row>
        <row r="47">
          <cell r="G47">
            <v>0</v>
          </cell>
          <cell r="H47">
            <v>0</v>
          </cell>
          <cell r="I47">
            <v>81.38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</row>
        <row r="48">
          <cell r="G48">
            <v>0</v>
          </cell>
          <cell r="H48">
            <v>0</v>
          </cell>
          <cell r="I48">
            <v>268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</row>
        <row r="49">
          <cell r="G49">
            <v>19329.12</v>
          </cell>
          <cell r="H49">
            <v>0</v>
          </cell>
          <cell r="I49">
            <v>450943.55</v>
          </cell>
          <cell r="J49">
            <v>30060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W49">
            <v>0</v>
          </cell>
        </row>
        <row r="50">
          <cell r="G50">
            <v>0</v>
          </cell>
          <cell r="H50">
            <v>0</v>
          </cell>
          <cell r="I50">
            <v>5765.45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</row>
        <row r="51">
          <cell r="G51">
            <v>0</v>
          </cell>
          <cell r="H51">
            <v>0</v>
          </cell>
          <cell r="I51">
            <v>1435.69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</row>
        <row r="52">
          <cell r="G52">
            <v>0</v>
          </cell>
          <cell r="H52">
            <v>0</v>
          </cell>
          <cell r="I52">
            <v>4133.76</v>
          </cell>
          <cell r="J52">
            <v>240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</row>
        <row r="53">
          <cell r="G53">
            <v>0</v>
          </cell>
          <cell r="H53">
            <v>0</v>
          </cell>
          <cell r="I53">
            <v>552.92999999999995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0</v>
          </cell>
        </row>
        <row r="54">
          <cell r="G54">
            <v>2472.6999999999998</v>
          </cell>
          <cell r="H54">
            <v>4081.36</v>
          </cell>
          <cell r="I54">
            <v>368480.06000000006</v>
          </cell>
          <cell r="J54">
            <v>33840</v>
          </cell>
          <cell r="K54">
            <v>1440</v>
          </cell>
          <cell r="M54">
            <v>0</v>
          </cell>
          <cell r="N54">
            <v>0</v>
          </cell>
          <cell r="O54">
            <v>210.78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</row>
        <row r="55">
          <cell r="G55">
            <v>2414839.2400000002</v>
          </cell>
          <cell r="H55">
            <v>180629.13</v>
          </cell>
          <cell r="I55">
            <v>7762970.7700000014</v>
          </cell>
          <cell r="J55">
            <v>518484</v>
          </cell>
          <cell r="K55">
            <v>15960</v>
          </cell>
          <cell r="M55">
            <v>3157.27</v>
          </cell>
          <cell r="N55">
            <v>8565.15</v>
          </cell>
          <cell r="O55">
            <v>102032.92</v>
          </cell>
          <cell r="P55">
            <v>2058.1799999999998</v>
          </cell>
          <cell r="Q55">
            <v>16351.71</v>
          </cell>
          <cell r="R55">
            <v>59212.02</v>
          </cell>
          <cell r="S55">
            <v>397117.53</v>
          </cell>
          <cell r="T55">
            <v>0</v>
          </cell>
          <cell r="W55">
            <v>804009.97</v>
          </cell>
        </row>
      </sheetData>
      <sheetData sheetId="3">
        <row r="8">
          <cell r="G8">
            <v>0</v>
          </cell>
          <cell r="H8">
            <v>0</v>
          </cell>
          <cell r="I8">
            <v>13954.54</v>
          </cell>
          <cell r="J8">
            <v>780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G9">
            <v>3875.51</v>
          </cell>
          <cell r="H9">
            <v>2098.04</v>
          </cell>
          <cell r="I9">
            <v>63973.14</v>
          </cell>
          <cell r="J9">
            <v>2940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59212.02</v>
          </cell>
          <cell r="S9">
            <v>0</v>
          </cell>
          <cell r="T9">
            <v>0</v>
          </cell>
          <cell r="W9">
            <v>0</v>
          </cell>
        </row>
        <row r="10">
          <cell r="G10">
            <v>0</v>
          </cell>
          <cell r="H10">
            <v>0</v>
          </cell>
          <cell r="I10">
            <v>540.49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G11">
            <v>775.96</v>
          </cell>
          <cell r="H11">
            <v>0</v>
          </cell>
          <cell r="I11">
            <v>12711.52</v>
          </cell>
          <cell r="J11">
            <v>840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G12">
            <v>12427.18</v>
          </cell>
          <cell r="H12">
            <v>7884.64</v>
          </cell>
          <cell r="I12">
            <v>347393.1</v>
          </cell>
          <cell r="J12">
            <v>24780</v>
          </cell>
          <cell r="K12">
            <v>1200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1281.08</v>
          </cell>
        </row>
        <row r="13">
          <cell r="G13">
            <v>12526.68</v>
          </cell>
          <cell r="H13">
            <v>15644.09</v>
          </cell>
          <cell r="I13">
            <v>715648.39</v>
          </cell>
          <cell r="J13">
            <v>45780</v>
          </cell>
          <cell r="K13">
            <v>960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2562.16</v>
          </cell>
        </row>
        <row r="14">
          <cell r="G14">
            <v>75.13</v>
          </cell>
          <cell r="H14">
            <v>0</v>
          </cell>
          <cell r="I14">
            <v>26404.99</v>
          </cell>
          <cell r="J14">
            <v>2040</v>
          </cell>
          <cell r="K14">
            <v>120</v>
          </cell>
          <cell r="M14">
            <v>809.56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</row>
        <row r="15">
          <cell r="G15">
            <v>0</v>
          </cell>
          <cell r="H15">
            <v>0</v>
          </cell>
          <cell r="I15">
            <v>285.32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G16">
            <v>316.91000000000003</v>
          </cell>
          <cell r="H16">
            <v>0</v>
          </cell>
          <cell r="I16">
            <v>15153.04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326780.2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G17">
            <v>0</v>
          </cell>
          <cell r="H17">
            <v>0</v>
          </cell>
          <cell r="I17">
            <v>3145.47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2855.05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G18">
            <v>0</v>
          </cell>
          <cell r="H18">
            <v>0</v>
          </cell>
          <cell r="I18">
            <v>5117.76</v>
          </cell>
          <cell r="J18">
            <v>240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</row>
        <row r="19">
          <cell r="G19">
            <v>18887.39</v>
          </cell>
          <cell r="H19">
            <v>5330.18</v>
          </cell>
          <cell r="I19">
            <v>27206.560000000001</v>
          </cell>
          <cell r="J19">
            <v>0</v>
          </cell>
          <cell r="K19">
            <v>0</v>
          </cell>
          <cell r="M19">
            <v>1214.3399999999999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</row>
        <row r="20">
          <cell r="G20">
            <v>400.11</v>
          </cell>
          <cell r="H20">
            <v>9427.5400000000009</v>
          </cell>
          <cell r="I20">
            <v>91087.03</v>
          </cell>
          <cell r="J20">
            <v>5280</v>
          </cell>
          <cell r="K20">
            <v>0</v>
          </cell>
          <cell r="M20">
            <v>2347.71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3843.24</v>
          </cell>
        </row>
        <row r="21">
          <cell r="G21">
            <v>0</v>
          </cell>
          <cell r="H21">
            <v>0</v>
          </cell>
          <cell r="I21">
            <v>88.17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</row>
        <row r="22">
          <cell r="G22">
            <v>0</v>
          </cell>
          <cell r="H22">
            <v>0</v>
          </cell>
          <cell r="I22">
            <v>474.67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G23">
            <v>0</v>
          </cell>
          <cell r="H23">
            <v>0</v>
          </cell>
          <cell r="I23">
            <v>1442.74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G24">
            <v>9808.26</v>
          </cell>
          <cell r="H24">
            <v>240.24</v>
          </cell>
          <cell r="I24">
            <v>268134.21000000002</v>
          </cell>
          <cell r="J24">
            <v>22944</v>
          </cell>
          <cell r="K24">
            <v>2760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G25">
            <v>0</v>
          </cell>
          <cell r="H25">
            <v>0</v>
          </cell>
          <cell r="I25">
            <v>6225.44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G26">
            <v>429.09</v>
          </cell>
          <cell r="H26">
            <v>0</v>
          </cell>
          <cell r="I26">
            <v>84777.99</v>
          </cell>
          <cell r="J26">
            <v>6840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</row>
        <row r="27">
          <cell r="G27">
            <v>0</v>
          </cell>
          <cell r="H27">
            <v>0</v>
          </cell>
          <cell r="I27">
            <v>767.28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</row>
        <row r="28">
          <cell r="G28">
            <v>723894.51</v>
          </cell>
          <cell r="H28">
            <v>43308.78</v>
          </cell>
          <cell r="I28">
            <v>2016870.34</v>
          </cell>
          <cell r="J28">
            <v>137256</v>
          </cell>
          <cell r="K28">
            <v>3840</v>
          </cell>
          <cell r="M28">
            <v>809.56</v>
          </cell>
          <cell r="N28">
            <v>0</v>
          </cell>
          <cell r="O28">
            <v>22178.69</v>
          </cell>
          <cell r="P28">
            <v>4116.3599999999997</v>
          </cell>
          <cell r="Q28">
            <v>16351.71</v>
          </cell>
          <cell r="R28">
            <v>0</v>
          </cell>
          <cell r="S28">
            <v>0</v>
          </cell>
          <cell r="T28">
            <v>6796.2</v>
          </cell>
          <cell r="W28">
            <v>41230.75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</row>
        <row r="30">
          <cell r="G30">
            <v>0</v>
          </cell>
          <cell r="H30">
            <v>0</v>
          </cell>
          <cell r="I30">
            <v>4489.6499999999996</v>
          </cell>
          <cell r="J30">
            <v>360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</row>
        <row r="31">
          <cell r="G31">
            <v>2975.46</v>
          </cell>
          <cell r="H31">
            <v>0</v>
          </cell>
          <cell r="I31">
            <v>58220.34</v>
          </cell>
          <cell r="J31">
            <v>3840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</row>
        <row r="32">
          <cell r="G32">
            <v>992.9</v>
          </cell>
          <cell r="H32">
            <v>16058.31</v>
          </cell>
          <cell r="I32">
            <v>15401.42</v>
          </cell>
          <cell r="J32">
            <v>720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</row>
        <row r="33">
          <cell r="G33">
            <v>0</v>
          </cell>
          <cell r="H33">
            <v>0</v>
          </cell>
          <cell r="I33">
            <v>4296.6499999999996</v>
          </cell>
          <cell r="J33">
            <v>120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</row>
        <row r="34">
          <cell r="G34">
            <v>0</v>
          </cell>
          <cell r="H34">
            <v>0</v>
          </cell>
          <cell r="I34">
            <v>502.05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</row>
        <row r="35">
          <cell r="G35">
            <v>0</v>
          </cell>
          <cell r="H35">
            <v>0</v>
          </cell>
          <cell r="I35">
            <v>277.92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</row>
        <row r="36">
          <cell r="G36">
            <v>170.28</v>
          </cell>
          <cell r="H36">
            <v>0</v>
          </cell>
          <cell r="I36">
            <v>76698.289999999994</v>
          </cell>
          <cell r="J36">
            <v>2880</v>
          </cell>
          <cell r="K36">
            <v>480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</row>
        <row r="37">
          <cell r="G37">
            <v>0</v>
          </cell>
          <cell r="H37">
            <v>0</v>
          </cell>
          <cell r="I37">
            <v>245.31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</row>
        <row r="38">
          <cell r="G38">
            <v>3254</v>
          </cell>
          <cell r="H38">
            <v>0</v>
          </cell>
          <cell r="I38">
            <v>27071.279999999999</v>
          </cell>
          <cell r="J38">
            <v>1392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</row>
        <row r="39">
          <cell r="G39">
            <v>23295.73</v>
          </cell>
          <cell r="H39">
            <v>0</v>
          </cell>
          <cell r="I39">
            <v>31818.51</v>
          </cell>
          <cell r="J39">
            <v>840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</row>
        <row r="40">
          <cell r="G40">
            <v>1234.52</v>
          </cell>
          <cell r="H40">
            <v>3366.2</v>
          </cell>
          <cell r="I40">
            <v>11967.89</v>
          </cell>
          <cell r="J40">
            <v>720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</row>
        <row r="41">
          <cell r="G41">
            <v>2011154.72</v>
          </cell>
          <cell r="H41">
            <v>42021.21</v>
          </cell>
          <cell r="I41">
            <v>3026037.9</v>
          </cell>
          <cell r="J41">
            <v>183781.2</v>
          </cell>
          <cell r="K41">
            <v>5160</v>
          </cell>
          <cell r="M41">
            <v>1214.3399999999999</v>
          </cell>
          <cell r="N41">
            <v>5710.1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491515.81</v>
          </cell>
        </row>
        <row r="42">
          <cell r="G42">
            <v>0</v>
          </cell>
          <cell r="H42">
            <v>0</v>
          </cell>
          <cell r="I42">
            <v>465.4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</row>
        <row r="43">
          <cell r="G43">
            <v>0</v>
          </cell>
          <cell r="H43">
            <v>0</v>
          </cell>
          <cell r="I43">
            <v>5433.98</v>
          </cell>
          <cell r="J43">
            <v>600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</row>
        <row r="44">
          <cell r="G44">
            <v>1900.77</v>
          </cell>
          <cell r="H44">
            <v>0</v>
          </cell>
          <cell r="I44">
            <v>32689.77</v>
          </cell>
          <cell r="J44">
            <v>1260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</row>
        <row r="45">
          <cell r="G45">
            <v>0</v>
          </cell>
          <cell r="H45">
            <v>0</v>
          </cell>
          <cell r="I45">
            <v>4625.08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</row>
        <row r="46">
          <cell r="G46">
            <v>27052.86</v>
          </cell>
          <cell r="H46">
            <v>32061.27</v>
          </cell>
          <cell r="I46">
            <v>196873.11</v>
          </cell>
          <cell r="J46">
            <v>10560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397117.53</v>
          </cell>
          <cell r="T46">
            <v>0</v>
          </cell>
          <cell r="W46">
            <v>0</v>
          </cell>
        </row>
        <row r="47">
          <cell r="G47">
            <v>0</v>
          </cell>
          <cell r="H47">
            <v>0</v>
          </cell>
          <cell r="I47">
            <v>122.07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</row>
        <row r="48">
          <cell r="G48">
            <v>0</v>
          </cell>
          <cell r="H48">
            <v>0</v>
          </cell>
          <cell r="I48">
            <v>1080.5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</row>
        <row r="49">
          <cell r="G49">
            <v>19437.13</v>
          </cell>
          <cell r="H49">
            <v>0</v>
          </cell>
          <cell r="I49">
            <v>464579.49</v>
          </cell>
          <cell r="J49">
            <v>29700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W49">
            <v>0</v>
          </cell>
        </row>
        <row r="50">
          <cell r="G50">
            <v>0</v>
          </cell>
          <cell r="H50">
            <v>0</v>
          </cell>
          <cell r="I50">
            <v>7731.97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</row>
        <row r="51">
          <cell r="G51">
            <v>0</v>
          </cell>
          <cell r="H51">
            <v>0</v>
          </cell>
          <cell r="I51">
            <v>698.66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</row>
        <row r="52">
          <cell r="G52">
            <v>0</v>
          </cell>
          <cell r="H52">
            <v>0</v>
          </cell>
          <cell r="I52">
            <v>2893.07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</row>
        <row r="53">
          <cell r="G53">
            <v>0</v>
          </cell>
          <cell r="H53">
            <v>0</v>
          </cell>
          <cell r="I53">
            <v>749.19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0</v>
          </cell>
        </row>
        <row r="54">
          <cell r="G54">
            <v>2594.27</v>
          </cell>
          <cell r="H54">
            <v>5155.4799999999996</v>
          </cell>
          <cell r="I54">
            <v>345275.29</v>
          </cell>
          <cell r="J54">
            <v>32820</v>
          </cell>
          <cell r="K54">
            <v>1440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</row>
        <row r="55">
          <cell r="G55">
            <v>2877479.3699999996</v>
          </cell>
          <cell r="H55">
            <v>182595.98</v>
          </cell>
          <cell r="I55">
            <v>8021646.9800000004</v>
          </cell>
          <cell r="J55">
            <v>519313.2</v>
          </cell>
          <cell r="K55">
            <v>15960</v>
          </cell>
          <cell r="M55">
            <v>6395.51</v>
          </cell>
          <cell r="N55">
            <v>5710.1</v>
          </cell>
          <cell r="O55">
            <v>351813.94</v>
          </cell>
          <cell r="P55">
            <v>4116.3599999999997</v>
          </cell>
          <cell r="Q55">
            <v>16351.71</v>
          </cell>
          <cell r="R55">
            <v>59212.02</v>
          </cell>
          <cell r="S55">
            <v>397117.53</v>
          </cell>
          <cell r="T55">
            <v>6796.2</v>
          </cell>
          <cell r="W55">
            <v>540433.04</v>
          </cell>
        </row>
      </sheetData>
      <sheetData sheetId="4">
        <row r="8">
          <cell r="G8">
            <v>0</v>
          </cell>
          <cell r="H8">
            <v>0</v>
          </cell>
          <cell r="I8">
            <v>11498.37</v>
          </cell>
          <cell r="J8">
            <v>300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G9">
            <v>5199.72</v>
          </cell>
          <cell r="H9">
            <v>6228.43</v>
          </cell>
          <cell r="I9">
            <v>63249.78</v>
          </cell>
          <cell r="J9">
            <v>2820</v>
          </cell>
          <cell r="K9">
            <v>0</v>
          </cell>
          <cell r="M9">
            <v>0</v>
          </cell>
          <cell r="N9">
            <v>0</v>
          </cell>
          <cell r="O9">
            <v>242161.88</v>
          </cell>
          <cell r="P9">
            <v>0</v>
          </cell>
          <cell r="Q9">
            <v>0</v>
          </cell>
          <cell r="R9">
            <v>59749.84</v>
          </cell>
          <cell r="S9">
            <v>0</v>
          </cell>
          <cell r="T9">
            <v>0</v>
          </cell>
          <cell r="W9">
            <v>0</v>
          </cell>
        </row>
        <row r="10">
          <cell r="G10">
            <v>0</v>
          </cell>
          <cell r="H10">
            <v>0</v>
          </cell>
          <cell r="I10">
            <v>441.19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G11">
            <v>1005.17</v>
          </cell>
          <cell r="H11">
            <v>328.72</v>
          </cell>
          <cell r="I11">
            <v>16157.92</v>
          </cell>
          <cell r="J11">
            <v>840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G12">
            <v>22658.28</v>
          </cell>
          <cell r="H12">
            <v>5170.6400000000003</v>
          </cell>
          <cell r="I12">
            <v>345644.23</v>
          </cell>
          <cell r="J12">
            <v>23460</v>
          </cell>
          <cell r="K12">
            <v>600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</row>
        <row r="13">
          <cell r="G13">
            <v>12454.97</v>
          </cell>
          <cell r="H13">
            <v>16228.82</v>
          </cell>
          <cell r="I13">
            <v>685387.99</v>
          </cell>
          <cell r="J13">
            <v>41220</v>
          </cell>
          <cell r="K13">
            <v>360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G14">
            <v>0</v>
          </cell>
          <cell r="H14">
            <v>0</v>
          </cell>
          <cell r="I14">
            <v>23547.62</v>
          </cell>
          <cell r="J14">
            <v>1800</v>
          </cell>
          <cell r="K14">
            <v>120</v>
          </cell>
          <cell r="M14">
            <v>1868.74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</row>
        <row r="15">
          <cell r="G15">
            <v>0</v>
          </cell>
          <cell r="H15">
            <v>0</v>
          </cell>
          <cell r="I15">
            <v>522.47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G16">
            <v>523.11</v>
          </cell>
          <cell r="H16">
            <v>0</v>
          </cell>
          <cell r="I16">
            <v>15515.06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G17">
            <v>0</v>
          </cell>
          <cell r="H17">
            <v>0</v>
          </cell>
          <cell r="I17">
            <v>4612.34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5646.2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G18">
            <v>0</v>
          </cell>
          <cell r="H18">
            <v>0</v>
          </cell>
          <cell r="I18">
            <v>64.91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</row>
        <row r="19">
          <cell r="G19">
            <v>17064</v>
          </cell>
          <cell r="H19">
            <v>2675.04</v>
          </cell>
          <cell r="I19">
            <v>23361.14</v>
          </cell>
          <cell r="J19">
            <v>0</v>
          </cell>
          <cell r="K19">
            <v>0</v>
          </cell>
          <cell r="M19">
            <v>1463.96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</row>
        <row r="20">
          <cell r="G20">
            <v>63391.69</v>
          </cell>
          <cell r="H20">
            <v>9364.81</v>
          </cell>
          <cell r="I20">
            <v>97556.93</v>
          </cell>
          <cell r="J20">
            <v>5640</v>
          </cell>
          <cell r="K20">
            <v>0</v>
          </cell>
          <cell r="M20">
            <v>2425.5300000000002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3843.24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</row>
        <row r="22">
          <cell r="G22">
            <v>0</v>
          </cell>
          <cell r="H22">
            <v>0</v>
          </cell>
          <cell r="I22">
            <v>505.42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G23">
            <v>0</v>
          </cell>
          <cell r="H23">
            <v>0</v>
          </cell>
          <cell r="I23">
            <v>1891.1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G24">
            <v>1796.55</v>
          </cell>
          <cell r="H24">
            <v>0</v>
          </cell>
          <cell r="I24">
            <v>264630.39</v>
          </cell>
          <cell r="J24">
            <v>21744</v>
          </cell>
          <cell r="K24">
            <v>3120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G25">
            <v>0</v>
          </cell>
          <cell r="H25">
            <v>0</v>
          </cell>
          <cell r="I25">
            <v>4589.8599999999997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G26">
            <v>0</v>
          </cell>
          <cell r="H26">
            <v>0</v>
          </cell>
          <cell r="I26">
            <v>82669.679999999993</v>
          </cell>
          <cell r="J26">
            <v>6480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</row>
        <row r="27">
          <cell r="G27">
            <v>0</v>
          </cell>
          <cell r="H27">
            <v>0</v>
          </cell>
          <cell r="I27">
            <v>976.2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</row>
        <row r="28">
          <cell r="G28">
            <v>399144.16</v>
          </cell>
          <cell r="H28">
            <v>42770.44</v>
          </cell>
          <cell r="I28">
            <v>2064483.78</v>
          </cell>
          <cell r="J28">
            <v>141756</v>
          </cell>
          <cell r="K28">
            <v>3000</v>
          </cell>
          <cell r="M28">
            <v>2830.31</v>
          </cell>
          <cell r="N28">
            <v>0</v>
          </cell>
          <cell r="O28">
            <v>22568</v>
          </cell>
          <cell r="P28">
            <v>0</v>
          </cell>
          <cell r="Q28">
            <v>10974.69</v>
          </cell>
          <cell r="R28">
            <v>0</v>
          </cell>
          <cell r="S28">
            <v>0</v>
          </cell>
          <cell r="T28">
            <v>6793.8</v>
          </cell>
          <cell r="W28">
            <v>42258.76</v>
          </cell>
        </row>
        <row r="29">
          <cell r="G29">
            <v>0</v>
          </cell>
          <cell r="H29">
            <v>0</v>
          </cell>
          <cell r="I29">
            <v>404.57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</row>
        <row r="30">
          <cell r="G30">
            <v>75.13</v>
          </cell>
          <cell r="H30">
            <v>0</v>
          </cell>
          <cell r="I30">
            <v>6080.87</v>
          </cell>
          <cell r="J30">
            <v>480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</row>
        <row r="31">
          <cell r="G31">
            <v>4928.12</v>
          </cell>
          <cell r="H31">
            <v>0</v>
          </cell>
          <cell r="I31">
            <v>46891.92</v>
          </cell>
          <cell r="J31">
            <v>3480</v>
          </cell>
          <cell r="K31">
            <v>120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</row>
        <row r="32">
          <cell r="G32">
            <v>1382.21</v>
          </cell>
          <cell r="H32">
            <v>14210.38</v>
          </cell>
          <cell r="I32">
            <v>13629.17</v>
          </cell>
          <cell r="J32">
            <v>480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</row>
        <row r="33">
          <cell r="G33">
            <v>0</v>
          </cell>
          <cell r="H33">
            <v>0</v>
          </cell>
          <cell r="I33">
            <v>5266.31</v>
          </cell>
          <cell r="J33">
            <v>120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</row>
        <row r="34">
          <cell r="G34">
            <v>0</v>
          </cell>
          <cell r="H34">
            <v>0</v>
          </cell>
          <cell r="I34">
            <v>826.34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</row>
        <row r="35">
          <cell r="G35">
            <v>0</v>
          </cell>
          <cell r="H35">
            <v>0</v>
          </cell>
          <cell r="I35">
            <v>222.24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</row>
        <row r="36">
          <cell r="G36">
            <v>631.14</v>
          </cell>
          <cell r="H36">
            <v>0</v>
          </cell>
          <cell r="I36">
            <v>76424.179999999993</v>
          </cell>
          <cell r="J36">
            <v>3060</v>
          </cell>
          <cell r="K36">
            <v>480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</row>
        <row r="37">
          <cell r="G37">
            <v>0</v>
          </cell>
          <cell r="H37">
            <v>0</v>
          </cell>
          <cell r="I37">
            <v>99.19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</row>
        <row r="38">
          <cell r="G38">
            <v>1101.23</v>
          </cell>
          <cell r="H38">
            <v>0</v>
          </cell>
          <cell r="I38">
            <v>28165.19</v>
          </cell>
          <cell r="J38">
            <v>1512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</row>
        <row r="39">
          <cell r="G39">
            <v>23487.48</v>
          </cell>
          <cell r="H39">
            <v>0</v>
          </cell>
          <cell r="I39">
            <v>17125.77</v>
          </cell>
          <cell r="J39">
            <v>720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1281.08</v>
          </cell>
        </row>
        <row r="40">
          <cell r="G40">
            <v>1039.92</v>
          </cell>
          <cell r="H40">
            <v>3114.86</v>
          </cell>
          <cell r="I40">
            <v>11699.24</v>
          </cell>
          <cell r="J40">
            <v>480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</row>
        <row r="41">
          <cell r="G41">
            <v>1897608.78</v>
          </cell>
          <cell r="H41">
            <v>31720.26</v>
          </cell>
          <cell r="I41">
            <v>2889277.48</v>
          </cell>
          <cell r="J41">
            <v>173461.2</v>
          </cell>
          <cell r="K41">
            <v>5040</v>
          </cell>
          <cell r="M41">
            <v>1993.55</v>
          </cell>
          <cell r="N41">
            <v>2818.15</v>
          </cell>
          <cell r="O41">
            <v>5198.28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511856.37</v>
          </cell>
        </row>
        <row r="42">
          <cell r="G42">
            <v>0</v>
          </cell>
          <cell r="H42">
            <v>0</v>
          </cell>
          <cell r="I42">
            <v>816.59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</row>
        <row r="43">
          <cell r="G43">
            <v>0</v>
          </cell>
          <cell r="H43">
            <v>0</v>
          </cell>
          <cell r="I43">
            <v>4632.49</v>
          </cell>
          <cell r="J43">
            <v>480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</row>
        <row r="44">
          <cell r="G44">
            <v>1900.77</v>
          </cell>
          <cell r="H44">
            <v>0</v>
          </cell>
          <cell r="I44">
            <v>29551.98</v>
          </cell>
          <cell r="J44">
            <v>1200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</row>
        <row r="45">
          <cell r="G45">
            <v>0</v>
          </cell>
          <cell r="H45">
            <v>0</v>
          </cell>
          <cell r="I45">
            <v>4455.9799999999996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</row>
        <row r="46">
          <cell r="G46">
            <v>1568</v>
          </cell>
          <cell r="H46">
            <v>22157.78</v>
          </cell>
          <cell r="I46">
            <v>199907.65</v>
          </cell>
          <cell r="J46">
            <v>10860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374607.99</v>
          </cell>
          <cell r="T46">
            <v>0</v>
          </cell>
          <cell r="W46">
            <v>0</v>
          </cell>
        </row>
        <row r="47">
          <cell r="G47">
            <v>0</v>
          </cell>
          <cell r="H47">
            <v>0</v>
          </cell>
          <cell r="I47">
            <v>193.23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</row>
        <row r="48">
          <cell r="G48">
            <v>0</v>
          </cell>
          <cell r="H48">
            <v>0</v>
          </cell>
          <cell r="I48">
            <v>356.32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</row>
        <row r="49">
          <cell r="G49">
            <v>40227.26</v>
          </cell>
          <cell r="H49">
            <v>0</v>
          </cell>
          <cell r="I49">
            <v>459164.62</v>
          </cell>
          <cell r="J49">
            <v>29880</v>
          </cell>
          <cell r="K49">
            <v>480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W49">
            <v>2562.16</v>
          </cell>
        </row>
        <row r="50">
          <cell r="G50">
            <v>0</v>
          </cell>
          <cell r="H50">
            <v>0</v>
          </cell>
          <cell r="I50">
            <v>4593.7299999999996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</row>
        <row r="51">
          <cell r="G51">
            <v>0</v>
          </cell>
          <cell r="H51">
            <v>0</v>
          </cell>
          <cell r="I51">
            <v>1056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</row>
        <row r="52">
          <cell r="G52">
            <v>0</v>
          </cell>
          <cell r="H52">
            <v>0</v>
          </cell>
          <cell r="I52">
            <v>4109.59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</row>
        <row r="53">
          <cell r="G53">
            <v>0</v>
          </cell>
          <cell r="H53">
            <v>0</v>
          </cell>
          <cell r="I53">
            <v>762.09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0</v>
          </cell>
        </row>
        <row r="54">
          <cell r="G54">
            <v>2356.81</v>
          </cell>
          <cell r="H54">
            <v>5137.8999999999996</v>
          </cell>
          <cell r="I54">
            <v>376508.81</v>
          </cell>
          <cell r="J54">
            <v>34596</v>
          </cell>
          <cell r="K54">
            <v>1440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</row>
        <row r="55">
          <cell r="G55">
            <v>2499544.5</v>
          </cell>
          <cell r="H55">
            <v>159108.07999999999</v>
          </cell>
          <cell r="I55">
            <v>7889527.9300000016</v>
          </cell>
          <cell r="J55">
            <v>506869.2</v>
          </cell>
          <cell r="K55">
            <v>14760</v>
          </cell>
          <cell r="M55">
            <v>10582.089999999998</v>
          </cell>
          <cell r="N55">
            <v>2818.15</v>
          </cell>
          <cell r="O55">
            <v>275574.36000000004</v>
          </cell>
          <cell r="P55">
            <v>0</v>
          </cell>
          <cell r="Q55">
            <v>10974.69</v>
          </cell>
          <cell r="R55">
            <v>59749.84</v>
          </cell>
          <cell r="S55">
            <v>374607.99</v>
          </cell>
          <cell r="T55">
            <v>6793.8</v>
          </cell>
          <cell r="W55">
            <v>561801.61</v>
          </cell>
        </row>
      </sheetData>
      <sheetData sheetId="5">
        <row r="8">
          <cell r="G8">
            <v>0</v>
          </cell>
          <cell r="H8">
            <v>0</v>
          </cell>
          <cell r="I8">
            <v>11634.81</v>
          </cell>
          <cell r="J8">
            <v>600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G9">
            <v>102589.78</v>
          </cell>
          <cell r="H9">
            <v>7581.99</v>
          </cell>
          <cell r="I9">
            <v>63622.080000000002</v>
          </cell>
          <cell r="J9">
            <v>2700</v>
          </cell>
          <cell r="K9">
            <v>0</v>
          </cell>
          <cell r="M9">
            <v>0</v>
          </cell>
          <cell r="N9">
            <v>0</v>
          </cell>
          <cell r="O9">
            <v>240754.06</v>
          </cell>
          <cell r="P9">
            <v>0</v>
          </cell>
          <cell r="Q9">
            <v>0</v>
          </cell>
          <cell r="R9">
            <v>60018.75</v>
          </cell>
          <cell r="S9">
            <v>0</v>
          </cell>
          <cell r="T9">
            <v>0</v>
          </cell>
          <cell r="W9">
            <v>0</v>
          </cell>
        </row>
        <row r="10">
          <cell r="G10">
            <v>0</v>
          </cell>
          <cell r="H10">
            <v>0</v>
          </cell>
          <cell r="I10">
            <v>471.64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G11">
            <v>1841.4</v>
          </cell>
          <cell r="H11">
            <v>161.27000000000001</v>
          </cell>
          <cell r="I11">
            <v>13699.82</v>
          </cell>
          <cell r="J11">
            <v>600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G12">
            <v>55021.52</v>
          </cell>
          <cell r="H12">
            <v>9085.51</v>
          </cell>
          <cell r="I12">
            <v>380614.45</v>
          </cell>
          <cell r="J12">
            <v>25200</v>
          </cell>
          <cell r="K12">
            <v>600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2562.16</v>
          </cell>
        </row>
        <row r="13">
          <cell r="G13">
            <v>13805.96</v>
          </cell>
          <cell r="H13">
            <v>15407.88</v>
          </cell>
          <cell r="I13">
            <v>737408.05</v>
          </cell>
          <cell r="J13">
            <v>44880</v>
          </cell>
          <cell r="K13">
            <v>600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2562.16</v>
          </cell>
        </row>
        <row r="14">
          <cell r="G14">
            <v>0</v>
          </cell>
          <cell r="H14">
            <v>0</v>
          </cell>
          <cell r="I14">
            <v>21140.720000000001</v>
          </cell>
          <cell r="J14">
            <v>2040</v>
          </cell>
          <cell r="K14">
            <v>120</v>
          </cell>
          <cell r="M14">
            <v>1588.76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W14">
            <v>0</v>
          </cell>
        </row>
        <row r="15">
          <cell r="G15">
            <v>0</v>
          </cell>
          <cell r="H15">
            <v>0</v>
          </cell>
          <cell r="I15">
            <v>284.02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G16">
            <v>663.79</v>
          </cell>
          <cell r="H16">
            <v>0</v>
          </cell>
          <cell r="I16">
            <v>17048.490000000002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G17">
            <v>0</v>
          </cell>
          <cell r="H17">
            <v>0</v>
          </cell>
          <cell r="I17">
            <v>4413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5636.3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</row>
        <row r="19">
          <cell r="G19">
            <v>20605.84</v>
          </cell>
          <cell r="H19">
            <v>3638.99</v>
          </cell>
          <cell r="I19">
            <v>17081.18</v>
          </cell>
          <cell r="J19">
            <v>0</v>
          </cell>
          <cell r="K19">
            <v>0</v>
          </cell>
          <cell r="M19">
            <v>1588.77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20454.57</v>
          </cell>
        </row>
        <row r="20">
          <cell r="G20">
            <v>76802.27</v>
          </cell>
          <cell r="H20">
            <v>6135.37</v>
          </cell>
          <cell r="I20">
            <v>101308.83</v>
          </cell>
          <cell r="J20">
            <v>5640</v>
          </cell>
          <cell r="K20">
            <v>0</v>
          </cell>
          <cell r="M20">
            <v>3071.61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16654.04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</row>
        <row r="22">
          <cell r="G22">
            <v>0</v>
          </cell>
          <cell r="H22">
            <v>0</v>
          </cell>
          <cell r="I22">
            <v>308.95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G23">
            <v>0</v>
          </cell>
          <cell r="H23">
            <v>0</v>
          </cell>
          <cell r="I23">
            <v>3501.27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G24">
            <v>28191.89</v>
          </cell>
          <cell r="H24">
            <v>0</v>
          </cell>
          <cell r="I24">
            <v>271544.45</v>
          </cell>
          <cell r="J24">
            <v>23172</v>
          </cell>
          <cell r="K24">
            <v>2520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G25">
            <v>0</v>
          </cell>
          <cell r="H25">
            <v>0</v>
          </cell>
          <cell r="I25">
            <v>4898.13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G26">
            <v>447.8</v>
          </cell>
          <cell r="H26">
            <v>0</v>
          </cell>
          <cell r="I26">
            <v>85211.839999999997</v>
          </cell>
          <cell r="J26">
            <v>6600</v>
          </cell>
          <cell r="K26">
            <v>120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0</v>
          </cell>
        </row>
        <row r="27">
          <cell r="H27">
            <v>0</v>
          </cell>
          <cell r="I27">
            <v>373.45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</row>
        <row r="28">
          <cell r="G28">
            <v>497581.22</v>
          </cell>
          <cell r="H28">
            <v>47147.61</v>
          </cell>
          <cell r="I28">
            <v>2091634.77</v>
          </cell>
          <cell r="J28">
            <v>139236</v>
          </cell>
          <cell r="K28">
            <v>3360</v>
          </cell>
          <cell r="M28">
            <v>3177.54</v>
          </cell>
          <cell r="N28">
            <v>0</v>
          </cell>
          <cell r="O28">
            <v>22450.67</v>
          </cell>
          <cell r="P28">
            <v>0</v>
          </cell>
          <cell r="Q28">
            <v>40167.879999999997</v>
          </cell>
          <cell r="R28">
            <v>0</v>
          </cell>
          <cell r="S28">
            <v>0</v>
          </cell>
          <cell r="T28">
            <v>13663.26</v>
          </cell>
          <cell r="W28">
            <v>44820.92</v>
          </cell>
        </row>
        <row r="29">
          <cell r="G29">
            <v>0</v>
          </cell>
          <cell r="H29">
            <v>0</v>
          </cell>
          <cell r="I29">
            <v>94.99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</row>
        <row r="30">
          <cell r="G30">
            <v>0</v>
          </cell>
          <cell r="H30">
            <v>0</v>
          </cell>
          <cell r="I30">
            <v>6319.57</v>
          </cell>
          <cell r="J30">
            <v>600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</row>
        <row r="31">
          <cell r="G31">
            <v>2641.51</v>
          </cell>
          <cell r="H31">
            <v>0</v>
          </cell>
          <cell r="I31">
            <v>49989.97</v>
          </cell>
          <cell r="J31">
            <v>3960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</row>
        <row r="32">
          <cell r="G32">
            <v>231.03</v>
          </cell>
          <cell r="H32">
            <v>7349.75</v>
          </cell>
          <cell r="I32">
            <v>10076.959999999999</v>
          </cell>
          <cell r="J32">
            <v>360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0</v>
          </cell>
        </row>
        <row r="33">
          <cell r="G33">
            <v>0</v>
          </cell>
          <cell r="H33">
            <v>0</v>
          </cell>
          <cell r="I33">
            <v>2638.98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0</v>
          </cell>
        </row>
        <row r="34">
          <cell r="G34">
            <v>0</v>
          </cell>
          <cell r="H34">
            <v>0</v>
          </cell>
          <cell r="I34">
            <v>1079.07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</row>
        <row r="35">
          <cell r="G35">
            <v>0</v>
          </cell>
          <cell r="H35">
            <v>0</v>
          </cell>
          <cell r="I35">
            <v>884.58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</row>
        <row r="36">
          <cell r="G36">
            <v>2455.52</v>
          </cell>
          <cell r="H36">
            <v>0</v>
          </cell>
          <cell r="I36">
            <v>100342.05</v>
          </cell>
          <cell r="J36">
            <v>4320</v>
          </cell>
          <cell r="K36">
            <v>480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</row>
        <row r="37">
          <cell r="H37">
            <v>0</v>
          </cell>
          <cell r="I37">
            <v>99.19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</row>
        <row r="38">
          <cell r="G38">
            <v>613.62</v>
          </cell>
          <cell r="H38">
            <v>0</v>
          </cell>
          <cell r="I38">
            <v>24937.18</v>
          </cell>
          <cell r="J38">
            <v>1320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</row>
        <row r="39">
          <cell r="G39">
            <v>33819.379999999997</v>
          </cell>
          <cell r="H39">
            <v>0</v>
          </cell>
          <cell r="I39">
            <v>33891.35</v>
          </cell>
          <cell r="J39">
            <v>960</v>
          </cell>
          <cell r="K39">
            <v>0</v>
          </cell>
          <cell r="M39">
            <v>0</v>
          </cell>
          <cell r="N39">
            <v>0</v>
          </cell>
          <cell r="O39">
            <v>240.66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3843.24</v>
          </cell>
        </row>
        <row r="40">
          <cell r="G40">
            <v>2255.9499999999998</v>
          </cell>
          <cell r="H40">
            <v>3117.87</v>
          </cell>
          <cell r="I40">
            <v>7534.47</v>
          </cell>
          <cell r="J40">
            <v>240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</row>
        <row r="41">
          <cell r="G41">
            <v>1876530.74</v>
          </cell>
          <cell r="H41">
            <v>33634.269999999997</v>
          </cell>
          <cell r="I41">
            <v>2868869.68</v>
          </cell>
          <cell r="J41">
            <v>166513.20000000001</v>
          </cell>
          <cell r="K41">
            <v>3240</v>
          </cell>
          <cell r="M41">
            <v>3177.52</v>
          </cell>
          <cell r="N41">
            <v>8454.4500000000007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882106.65</v>
          </cell>
        </row>
        <row r="42">
          <cell r="G42">
            <v>0</v>
          </cell>
          <cell r="H42">
            <v>0</v>
          </cell>
          <cell r="I42">
            <v>1563.32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</row>
        <row r="43">
          <cell r="G43">
            <v>0</v>
          </cell>
          <cell r="H43">
            <v>0</v>
          </cell>
          <cell r="I43">
            <v>4810.76</v>
          </cell>
          <cell r="J43">
            <v>480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</row>
        <row r="44">
          <cell r="G44">
            <v>0</v>
          </cell>
          <cell r="H44">
            <v>0</v>
          </cell>
          <cell r="I44">
            <v>33749.980000000003</v>
          </cell>
          <cell r="J44">
            <v>1800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</row>
        <row r="45">
          <cell r="G45">
            <v>0</v>
          </cell>
          <cell r="H45">
            <v>0</v>
          </cell>
          <cell r="I45">
            <v>5351.45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</row>
        <row r="46">
          <cell r="G46">
            <v>4984.66</v>
          </cell>
          <cell r="H46">
            <v>28027.64</v>
          </cell>
          <cell r="I46">
            <v>191835.3</v>
          </cell>
          <cell r="J46">
            <v>7920</v>
          </cell>
          <cell r="K46">
            <v>480</v>
          </cell>
          <cell r="M46">
            <v>529.58000000000004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242235.48</v>
          </cell>
          <cell r="T46">
            <v>0</v>
          </cell>
          <cell r="W46">
            <v>0</v>
          </cell>
        </row>
        <row r="47">
          <cell r="G47">
            <v>0</v>
          </cell>
          <cell r="H47">
            <v>0</v>
          </cell>
          <cell r="I47">
            <v>156.33000000000001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</row>
        <row r="48">
          <cell r="G48">
            <v>0</v>
          </cell>
          <cell r="H48">
            <v>0</v>
          </cell>
          <cell r="I48">
            <v>201.3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</row>
        <row r="49">
          <cell r="G49">
            <v>81992.490000000005</v>
          </cell>
          <cell r="H49">
            <v>0</v>
          </cell>
          <cell r="I49">
            <v>470741.1</v>
          </cell>
          <cell r="J49">
            <v>31320</v>
          </cell>
          <cell r="K49">
            <v>480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W49">
            <v>7686.48</v>
          </cell>
        </row>
        <row r="50">
          <cell r="G50">
            <v>0</v>
          </cell>
          <cell r="H50">
            <v>0</v>
          </cell>
          <cell r="I50">
            <v>11566.13</v>
          </cell>
          <cell r="J50">
            <v>120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</row>
        <row r="51">
          <cell r="G51">
            <v>0</v>
          </cell>
          <cell r="H51">
            <v>0</v>
          </cell>
          <cell r="I51">
            <v>421.56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</row>
        <row r="52">
          <cell r="G52">
            <v>0</v>
          </cell>
          <cell r="H52">
            <v>0</v>
          </cell>
          <cell r="I52">
            <v>3177.1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</row>
        <row r="53">
          <cell r="G53">
            <v>0</v>
          </cell>
          <cell r="H53">
            <v>0</v>
          </cell>
          <cell r="I53">
            <v>952.79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0</v>
          </cell>
        </row>
        <row r="54">
          <cell r="G54">
            <v>14780.75</v>
          </cell>
          <cell r="H54">
            <v>8071.38</v>
          </cell>
          <cell r="I54">
            <v>370948.14</v>
          </cell>
          <cell r="J54">
            <v>33672</v>
          </cell>
          <cell r="K54">
            <v>960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</row>
        <row r="55">
          <cell r="G55">
            <v>2817857.12</v>
          </cell>
          <cell r="H55">
            <v>169359.52999999997</v>
          </cell>
          <cell r="I55">
            <v>8028433.2499999991</v>
          </cell>
          <cell r="J55">
            <v>504253.2</v>
          </cell>
          <cell r="K55">
            <v>12960</v>
          </cell>
          <cell r="M55">
            <v>13133.78</v>
          </cell>
          <cell r="N55">
            <v>8454.4500000000007</v>
          </cell>
          <cell r="O55">
            <v>269081.68999999994</v>
          </cell>
          <cell r="P55">
            <v>0</v>
          </cell>
          <cell r="Q55">
            <v>40167.879999999997</v>
          </cell>
          <cell r="R55">
            <v>60018.75</v>
          </cell>
          <cell r="S55">
            <v>242235.48</v>
          </cell>
          <cell r="T55">
            <v>13663.26</v>
          </cell>
          <cell r="W55">
            <v>980690.22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farm_93@yahoo.com" TargetMode="External"/><Relationship Id="rId13" Type="http://schemas.openxmlformats.org/officeDocument/2006/relationships/hyperlink" Target="mailto:farmacialaza@yahoo.com" TargetMode="External"/><Relationship Id="rId18" Type="http://schemas.openxmlformats.org/officeDocument/2006/relationships/hyperlink" Target="mailto:farmaciafarmab2@yahoo.com" TargetMode="External"/><Relationship Id="rId3" Type="http://schemas.openxmlformats.org/officeDocument/2006/relationships/hyperlink" Target="mailto:sasviro@gmail.com" TargetMode="External"/><Relationship Id="rId21" Type="http://schemas.openxmlformats.org/officeDocument/2006/relationships/hyperlink" Target="mailto:stoleruandreea@yahoo.com" TargetMode="External"/><Relationship Id="rId7" Type="http://schemas.openxmlformats.org/officeDocument/2006/relationships/hyperlink" Target="mailto:farmacia.traian@yahoo.com" TargetMode="External"/><Relationship Id="rId12" Type="http://schemas.openxmlformats.org/officeDocument/2006/relationships/hyperlink" Target="mailto:rafarm_93@yahoo.com" TargetMode="External"/><Relationship Id="rId17" Type="http://schemas.openxmlformats.org/officeDocument/2006/relationships/hyperlink" Target="mailto:resita@sibpharmamed.ro" TargetMode="External"/><Relationship Id="rId2" Type="http://schemas.openxmlformats.org/officeDocument/2006/relationships/hyperlink" Target="mailto:office@farmaciiledona.ro" TargetMode="External"/><Relationship Id="rId16" Type="http://schemas.openxmlformats.org/officeDocument/2006/relationships/hyperlink" Target="mailto:oficinasolesti@yahoo.com" TargetMode="External"/><Relationship Id="rId20" Type="http://schemas.openxmlformats.org/officeDocument/2006/relationships/hyperlink" Target="mailto:rafarm_93@yahoo.com" TargetMode="External"/><Relationship Id="rId1" Type="http://schemas.openxmlformats.org/officeDocument/2006/relationships/hyperlink" Target="mailto:rafarm_93@yahoo.com" TargetMode="External"/><Relationship Id="rId6" Type="http://schemas.openxmlformats.org/officeDocument/2006/relationships/hyperlink" Target="mailto:IS_23@ropharma.ro" TargetMode="External"/><Relationship Id="rId11" Type="http://schemas.openxmlformats.org/officeDocument/2006/relationships/hyperlink" Target="mailto:stoleruandreea@yahoo.com" TargetMode="External"/><Relationship Id="rId5" Type="http://schemas.openxmlformats.org/officeDocument/2006/relationships/hyperlink" Target="mailto:rafarm_93@yahoo.com" TargetMode="External"/><Relationship Id="rId15" Type="http://schemas.openxmlformats.org/officeDocument/2006/relationships/hyperlink" Target="mailto:farmaciafarmab2@yahoo.com" TargetMode="External"/><Relationship Id="rId10" Type="http://schemas.openxmlformats.org/officeDocument/2006/relationships/hyperlink" Target="mailto:stoleruandreea@yahoo.com" TargetMode="External"/><Relationship Id="rId19" Type="http://schemas.openxmlformats.org/officeDocument/2006/relationships/hyperlink" Target="mailto:resita@sibpharmamed.ro" TargetMode="External"/><Relationship Id="rId4" Type="http://schemas.openxmlformats.org/officeDocument/2006/relationships/hyperlink" Target="mailto:resita@sibpharmamed.ro" TargetMode="External"/><Relationship Id="rId9" Type="http://schemas.openxmlformats.org/officeDocument/2006/relationships/hyperlink" Target="mailto:farmacia.traian@yahoo.com" TargetMode="External"/><Relationship Id="rId14" Type="http://schemas.openxmlformats.org/officeDocument/2006/relationships/hyperlink" Target="mailto:farmaciafarmab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>
      <selection activeCell="A25" sqref="A25"/>
    </sheetView>
  </sheetViews>
  <sheetFormatPr defaultRowHeight="9.75"/>
  <cols>
    <col min="1" max="1" width="9.140625" style="56"/>
    <col min="2" max="2" width="10.85546875" style="56" bestFit="1" customWidth="1"/>
    <col min="3" max="3" width="9.140625" style="56"/>
    <col min="4" max="5" width="10.85546875" style="56" bestFit="1" customWidth="1"/>
    <col min="6" max="6" width="10" style="56" bestFit="1" customWidth="1"/>
    <col min="7" max="7" width="10.85546875" style="56" bestFit="1" customWidth="1"/>
    <col min="8" max="8" width="10" style="56" bestFit="1" customWidth="1"/>
    <col min="9" max="9" width="9.5703125" style="56" customWidth="1"/>
    <col min="10" max="11" width="10.85546875" style="56" bestFit="1" customWidth="1"/>
    <col min="12" max="12" width="10" style="56" bestFit="1" customWidth="1"/>
    <col min="13" max="13" width="10.85546875" style="56" bestFit="1" customWidth="1"/>
    <col min="14" max="14" width="10" style="56" bestFit="1" customWidth="1"/>
    <col min="15" max="15" width="9.140625" style="56"/>
    <col min="16" max="16" width="10" style="56" bestFit="1" customWidth="1"/>
    <col min="17" max="19" width="9.140625" style="56"/>
    <col min="20" max="22" width="9.140625" style="57"/>
    <col min="23" max="23" width="10" style="57" bestFit="1" customWidth="1"/>
    <col min="24" max="24" width="9.140625" style="57"/>
    <col min="25" max="25" width="10" style="57" bestFit="1" customWidth="1"/>
    <col min="26" max="26" width="10.85546875" style="56" bestFit="1" customWidth="1"/>
    <col min="27" max="27" width="11.7109375" style="56" bestFit="1" customWidth="1"/>
    <col min="28" max="16384" width="9.140625" style="56"/>
  </cols>
  <sheetData>
    <row r="1" spans="1:36" ht="12.75">
      <c r="Z1" s="58">
        <v>45313</v>
      </c>
    </row>
    <row r="2" spans="1:36" ht="15.75">
      <c r="A2" s="73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6">
      <c r="A3" s="59"/>
      <c r="B3" s="59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36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6" ht="12.75">
      <c r="A5" s="61" t="s">
        <v>122</v>
      </c>
      <c r="B5" s="59"/>
      <c r="C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36" ht="39">
      <c r="A7" s="62" t="s">
        <v>123</v>
      </c>
      <c r="B7" s="63" t="s">
        <v>156</v>
      </c>
      <c r="C7" s="62" t="s">
        <v>157</v>
      </c>
      <c r="D7" s="64" t="s">
        <v>158</v>
      </c>
      <c r="E7" s="64" t="s">
        <v>124</v>
      </c>
      <c r="F7" s="64" t="s">
        <v>159</v>
      </c>
      <c r="G7" s="64" t="s">
        <v>125</v>
      </c>
      <c r="H7" s="64" t="s">
        <v>126</v>
      </c>
      <c r="I7" s="64" t="s">
        <v>155</v>
      </c>
      <c r="J7" s="64" t="s">
        <v>160</v>
      </c>
      <c r="K7" s="64" t="s">
        <v>161</v>
      </c>
      <c r="L7" s="64" t="s">
        <v>162</v>
      </c>
      <c r="M7" s="64" t="s">
        <v>163</v>
      </c>
      <c r="N7" s="64" t="s">
        <v>127</v>
      </c>
      <c r="O7" s="64" t="s">
        <v>128</v>
      </c>
      <c r="P7" s="64" t="s">
        <v>164</v>
      </c>
      <c r="Q7" s="64" t="s">
        <v>129</v>
      </c>
      <c r="R7" s="64" t="s">
        <v>130</v>
      </c>
      <c r="S7" s="64" t="s">
        <v>131</v>
      </c>
      <c r="T7" s="65" t="s">
        <v>132</v>
      </c>
      <c r="U7" s="65" t="s">
        <v>154</v>
      </c>
      <c r="V7" s="65" t="s">
        <v>133</v>
      </c>
      <c r="W7" s="65" t="s">
        <v>19</v>
      </c>
      <c r="X7" s="66" t="s">
        <v>153</v>
      </c>
      <c r="Y7" s="65" t="s">
        <v>21</v>
      </c>
      <c r="Z7" s="67" t="s">
        <v>24</v>
      </c>
      <c r="AA7" s="69" t="s">
        <v>134</v>
      </c>
    </row>
    <row r="8" spans="1:36">
      <c r="A8" s="68" t="s">
        <v>135</v>
      </c>
      <c r="B8" s="69">
        <f>C8+D8+E8+F8</f>
        <v>6575330.7300000014</v>
      </c>
      <c r="C8" s="69">
        <v>13841.29</v>
      </c>
      <c r="D8" s="69">
        <f>4662498.44+202512.19+765733.56</f>
        <v>5630744.1900000013</v>
      </c>
      <c r="E8" s="69">
        <v>768743.12</v>
      </c>
      <c r="F8" s="69">
        <v>162002.13</v>
      </c>
      <c r="G8" s="69">
        <f>632156.64</f>
        <v>632156.64</v>
      </c>
      <c r="H8" s="69">
        <f>373236.03</f>
        <v>373236.03</v>
      </c>
      <c r="I8" s="69">
        <f>55426.32</f>
        <v>55426.32</v>
      </c>
      <c r="J8" s="69">
        <f>996645.76</f>
        <v>996645.76</v>
      </c>
      <c r="K8" s="69">
        <f>1074348.45</f>
        <v>1074348.45</v>
      </c>
      <c r="L8" s="69">
        <f>390365.75</f>
        <v>390365.75</v>
      </c>
      <c r="M8" s="69">
        <f>J8+K8+L8</f>
        <v>2461359.96</v>
      </c>
      <c r="N8" s="69">
        <f>171408</f>
        <v>171408</v>
      </c>
      <c r="O8" s="69">
        <f>5040</f>
        <v>5040</v>
      </c>
      <c r="P8" s="69">
        <f>N8+O8</f>
        <v>176448</v>
      </c>
      <c r="Q8" s="69">
        <f>782.57</f>
        <v>782.57</v>
      </c>
      <c r="R8" s="69">
        <f>8565.15</f>
        <v>8565.15</v>
      </c>
      <c r="S8" s="69">
        <f>5913.06</f>
        <v>5913.06</v>
      </c>
      <c r="T8" s="69">
        <f>0</f>
        <v>0</v>
      </c>
      <c r="U8" s="69">
        <f>5450.57</f>
        <v>5450.57</v>
      </c>
      <c r="V8" s="69">
        <f>19737.34</f>
        <v>19737.34</v>
      </c>
      <c r="W8" s="69">
        <f>132372.51</f>
        <v>132372.51</v>
      </c>
      <c r="X8" s="69">
        <v>0</v>
      </c>
      <c r="Y8" s="69">
        <f>U8+T8+S8+R8+Q8+V8+W8+X8</f>
        <v>172821.2</v>
      </c>
      <c r="Z8" s="70">
        <f>G8+H8+I8+M8+P8+Y8</f>
        <v>3871448.1500000004</v>
      </c>
      <c r="AA8" s="69">
        <f>B8+Z8</f>
        <v>10446778.880000003</v>
      </c>
    </row>
    <row r="9" spans="1:36">
      <c r="A9" s="68" t="s">
        <v>136</v>
      </c>
      <c r="B9" s="69">
        <f>C9+D9+E9+F9</f>
        <v>6419041.3099999996</v>
      </c>
      <c r="C9" s="69">
        <v>15203.06</v>
      </c>
      <c r="D9" s="69">
        <f>4289376.54+200821.81+938565.28</f>
        <v>5428763.6299999999</v>
      </c>
      <c r="E9" s="69">
        <f>814435.87</f>
        <v>814435.87</v>
      </c>
      <c r="F9" s="69">
        <f>160638.75</f>
        <v>160638.75</v>
      </c>
      <c r="G9" s="69">
        <f>880465.75</f>
        <v>880465.75</v>
      </c>
      <c r="H9" s="69">
        <f>192015.43</f>
        <v>192015.43</v>
      </c>
      <c r="I9" s="69">
        <f>48517.38</f>
        <v>48517.38</v>
      </c>
      <c r="J9" s="69">
        <f>1043881.17</f>
        <v>1043881.17</v>
      </c>
      <c r="K9" s="69">
        <f>1104967.99</f>
        <v>1104967.99</v>
      </c>
      <c r="L9" s="69">
        <f>363947.84</f>
        <v>363947.84</v>
      </c>
      <c r="M9" s="69">
        <f t="shared" ref="M9:M22" si="0">J9+K9+L9</f>
        <v>2512797</v>
      </c>
      <c r="N9" s="69">
        <f>167448</f>
        <v>167448</v>
      </c>
      <c r="O9" s="69">
        <f>5880</f>
        <v>5880</v>
      </c>
      <c r="P9" s="69">
        <f t="shared" ref="P9:P22" si="1">N9+O9</f>
        <v>173328</v>
      </c>
      <c r="Q9" s="69">
        <f>1187.35</f>
        <v>1187.3499999999999</v>
      </c>
      <c r="R9" s="69">
        <f>0</f>
        <v>0</v>
      </c>
      <c r="S9" s="69">
        <f>5807.67</f>
        <v>5807.67</v>
      </c>
      <c r="T9" s="69">
        <f>0</f>
        <v>0</v>
      </c>
      <c r="U9" s="69">
        <f>5450.57</f>
        <v>5450.57</v>
      </c>
      <c r="V9" s="69">
        <f>19737.34</f>
        <v>19737.34</v>
      </c>
      <c r="W9" s="69">
        <f>132372.51</f>
        <v>132372.51</v>
      </c>
      <c r="X9" s="69">
        <v>0</v>
      </c>
      <c r="Y9" s="69">
        <f>U9+T9+S9+R9+Q9+V9+W9+X9</f>
        <v>164555.44</v>
      </c>
      <c r="Z9" s="70">
        <f>G9+H9+I9+M9+P9+Y9</f>
        <v>3971678.9999999995</v>
      </c>
      <c r="AA9" s="69">
        <f t="shared" ref="AA9:AA22" si="2">Z9+F9+E9+D9</f>
        <v>10375517.25</v>
      </c>
      <c r="AB9" s="57"/>
    </row>
    <row r="10" spans="1:36">
      <c r="A10" s="68" t="s">
        <v>137</v>
      </c>
      <c r="B10" s="69">
        <f>C10+D10+E10+F10</f>
        <v>7047735.9699999997</v>
      </c>
      <c r="C10" s="69">
        <v>13555.65</v>
      </c>
      <c r="D10" s="69">
        <f>4833980.5+219534.85+883758.44</f>
        <v>5937273.7899999991</v>
      </c>
      <c r="E10" s="69">
        <f>921272.79</f>
        <v>921272.79</v>
      </c>
      <c r="F10" s="69">
        <f>175633.74</f>
        <v>175633.74</v>
      </c>
      <c r="G10" s="69">
        <f>902216.85</f>
        <v>902216.85</v>
      </c>
      <c r="H10" s="69">
        <f>238758.51</f>
        <v>238758.51</v>
      </c>
      <c r="I10" s="69">
        <f>76685.43</f>
        <v>76685.429999999993</v>
      </c>
      <c r="J10" s="69">
        <f>1193446.17</f>
        <v>1193446.17</v>
      </c>
      <c r="K10" s="69">
        <f>1217223.65</f>
        <v>1217223.6499999999</v>
      </c>
      <c r="L10" s="69">
        <f>378143.99</f>
        <v>378143.99</v>
      </c>
      <c r="M10" s="69">
        <f t="shared" si="0"/>
        <v>2788813.8099999996</v>
      </c>
      <c r="N10" s="69">
        <f>179628</f>
        <v>179628</v>
      </c>
      <c r="O10" s="69">
        <f>5040</f>
        <v>5040</v>
      </c>
      <c r="P10" s="69">
        <f t="shared" si="1"/>
        <v>184668</v>
      </c>
      <c r="Q10" s="69">
        <f>1187.35</f>
        <v>1187.3499999999999</v>
      </c>
      <c r="R10" s="69">
        <f>0</f>
        <v>0</v>
      </c>
      <c r="S10" s="69">
        <f>90312.19</f>
        <v>90312.19</v>
      </c>
      <c r="T10" s="69">
        <f>2058.18</f>
        <v>2058.1799999999998</v>
      </c>
      <c r="U10" s="71">
        <f>5450.57</f>
        <v>5450.57</v>
      </c>
      <c r="V10" s="71">
        <f>19737.34</f>
        <v>19737.34</v>
      </c>
      <c r="W10" s="71">
        <f>132372.51</f>
        <v>132372.51</v>
      </c>
      <c r="X10" s="71">
        <v>0</v>
      </c>
      <c r="Y10" s="69">
        <f>U10+T10+S10+R10+Q10+V10+W10+X10</f>
        <v>251118.14</v>
      </c>
      <c r="Z10" s="70">
        <f>G10+H10+I10+M10+P10+Y10</f>
        <v>4442260.7399999993</v>
      </c>
      <c r="AA10" s="69">
        <f t="shared" si="2"/>
        <v>11476441.059999999</v>
      </c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9" customFormat="1" ht="9">
      <c r="A11" s="72" t="s">
        <v>138</v>
      </c>
      <c r="B11" s="70">
        <f>SUM(B8:B10)</f>
        <v>20042108.010000002</v>
      </c>
      <c r="C11" s="70">
        <f>SUM(C8:C10)</f>
        <v>42600</v>
      </c>
      <c r="D11" s="70">
        <f t="shared" ref="D11:AA11" si="3">SUM(D8:D10)</f>
        <v>16996781.609999999</v>
      </c>
      <c r="E11" s="70">
        <f t="shared" si="3"/>
        <v>2504451.7800000003</v>
      </c>
      <c r="F11" s="70">
        <f t="shared" si="3"/>
        <v>498274.62</v>
      </c>
      <c r="G11" s="70">
        <f t="shared" si="3"/>
        <v>2414839.2400000002</v>
      </c>
      <c r="H11" s="70">
        <f t="shared" si="3"/>
        <v>804009.97</v>
      </c>
      <c r="I11" s="70">
        <f t="shared" si="3"/>
        <v>180629.13</v>
      </c>
      <c r="J11" s="70">
        <f t="shared" si="3"/>
        <v>3233973.1</v>
      </c>
      <c r="K11" s="70">
        <f t="shared" si="3"/>
        <v>3396540.09</v>
      </c>
      <c r="L11" s="70">
        <f t="shared" si="3"/>
        <v>1132457.58</v>
      </c>
      <c r="M11" s="70">
        <f t="shared" si="3"/>
        <v>7762970.7699999996</v>
      </c>
      <c r="N11" s="70">
        <f t="shared" si="3"/>
        <v>518484</v>
      </c>
      <c r="O11" s="70">
        <f t="shared" si="3"/>
        <v>15960</v>
      </c>
      <c r="P11" s="70">
        <f t="shared" si="3"/>
        <v>534444</v>
      </c>
      <c r="Q11" s="70">
        <f t="shared" si="3"/>
        <v>3157.27</v>
      </c>
      <c r="R11" s="70">
        <f t="shared" si="3"/>
        <v>8565.15</v>
      </c>
      <c r="S11" s="70">
        <f t="shared" si="3"/>
        <v>102032.92</v>
      </c>
      <c r="T11" s="70">
        <f t="shared" si="3"/>
        <v>2058.1799999999998</v>
      </c>
      <c r="U11" s="70">
        <f t="shared" si="3"/>
        <v>16351.71</v>
      </c>
      <c r="V11" s="70">
        <f t="shared" si="3"/>
        <v>59212.020000000004</v>
      </c>
      <c r="W11" s="70">
        <f t="shared" si="3"/>
        <v>397117.53</v>
      </c>
      <c r="X11" s="70">
        <f t="shared" si="3"/>
        <v>0</v>
      </c>
      <c r="Y11" s="70">
        <f t="shared" si="3"/>
        <v>588494.78</v>
      </c>
      <c r="Z11" s="70">
        <f t="shared" si="3"/>
        <v>12285387.890000001</v>
      </c>
      <c r="AA11" s="70">
        <f t="shared" si="3"/>
        <v>32298737.190000001</v>
      </c>
    </row>
    <row r="12" spans="1:36">
      <c r="A12" s="68" t="s">
        <v>139</v>
      </c>
      <c r="B12" s="69">
        <f>C12+D12+E12+F12</f>
        <v>6094002.7799999993</v>
      </c>
      <c r="C12" s="69">
        <v>18136.64</v>
      </c>
      <c r="D12" s="69">
        <f>4106111.05+198859.4+763030.23</f>
        <v>5068000.68</v>
      </c>
      <c r="E12" s="69">
        <f>848775.44</f>
        <v>848775.44</v>
      </c>
      <c r="F12" s="69">
        <f>159090.02</f>
        <v>159090.01999999999</v>
      </c>
      <c r="G12" s="69">
        <f>819252.01</f>
        <v>819252.01</v>
      </c>
      <c r="H12" s="69">
        <f>194648.82</f>
        <v>194648.82</v>
      </c>
      <c r="I12" s="69">
        <f>52642.39</f>
        <v>52642.39</v>
      </c>
      <c r="J12" s="69">
        <f>985572.73</f>
        <v>985572.73</v>
      </c>
      <c r="K12" s="69">
        <f>1010250.83</f>
        <v>1010250.83</v>
      </c>
      <c r="L12" s="69">
        <f>344688.14</f>
        <v>344688.14</v>
      </c>
      <c r="M12" s="69">
        <f t="shared" si="0"/>
        <v>2340511.7000000002</v>
      </c>
      <c r="N12" s="69">
        <f>156961.2</f>
        <v>156961.20000000001</v>
      </c>
      <c r="O12" s="69">
        <f>3720</f>
        <v>3720</v>
      </c>
      <c r="P12" s="69">
        <f t="shared" si="1"/>
        <v>160681.20000000001</v>
      </c>
      <c r="Q12" s="69">
        <f>1592.13</f>
        <v>1592.13</v>
      </c>
      <c r="R12" s="69">
        <f>0</f>
        <v>0</v>
      </c>
      <c r="S12" s="69">
        <f>90252.38</f>
        <v>90252.38</v>
      </c>
      <c r="T12" s="69">
        <f>4116.36</f>
        <v>4116.3599999999997</v>
      </c>
      <c r="U12" s="69">
        <f>5450.57</f>
        <v>5450.57</v>
      </c>
      <c r="V12" s="69">
        <f>19737.34</f>
        <v>19737.34</v>
      </c>
      <c r="W12" s="69">
        <f>132372.51</f>
        <v>132372.51</v>
      </c>
      <c r="X12" s="69">
        <v>0</v>
      </c>
      <c r="Y12" s="69">
        <f t="shared" ref="Y12:Y22" si="4">U12+T12+S12+R12+Q12+V12+W12+X12</f>
        <v>253521.29</v>
      </c>
      <c r="Z12" s="70">
        <f>G12+H12+I12+M12+P12+Y12</f>
        <v>3821257.41</v>
      </c>
      <c r="AA12" s="69">
        <f t="shared" si="2"/>
        <v>9897123.5500000007</v>
      </c>
    </row>
    <row r="13" spans="1:36">
      <c r="A13" s="68" t="s">
        <v>140</v>
      </c>
      <c r="B13" s="69">
        <f>C13+D13+E13+F13</f>
        <v>7031936.3399999999</v>
      </c>
      <c r="C13" s="69">
        <v>13908.69</v>
      </c>
      <c r="D13" s="69">
        <f>937384.52+218926.58+4672137.24</f>
        <v>5828448.3399999999</v>
      </c>
      <c r="E13" s="69">
        <v>1014461.98</v>
      </c>
      <c r="F13" s="69">
        <v>175117.33</v>
      </c>
      <c r="G13" s="69">
        <v>1108725.24</v>
      </c>
      <c r="H13" s="69">
        <v>141128.44</v>
      </c>
      <c r="I13" s="69">
        <v>51458.75</v>
      </c>
      <c r="J13" s="69">
        <v>1202710.6100000001</v>
      </c>
      <c r="K13" s="69">
        <v>1226007.69</v>
      </c>
      <c r="L13" s="69">
        <v>435248.66</v>
      </c>
      <c r="M13" s="69">
        <f t="shared" si="0"/>
        <v>2863966.96</v>
      </c>
      <c r="N13" s="69">
        <v>185388</v>
      </c>
      <c r="O13" s="69">
        <v>7200</v>
      </c>
      <c r="P13" s="69">
        <f t="shared" si="1"/>
        <v>192588</v>
      </c>
      <c r="Q13" s="69">
        <v>1996.91</v>
      </c>
      <c r="R13" s="69">
        <v>5710.1</v>
      </c>
      <c r="S13" s="69">
        <v>89910.84</v>
      </c>
      <c r="T13" s="69">
        <v>0</v>
      </c>
      <c r="U13" s="69">
        <v>5450.57</v>
      </c>
      <c r="V13" s="69">
        <v>19737.34</v>
      </c>
      <c r="W13" s="69">
        <v>132372.51</v>
      </c>
      <c r="X13" s="69">
        <v>0</v>
      </c>
      <c r="Y13" s="69">
        <f t="shared" si="4"/>
        <v>255178.27000000002</v>
      </c>
      <c r="Z13" s="70">
        <f>G13+H13+I13+M13+P13+Y13</f>
        <v>4613045.66</v>
      </c>
      <c r="AA13" s="69">
        <f t="shared" si="2"/>
        <v>11631073.310000001</v>
      </c>
      <c r="AB13" s="57"/>
    </row>
    <row r="14" spans="1:36">
      <c r="A14" s="68" t="s">
        <v>141</v>
      </c>
      <c r="B14" s="69">
        <f>C14+D14+E14+F14</f>
        <v>6579730.9299999997</v>
      </c>
      <c r="C14" s="69">
        <v>16861</v>
      </c>
      <c r="D14" s="69">
        <f>4318932.47+207415.47+901299.5</f>
        <v>5427647.4399999995</v>
      </c>
      <c r="E14" s="69">
        <v>969319.05</v>
      </c>
      <c r="F14" s="69">
        <v>165903.44</v>
      </c>
      <c r="G14" s="69">
        <v>949502.12</v>
      </c>
      <c r="H14" s="69">
        <v>204655.78</v>
      </c>
      <c r="I14" s="69">
        <v>78494.84</v>
      </c>
      <c r="J14" s="69">
        <v>1228516.28</v>
      </c>
      <c r="K14" s="69">
        <v>1225209.29</v>
      </c>
      <c r="L14" s="69">
        <v>363442.75</v>
      </c>
      <c r="M14" s="69">
        <f t="shared" si="0"/>
        <v>2817168.3200000003</v>
      </c>
      <c r="N14" s="69">
        <v>176964</v>
      </c>
      <c r="O14" s="69">
        <v>5040</v>
      </c>
      <c r="P14" s="69">
        <f t="shared" si="1"/>
        <v>182004</v>
      </c>
      <c r="Q14" s="69">
        <v>2806.47</v>
      </c>
      <c r="R14" s="69">
        <v>0</v>
      </c>
      <c r="S14" s="69">
        <v>171650.72</v>
      </c>
      <c r="T14" s="69">
        <v>0</v>
      </c>
      <c r="U14" s="69">
        <v>5450.57</v>
      </c>
      <c r="V14" s="69">
        <v>19737.34</v>
      </c>
      <c r="W14" s="69">
        <v>132372.51</v>
      </c>
      <c r="X14" s="69">
        <v>6796.2</v>
      </c>
      <c r="Y14" s="69">
        <f t="shared" si="4"/>
        <v>338813.81</v>
      </c>
      <c r="Z14" s="70">
        <f>G14+H14+I14+M14+P14+Y14</f>
        <v>4570638.87</v>
      </c>
      <c r="AA14" s="69">
        <f t="shared" si="2"/>
        <v>11133508.800000001</v>
      </c>
    </row>
    <row r="15" spans="1:36" s="59" customFormat="1" ht="9">
      <c r="A15" s="72" t="s">
        <v>142</v>
      </c>
      <c r="B15" s="70">
        <f>SUM(B12:B14)</f>
        <v>19705670.049999997</v>
      </c>
      <c r="C15" s="70">
        <f t="shared" ref="C15:AA15" si="5">SUM(C12:C14)</f>
        <v>48906.33</v>
      </c>
      <c r="D15" s="70">
        <f t="shared" si="5"/>
        <v>16324096.459999999</v>
      </c>
      <c r="E15" s="70">
        <f t="shared" si="5"/>
        <v>2832556.4699999997</v>
      </c>
      <c r="F15" s="70">
        <f t="shared" si="5"/>
        <v>500110.79</v>
      </c>
      <c r="G15" s="70">
        <f t="shared" si="5"/>
        <v>2877479.37</v>
      </c>
      <c r="H15" s="70">
        <f t="shared" si="5"/>
        <v>540433.04</v>
      </c>
      <c r="I15" s="70">
        <f t="shared" si="5"/>
        <v>182595.97999999998</v>
      </c>
      <c r="J15" s="70">
        <f t="shared" si="5"/>
        <v>3416799.62</v>
      </c>
      <c r="K15" s="70">
        <f t="shared" si="5"/>
        <v>3461467.81</v>
      </c>
      <c r="L15" s="70">
        <f t="shared" si="5"/>
        <v>1143379.55</v>
      </c>
      <c r="M15" s="70">
        <f t="shared" si="5"/>
        <v>8021646.9800000004</v>
      </c>
      <c r="N15" s="70">
        <f t="shared" si="5"/>
        <v>519313.2</v>
      </c>
      <c r="O15" s="70">
        <f t="shared" si="5"/>
        <v>15960</v>
      </c>
      <c r="P15" s="70">
        <f t="shared" si="5"/>
        <v>535273.19999999995</v>
      </c>
      <c r="Q15" s="70">
        <f t="shared" si="5"/>
        <v>6395.51</v>
      </c>
      <c r="R15" s="70">
        <f t="shared" si="5"/>
        <v>5710.1</v>
      </c>
      <c r="S15" s="70">
        <f t="shared" si="5"/>
        <v>351813.94</v>
      </c>
      <c r="T15" s="70">
        <f t="shared" si="5"/>
        <v>4116.3599999999997</v>
      </c>
      <c r="U15" s="70">
        <f t="shared" si="5"/>
        <v>16351.71</v>
      </c>
      <c r="V15" s="70">
        <f t="shared" si="5"/>
        <v>59212.020000000004</v>
      </c>
      <c r="W15" s="70">
        <f t="shared" si="5"/>
        <v>397117.53</v>
      </c>
      <c r="X15" s="70">
        <f t="shared" si="5"/>
        <v>6796.2</v>
      </c>
      <c r="Y15" s="70">
        <f t="shared" si="5"/>
        <v>847513.37000000011</v>
      </c>
      <c r="Z15" s="70">
        <f t="shared" si="5"/>
        <v>13004941.940000001</v>
      </c>
      <c r="AA15" s="70">
        <f t="shared" si="5"/>
        <v>32661705.66</v>
      </c>
      <c r="AC15" s="59" t="s">
        <v>143</v>
      </c>
    </row>
    <row r="16" spans="1:36">
      <c r="A16" s="68" t="s">
        <v>144</v>
      </c>
      <c r="B16" s="69">
        <f>C16+D16+E16+F16</f>
        <v>6804264.1799999997</v>
      </c>
      <c r="C16" s="69">
        <v>14249.81</v>
      </c>
      <c r="D16" s="69">
        <f>882815.56+212895.44+4480301.28</f>
        <v>5576012.2800000003</v>
      </c>
      <c r="E16" s="69">
        <v>1043703.41</v>
      </c>
      <c r="F16" s="69">
        <v>170298.68</v>
      </c>
      <c r="G16" s="69">
        <v>1033769.3</v>
      </c>
      <c r="H16" s="69">
        <v>169667.27</v>
      </c>
      <c r="I16" s="69">
        <v>45177.54</v>
      </c>
      <c r="J16" s="69">
        <v>1061140.8500000001</v>
      </c>
      <c r="K16" s="69">
        <v>1004287.01</v>
      </c>
      <c r="L16" s="69">
        <v>324363.36</v>
      </c>
      <c r="M16" s="69">
        <f t="shared" si="0"/>
        <v>2389791.2200000002</v>
      </c>
      <c r="N16" s="69">
        <v>151801.20000000001</v>
      </c>
      <c r="O16" s="69">
        <v>2640</v>
      </c>
      <c r="P16" s="69">
        <f t="shared" si="1"/>
        <v>154441.20000000001</v>
      </c>
      <c r="Q16" s="69">
        <v>2779.48</v>
      </c>
      <c r="R16" s="69">
        <v>0</v>
      </c>
      <c r="S16" s="69">
        <v>92978.240000000005</v>
      </c>
      <c r="T16" s="69">
        <v>0</v>
      </c>
      <c r="U16" s="69">
        <v>5450.57</v>
      </c>
      <c r="V16" s="69">
        <v>19737.34</v>
      </c>
      <c r="W16" s="69">
        <v>132372.51</v>
      </c>
      <c r="X16" s="69">
        <v>6796.2</v>
      </c>
      <c r="Y16" s="69">
        <f t="shared" si="4"/>
        <v>260114.34000000003</v>
      </c>
      <c r="Z16" s="70">
        <f>G16+H16+I16+M16+P16+Y16</f>
        <v>4052960.87</v>
      </c>
      <c r="AA16" s="69">
        <f t="shared" si="2"/>
        <v>10842975.24</v>
      </c>
    </row>
    <row r="17" spans="1:33">
      <c r="A17" s="68" t="s">
        <v>145</v>
      </c>
      <c r="B17" s="69">
        <f>C17+D17+E17+F17</f>
        <v>7009805.9900000012</v>
      </c>
      <c r="C17" s="69">
        <v>16244.9</v>
      </c>
      <c r="D17" s="69">
        <f>4698564.26+232054.69+789685.29</f>
        <v>5720304.2400000002</v>
      </c>
      <c r="E17" s="69">
        <v>1087609.49</v>
      </c>
      <c r="F17" s="69">
        <v>185647.35999999999</v>
      </c>
      <c r="G17" s="69">
        <v>666314.06999999995</v>
      </c>
      <c r="H17" s="69">
        <v>222717.06</v>
      </c>
      <c r="I17" s="69">
        <v>48669.91</v>
      </c>
      <c r="J17" s="69">
        <v>1160646.8700000001</v>
      </c>
      <c r="K17" s="69">
        <v>1154395.6299999999</v>
      </c>
      <c r="L17" s="69">
        <v>427343.53</v>
      </c>
      <c r="M17" s="69">
        <f t="shared" si="0"/>
        <v>2742386.0300000003</v>
      </c>
      <c r="N17" s="69">
        <v>179113.2</v>
      </c>
      <c r="O17" s="69">
        <v>4560</v>
      </c>
      <c r="P17" s="69">
        <f t="shared" si="1"/>
        <v>183673.2</v>
      </c>
      <c r="Q17" s="69">
        <v>3106.92</v>
      </c>
      <c r="R17" s="69">
        <v>2818.15</v>
      </c>
      <c r="S17" s="69">
        <v>91276.12</v>
      </c>
      <c r="T17" s="69">
        <v>0</v>
      </c>
      <c r="U17" s="69">
        <v>5524.12</v>
      </c>
      <c r="V17" s="69">
        <v>20006.25</v>
      </c>
      <c r="W17" s="69">
        <v>121117.74</v>
      </c>
      <c r="X17" s="69">
        <v>0</v>
      </c>
      <c r="Y17" s="69">
        <f t="shared" si="4"/>
        <v>243849.3</v>
      </c>
      <c r="Z17" s="70">
        <f>G17+H17+I17+M17+P17+Y17</f>
        <v>4107609.5700000003</v>
      </c>
      <c r="AA17" s="69">
        <f t="shared" si="2"/>
        <v>11101170.66</v>
      </c>
    </row>
    <row r="18" spans="1:33">
      <c r="A18" s="68" t="s">
        <v>146</v>
      </c>
      <c r="B18" s="69">
        <f>C18+D18+E18+F18</f>
        <v>7393141.7700000005</v>
      </c>
      <c r="C18" s="69">
        <v>17002.07</v>
      </c>
      <c r="D18" s="69">
        <f>5076626.79+228271.12+847050.15</f>
        <v>6151948.0600000005</v>
      </c>
      <c r="E18" s="69">
        <v>1041575.04</v>
      </c>
      <c r="F18" s="69">
        <v>182616.6</v>
      </c>
      <c r="G18" s="69">
        <v>799461.13</v>
      </c>
      <c r="H18" s="69">
        <v>169417.28</v>
      </c>
      <c r="I18" s="69">
        <v>65260.63</v>
      </c>
      <c r="J18" s="69">
        <v>1215493.23</v>
      </c>
      <c r="K18" s="69">
        <v>1190695.74</v>
      </c>
      <c r="L18" s="69">
        <v>351161.71</v>
      </c>
      <c r="M18" s="69">
        <f t="shared" si="0"/>
        <v>2757350.6799999997</v>
      </c>
      <c r="N18" s="69">
        <v>175954.8</v>
      </c>
      <c r="O18" s="69">
        <v>7560</v>
      </c>
      <c r="P18" s="69">
        <f t="shared" si="1"/>
        <v>183514.8</v>
      </c>
      <c r="Q18" s="69">
        <v>4695.6899999999996</v>
      </c>
      <c r="R18" s="69">
        <v>0</v>
      </c>
      <c r="S18" s="69">
        <v>91320</v>
      </c>
      <c r="T18" s="69">
        <v>0</v>
      </c>
      <c r="U18" s="69">
        <v>0</v>
      </c>
      <c r="V18" s="69">
        <v>20006.25</v>
      </c>
      <c r="W18" s="69">
        <v>121117.74</v>
      </c>
      <c r="X18" s="69">
        <v>0</v>
      </c>
      <c r="Y18" s="69">
        <f t="shared" si="4"/>
        <v>237139.68</v>
      </c>
      <c r="Z18" s="70">
        <f>G18+H18+I18+M18+P18+Y18</f>
        <v>4212144.1999999993</v>
      </c>
      <c r="AA18" s="69">
        <f t="shared" si="2"/>
        <v>11588283.899999999</v>
      </c>
    </row>
    <row r="19" spans="1:33" s="59" customFormat="1" ht="9">
      <c r="A19" s="72" t="s">
        <v>147</v>
      </c>
      <c r="B19" s="70">
        <f>SUM(B16:B18)</f>
        <v>21207211.940000001</v>
      </c>
      <c r="C19" s="70">
        <f t="shared" ref="C19:AA19" si="6">SUM(C16:C18)</f>
        <v>47496.78</v>
      </c>
      <c r="D19" s="70">
        <f t="shared" si="6"/>
        <v>17448264.579999998</v>
      </c>
      <c r="E19" s="70">
        <f t="shared" si="6"/>
        <v>3172887.94</v>
      </c>
      <c r="F19" s="70">
        <f t="shared" si="6"/>
        <v>538562.64</v>
      </c>
      <c r="G19" s="70">
        <f t="shared" si="6"/>
        <v>2499544.5</v>
      </c>
      <c r="H19" s="70">
        <f t="shared" si="6"/>
        <v>561801.61</v>
      </c>
      <c r="I19" s="70">
        <f t="shared" si="6"/>
        <v>159108.08000000002</v>
      </c>
      <c r="J19" s="70">
        <f t="shared" si="6"/>
        <v>3437280.95</v>
      </c>
      <c r="K19" s="70">
        <f t="shared" si="6"/>
        <v>3349378.38</v>
      </c>
      <c r="L19" s="70">
        <f t="shared" si="6"/>
        <v>1102868.6000000001</v>
      </c>
      <c r="M19" s="70">
        <f t="shared" si="6"/>
        <v>7889527.9299999997</v>
      </c>
      <c r="N19" s="70">
        <f t="shared" si="6"/>
        <v>506869.2</v>
      </c>
      <c r="O19" s="70">
        <f t="shared" si="6"/>
        <v>14760</v>
      </c>
      <c r="P19" s="70">
        <f t="shared" si="6"/>
        <v>521629.2</v>
      </c>
      <c r="Q19" s="70">
        <f t="shared" si="6"/>
        <v>10582.09</v>
      </c>
      <c r="R19" s="70">
        <f t="shared" si="6"/>
        <v>2818.15</v>
      </c>
      <c r="S19" s="70">
        <f t="shared" si="6"/>
        <v>275574.36</v>
      </c>
      <c r="T19" s="70">
        <f t="shared" si="6"/>
        <v>0</v>
      </c>
      <c r="U19" s="70">
        <f t="shared" si="6"/>
        <v>10974.689999999999</v>
      </c>
      <c r="V19" s="70">
        <f t="shared" si="6"/>
        <v>59749.84</v>
      </c>
      <c r="W19" s="70">
        <f t="shared" si="6"/>
        <v>374607.99</v>
      </c>
      <c r="X19" s="70">
        <f t="shared" si="6"/>
        <v>6796.2</v>
      </c>
      <c r="Y19" s="70">
        <f t="shared" si="6"/>
        <v>741103.32000000007</v>
      </c>
      <c r="Z19" s="70">
        <f t="shared" si="6"/>
        <v>12372714.640000001</v>
      </c>
      <c r="AA19" s="70">
        <f t="shared" si="6"/>
        <v>33532429.799999997</v>
      </c>
    </row>
    <row r="20" spans="1:33">
      <c r="A20" s="68" t="s">
        <v>148</v>
      </c>
      <c r="B20" s="69">
        <f>C20+D20+E20+F20</f>
        <v>9269899.1400000006</v>
      </c>
      <c r="C20" s="69">
        <v>13759.48</v>
      </c>
      <c r="D20" s="69">
        <f>5500577.38+241046.14+870280.48+10798.8+1264126.3</f>
        <v>7886829.0999999996</v>
      </c>
      <c r="E20" s="69">
        <v>1176470.6499999999</v>
      </c>
      <c r="F20" s="69">
        <v>192839.91</v>
      </c>
      <c r="G20" s="69">
        <v>968204</v>
      </c>
      <c r="H20" s="69">
        <v>340536.43</v>
      </c>
      <c r="I20" s="69">
        <v>52961.59</v>
      </c>
      <c r="J20" s="69">
        <v>1191167.8</v>
      </c>
      <c r="K20" s="69">
        <v>1065503.55</v>
      </c>
      <c r="L20" s="69">
        <v>350168</v>
      </c>
      <c r="M20" s="69">
        <f t="shared" si="0"/>
        <v>2606839.35</v>
      </c>
      <c r="N20" s="69">
        <v>163477.20000000001</v>
      </c>
      <c r="O20" s="69">
        <v>3840</v>
      </c>
      <c r="P20" s="69">
        <f t="shared" si="1"/>
        <v>167317.20000000001</v>
      </c>
      <c r="Q20" s="69">
        <v>4201.3999999999996</v>
      </c>
      <c r="R20" s="69">
        <v>8454.4500000000007</v>
      </c>
      <c r="S20" s="69">
        <v>88971.9</v>
      </c>
      <c r="T20" s="69">
        <v>0</v>
      </c>
      <c r="U20" s="69">
        <v>20083.939999999999</v>
      </c>
      <c r="V20" s="69">
        <v>20006.25</v>
      </c>
      <c r="W20" s="69">
        <v>121117.74</v>
      </c>
      <c r="X20" s="69">
        <v>10229.73</v>
      </c>
      <c r="Y20" s="69">
        <f t="shared" si="4"/>
        <v>273065.40999999997</v>
      </c>
      <c r="Z20" s="70">
        <f>G20+H20+I20+M20+P20+Y20</f>
        <v>4408923.9800000004</v>
      </c>
      <c r="AA20" s="69">
        <f t="shared" si="2"/>
        <v>13665063.640000001</v>
      </c>
    </row>
    <row r="21" spans="1:33">
      <c r="A21" s="68" t="s">
        <v>149</v>
      </c>
      <c r="B21" s="69">
        <f>C21+D21+E21+F21</f>
        <v>8308422.4100000001</v>
      </c>
      <c r="C21" s="69">
        <v>14868.05</v>
      </c>
      <c r="D21" s="69">
        <f>5384618.54+247867.69+812503.79+4470.56+507145.88</f>
        <v>6956606.46</v>
      </c>
      <c r="E21" s="69">
        <v>1138650.4099999999</v>
      </c>
      <c r="F21" s="69">
        <v>198297.49</v>
      </c>
      <c r="G21" s="69">
        <v>995236.83</v>
      </c>
      <c r="H21" s="69">
        <v>375444.18</v>
      </c>
      <c r="I21" s="69">
        <v>57039.25</v>
      </c>
      <c r="J21" s="69">
        <v>1210402.26</v>
      </c>
      <c r="K21" s="69">
        <v>1118077.97</v>
      </c>
      <c r="L21" s="69">
        <v>388550.39</v>
      </c>
      <c r="M21" s="69">
        <f t="shared" si="0"/>
        <v>2717030.62</v>
      </c>
      <c r="N21" s="69">
        <v>168900</v>
      </c>
      <c r="O21" s="69">
        <v>3480</v>
      </c>
      <c r="P21" s="69">
        <f t="shared" si="1"/>
        <v>172380</v>
      </c>
      <c r="Q21" s="69">
        <v>5790.16</v>
      </c>
      <c r="R21" s="69">
        <v>0</v>
      </c>
      <c r="S21" s="69">
        <v>88695.96</v>
      </c>
      <c r="T21" s="69">
        <v>0</v>
      </c>
      <c r="U21" s="69">
        <v>10041.969999999999</v>
      </c>
      <c r="V21" s="69">
        <v>20006.25</v>
      </c>
      <c r="W21" s="69">
        <v>0</v>
      </c>
      <c r="X21" s="69">
        <v>3433.53</v>
      </c>
      <c r="Y21" s="69">
        <f t="shared" si="4"/>
        <v>127967.87000000001</v>
      </c>
      <c r="Z21" s="70">
        <f>G21+H21+I21+M21+P21+Y21</f>
        <v>4445098.75</v>
      </c>
      <c r="AA21" s="69">
        <f t="shared" si="2"/>
        <v>12738653.109999999</v>
      </c>
    </row>
    <row r="22" spans="1:33">
      <c r="A22" s="68" t="s">
        <v>150</v>
      </c>
      <c r="B22" s="69">
        <f>C22+D22+E22+F22</f>
        <v>7833775.1200000001</v>
      </c>
      <c r="C22" s="69">
        <v>18371.43</v>
      </c>
      <c r="D22" s="69">
        <f>7815403.69-E22-F22</f>
        <v>6434457.7400000002</v>
      </c>
      <c r="E22" s="69">
        <v>1195976.04</v>
      </c>
      <c r="F22" s="69">
        <v>184969.91</v>
      </c>
      <c r="G22" s="69">
        <v>854416.29</v>
      </c>
      <c r="H22" s="69">
        <v>264709.61</v>
      </c>
      <c r="I22" s="69">
        <v>59358.69</v>
      </c>
      <c r="J22" s="69">
        <v>1203416</v>
      </c>
      <c r="K22" s="69">
        <v>1167880.47</v>
      </c>
      <c r="L22" s="69">
        <v>333266.81</v>
      </c>
      <c r="M22" s="69">
        <f t="shared" si="0"/>
        <v>2704563.28</v>
      </c>
      <c r="N22" s="69">
        <v>171876</v>
      </c>
      <c r="O22" s="69">
        <v>5640</v>
      </c>
      <c r="P22" s="69">
        <f t="shared" si="1"/>
        <v>177516</v>
      </c>
      <c r="Q22" s="69">
        <v>3142.22</v>
      </c>
      <c r="R22" s="69">
        <v>0</v>
      </c>
      <c r="S22" s="69">
        <v>91413.83</v>
      </c>
      <c r="T22" s="69">
        <v>0</v>
      </c>
      <c r="U22" s="69">
        <v>10041.969999999999</v>
      </c>
      <c r="V22" s="69">
        <v>20006.25</v>
      </c>
      <c r="W22" s="69">
        <v>121117.74</v>
      </c>
      <c r="X22" s="69">
        <v>0</v>
      </c>
      <c r="Y22" s="69">
        <f t="shared" si="4"/>
        <v>245722.01</v>
      </c>
      <c r="Z22" s="70">
        <f>G22+H22+I22+M22+P22+Y22</f>
        <v>4306285.88</v>
      </c>
      <c r="AA22" s="69">
        <f t="shared" si="2"/>
        <v>12121689.57</v>
      </c>
    </row>
    <row r="23" spans="1:33" s="59" customFormat="1" ht="9">
      <c r="A23" s="72" t="s">
        <v>151</v>
      </c>
      <c r="B23" s="70">
        <f>SUM(B20:B22)</f>
        <v>25412096.670000002</v>
      </c>
      <c r="C23" s="70">
        <f t="shared" ref="C23:AA23" si="7">SUM(C20:C22)</f>
        <v>46998.96</v>
      </c>
      <c r="D23" s="70">
        <f t="shared" si="7"/>
        <v>21277893.299999997</v>
      </c>
      <c r="E23" s="70">
        <f t="shared" si="7"/>
        <v>3511097.0999999996</v>
      </c>
      <c r="F23" s="70">
        <f t="shared" si="7"/>
        <v>576107.31000000006</v>
      </c>
      <c r="G23" s="70">
        <f t="shared" si="7"/>
        <v>2817857.12</v>
      </c>
      <c r="H23" s="70">
        <f t="shared" si="7"/>
        <v>980690.22</v>
      </c>
      <c r="I23" s="70">
        <f t="shared" si="7"/>
        <v>169359.53</v>
      </c>
      <c r="J23" s="70">
        <f t="shared" si="7"/>
        <v>3604986.06</v>
      </c>
      <c r="K23" s="70">
        <f t="shared" si="7"/>
        <v>3351461.99</v>
      </c>
      <c r="L23" s="70">
        <f t="shared" si="7"/>
        <v>1071985.2</v>
      </c>
      <c r="M23" s="70">
        <f t="shared" si="7"/>
        <v>8028433.25</v>
      </c>
      <c r="N23" s="70">
        <f t="shared" si="7"/>
        <v>504253.2</v>
      </c>
      <c r="O23" s="70">
        <f t="shared" si="7"/>
        <v>12960</v>
      </c>
      <c r="P23" s="70">
        <f t="shared" si="7"/>
        <v>517213.2</v>
      </c>
      <c r="Q23" s="70">
        <f t="shared" si="7"/>
        <v>13133.779999999999</v>
      </c>
      <c r="R23" s="70">
        <f t="shared" si="7"/>
        <v>8454.4500000000007</v>
      </c>
      <c r="S23" s="70">
        <f t="shared" si="7"/>
        <v>269081.69</v>
      </c>
      <c r="T23" s="70">
        <f t="shared" si="7"/>
        <v>0</v>
      </c>
      <c r="U23" s="70">
        <f t="shared" si="7"/>
        <v>40167.879999999997</v>
      </c>
      <c r="V23" s="70">
        <f t="shared" si="7"/>
        <v>60018.75</v>
      </c>
      <c r="W23" s="70">
        <f t="shared" si="7"/>
        <v>242235.48</v>
      </c>
      <c r="X23" s="70">
        <f t="shared" si="7"/>
        <v>13663.26</v>
      </c>
      <c r="Y23" s="70">
        <f t="shared" si="7"/>
        <v>646755.29</v>
      </c>
      <c r="Z23" s="70">
        <f t="shared" si="7"/>
        <v>13160308.609999999</v>
      </c>
      <c r="AA23" s="70">
        <f t="shared" si="7"/>
        <v>38525406.32</v>
      </c>
    </row>
    <row r="24" spans="1:33" s="77" customFormat="1" ht="33.75">
      <c r="A24" s="75" t="s">
        <v>165</v>
      </c>
      <c r="B24" s="76">
        <f>B11+B15+B19+B23</f>
        <v>86367086.670000002</v>
      </c>
      <c r="C24" s="76">
        <f t="shared" ref="C24:AA24" si="8">C11+C15+C19+C23</f>
        <v>186002.06999999998</v>
      </c>
      <c r="D24" s="76">
        <f t="shared" si="8"/>
        <v>72047035.949999988</v>
      </c>
      <c r="E24" s="76">
        <f t="shared" si="8"/>
        <v>12020993.289999999</v>
      </c>
      <c r="F24" s="76">
        <f t="shared" si="8"/>
        <v>2113055.36</v>
      </c>
      <c r="G24" s="76">
        <f t="shared" si="8"/>
        <v>10609720.23</v>
      </c>
      <c r="H24" s="76">
        <f t="shared" si="8"/>
        <v>2886934.84</v>
      </c>
      <c r="I24" s="76">
        <f t="shared" si="8"/>
        <v>691692.72</v>
      </c>
      <c r="J24" s="76">
        <f t="shared" si="8"/>
        <v>13693039.730000002</v>
      </c>
      <c r="K24" s="76">
        <f t="shared" si="8"/>
        <v>13558848.270000001</v>
      </c>
      <c r="L24" s="76">
        <f t="shared" si="8"/>
        <v>4450690.93</v>
      </c>
      <c r="M24" s="76">
        <f t="shared" si="8"/>
        <v>31702578.93</v>
      </c>
      <c r="N24" s="76">
        <f t="shared" si="8"/>
        <v>2048919.5999999999</v>
      </c>
      <c r="O24" s="76">
        <f t="shared" si="8"/>
        <v>59640</v>
      </c>
      <c r="P24" s="76">
        <f t="shared" si="8"/>
        <v>2108559.6</v>
      </c>
      <c r="Q24" s="76">
        <f t="shared" si="8"/>
        <v>33268.65</v>
      </c>
      <c r="R24" s="76">
        <f t="shared" si="8"/>
        <v>25547.850000000002</v>
      </c>
      <c r="S24" s="76">
        <f t="shared" si="8"/>
        <v>998502.90999999992</v>
      </c>
      <c r="T24" s="76">
        <f t="shared" si="8"/>
        <v>6174.5399999999991</v>
      </c>
      <c r="U24" s="76">
        <f t="shared" si="8"/>
        <v>83845.989999999991</v>
      </c>
      <c r="V24" s="76">
        <f t="shared" si="8"/>
        <v>238192.63</v>
      </c>
      <c r="W24" s="76">
        <f t="shared" si="8"/>
        <v>1411078.53</v>
      </c>
      <c r="X24" s="76">
        <f t="shared" si="8"/>
        <v>27255.66</v>
      </c>
      <c r="Y24" s="76">
        <f t="shared" si="8"/>
        <v>2823866.7600000002</v>
      </c>
      <c r="Z24" s="76">
        <f t="shared" si="8"/>
        <v>50823353.079999998</v>
      </c>
      <c r="AA24" s="76">
        <f t="shared" si="8"/>
        <v>137018278.97</v>
      </c>
    </row>
    <row r="25" spans="1:33" ht="19.5">
      <c r="A25" s="78" t="s">
        <v>152</v>
      </c>
      <c r="B25" s="74">
        <f>B24/12</f>
        <v>7197257.2225000001</v>
      </c>
      <c r="C25" s="74">
        <f t="shared" ref="C25:AA25" si="9">C24/12</f>
        <v>15500.172499999999</v>
      </c>
      <c r="D25" s="74">
        <f t="shared" si="9"/>
        <v>6003919.6624999987</v>
      </c>
      <c r="E25" s="74">
        <f t="shared" si="9"/>
        <v>1001749.4408333333</v>
      </c>
      <c r="F25" s="74">
        <f t="shared" si="9"/>
        <v>176087.94666666666</v>
      </c>
      <c r="G25" s="74">
        <f t="shared" si="9"/>
        <v>884143.35250000004</v>
      </c>
      <c r="H25" s="74">
        <f t="shared" si="9"/>
        <v>240577.90333333332</v>
      </c>
      <c r="I25" s="74">
        <f t="shared" si="9"/>
        <v>57641.06</v>
      </c>
      <c r="J25" s="74">
        <f t="shared" si="9"/>
        <v>1141086.6441666668</v>
      </c>
      <c r="K25" s="74">
        <f t="shared" si="9"/>
        <v>1129904.0225000002</v>
      </c>
      <c r="L25" s="74">
        <f t="shared" si="9"/>
        <v>370890.91083333333</v>
      </c>
      <c r="M25" s="74">
        <f t="shared" si="9"/>
        <v>2641881.5775000001</v>
      </c>
      <c r="N25" s="74">
        <f t="shared" si="9"/>
        <v>170743.3</v>
      </c>
      <c r="O25" s="74">
        <f t="shared" si="9"/>
        <v>4970</v>
      </c>
      <c r="P25" s="74">
        <f t="shared" si="9"/>
        <v>175713.30000000002</v>
      </c>
      <c r="Q25" s="74">
        <f t="shared" si="9"/>
        <v>2772.3875000000003</v>
      </c>
      <c r="R25" s="74">
        <f t="shared" si="9"/>
        <v>2128.9875000000002</v>
      </c>
      <c r="S25" s="74">
        <f t="shared" si="9"/>
        <v>83208.575833333321</v>
      </c>
      <c r="T25" s="74">
        <f t="shared" si="9"/>
        <v>514.54499999999996</v>
      </c>
      <c r="U25" s="74">
        <f t="shared" si="9"/>
        <v>6987.1658333333326</v>
      </c>
      <c r="V25" s="74">
        <f t="shared" si="9"/>
        <v>19849.385833333334</v>
      </c>
      <c r="W25" s="74">
        <f t="shared" si="9"/>
        <v>117589.8775</v>
      </c>
      <c r="X25" s="74">
        <f t="shared" si="9"/>
        <v>2271.3049999999998</v>
      </c>
      <c r="Y25" s="74">
        <f t="shared" si="9"/>
        <v>235322.23</v>
      </c>
      <c r="Z25" s="74">
        <f t="shared" si="9"/>
        <v>4235279.4233333329</v>
      </c>
      <c r="AA25" s="74">
        <f t="shared" si="9"/>
        <v>11418189.914166667</v>
      </c>
    </row>
    <row r="26" spans="1:33">
      <c r="AA26" s="57"/>
      <c r="AB26" s="57"/>
      <c r="AC26" s="57"/>
      <c r="AD26" s="57"/>
      <c r="AE26" s="57"/>
      <c r="AF26" s="57"/>
      <c r="AG26" s="57"/>
    </row>
    <row r="27" spans="1:33">
      <c r="O27" s="57"/>
      <c r="P27" s="57"/>
      <c r="Q27" s="57"/>
      <c r="R27" s="57"/>
      <c r="S27" s="57"/>
      <c r="Z27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>
      <selection activeCell="K90" sqref="K90"/>
    </sheetView>
  </sheetViews>
  <sheetFormatPr defaultRowHeight="11.25"/>
  <cols>
    <col min="1" max="1" width="4.85546875" style="15" customWidth="1"/>
    <col min="2" max="2" width="8.5703125" style="15" customWidth="1"/>
    <col min="3" max="3" width="10.42578125" style="52" customWidth="1"/>
    <col min="4" max="4" width="13.28515625" style="53" customWidth="1"/>
    <col min="5" max="5" width="7.85546875" style="54" customWidth="1"/>
    <col min="6" max="6" width="9.140625" style="55"/>
    <col min="7" max="7" width="11.42578125" style="15" customWidth="1"/>
    <col min="8" max="8" width="9.140625" style="15"/>
    <col min="9" max="9" width="10.28515625" style="15" customWidth="1"/>
    <col min="10" max="23" width="9.140625" style="15"/>
    <col min="24" max="24" width="10.5703125" style="15" customWidth="1"/>
    <col min="25" max="16384" width="9.140625" style="15"/>
  </cols>
  <sheetData>
    <row r="1" spans="1:24" s="2" customFormat="1" ht="12.75">
      <c r="A1" s="1" t="s">
        <v>120</v>
      </c>
      <c r="C1" s="3"/>
      <c r="D1" s="4"/>
      <c r="E1" s="4"/>
      <c r="F1" s="5"/>
      <c r="W1" s="6"/>
      <c r="X1" s="7"/>
    </row>
    <row r="2" spans="1:24" s="8" customFormat="1">
      <c r="C2" s="9"/>
      <c r="D2" s="10"/>
      <c r="E2" s="11"/>
      <c r="F2" s="12"/>
      <c r="U2" s="13"/>
    </row>
    <row r="3" spans="1:24" s="8" customFormat="1">
      <c r="C3" s="9"/>
      <c r="D3" s="79"/>
      <c r="E3" s="79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4" s="8" customFormat="1">
      <c r="C4" s="9"/>
      <c r="D4" s="79"/>
      <c r="E4" s="79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2"/>
      <c r="W4" s="14"/>
    </row>
    <row r="5" spans="1:24" s="8" customFormat="1">
      <c r="C5" s="9"/>
      <c r="D5" s="79"/>
      <c r="E5" s="7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2"/>
    </row>
    <row r="6" spans="1:24">
      <c r="A6" s="80" t="s">
        <v>0</v>
      </c>
      <c r="B6" s="81"/>
      <c r="C6" s="81"/>
      <c r="D6" s="81"/>
      <c r="E6" s="81"/>
      <c r="F6" s="81"/>
    </row>
    <row r="7" spans="1:24" ht="45">
      <c r="A7" s="16" t="s">
        <v>1</v>
      </c>
      <c r="B7" s="16" t="s">
        <v>2</v>
      </c>
      <c r="C7" s="17" t="s">
        <v>3</v>
      </c>
      <c r="D7" s="16" t="s">
        <v>4</v>
      </c>
      <c r="E7" s="18" t="s">
        <v>5</v>
      </c>
      <c r="F7" s="19" t="s">
        <v>6</v>
      </c>
      <c r="G7" s="20" t="s">
        <v>7</v>
      </c>
      <c r="H7" s="20" t="s">
        <v>8</v>
      </c>
      <c r="I7" s="20" t="s">
        <v>9</v>
      </c>
      <c r="J7" s="21" t="s">
        <v>10</v>
      </c>
      <c r="K7" s="21" t="s">
        <v>11</v>
      </c>
      <c r="L7" s="20" t="s">
        <v>12</v>
      </c>
      <c r="M7" s="21" t="s">
        <v>13</v>
      </c>
      <c r="N7" s="21" t="s">
        <v>14</v>
      </c>
      <c r="O7" s="21" t="s">
        <v>15</v>
      </c>
      <c r="P7" s="21" t="s">
        <v>16</v>
      </c>
      <c r="Q7" s="22" t="s">
        <v>17</v>
      </c>
      <c r="R7" s="22" t="s">
        <v>18</v>
      </c>
      <c r="S7" s="22" t="s">
        <v>19</v>
      </c>
      <c r="T7" s="21" t="s">
        <v>20</v>
      </c>
      <c r="U7" s="23" t="s">
        <v>21</v>
      </c>
      <c r="V7" s="24" t="s">
        <v>22</v>
      </c>
      <c r="W7" s="24" t="s">
        <v>23</v>
      </c>
      <c r="X7" s="25" t="s">
        <v>24</v>
      </c>
    </row>
    <row r="8" spans="1:24" ht="22.5">
      <c r="A8" s="25">
        <v>1</v>
      </c>
      <c r="B8" s="25">
        <v>722</v>
      </c>
      <c r="C8" s="26">
        <v>18632620</v>
      </c>
      <c r="D8" s="27" t="s">
        <v>25</v>
      </c>
      <c r="E8" s="28">
        <v>4</v>
      </c>
      <c r="F8" s="29" t="s">
        <v>26</v>
      </c>
      <c r="G8" s="30">
        <f>'[1]trim1_ 2023'!G8+[1]trim2_2023!G8+[1]trim3_2023!G8+[1]trim4_2023!G8</f>
        <v>0</v>
      </c>
      <c r="H8" s="30">
        <f>'[1]trim1_ 2023'!H8+[1]trim2_2023!H8+[1]trim3_2023!H8+[1]trim4_2023!H8</f>
        <v>0</v>
      </c>
      <c r="I8" s="30">
        <f>'[1]trim1_ 2023'!I8+[1]trim2_2023!I8+[1]trim3_2023!I8+[1]trim4_2023!I8</f>
        <v>50168.409999999996</v>
      </c>
      <c r="J8" s="30">
        <f>'[1]trim1_ 2023'!J8+[1]trim2_2023!J8+[1]trim3_2023!J8+[1]trim4_2023!J8</f>
        <v>2580</v>
      </c>
      <c r="K8" s="30">
        <f>'[1]trim1_ 2023'!K8+[1]trim2_2023!K8+[1]trim3_2023!K8+[1]trim4_2023!K8</f>
        <v>0</v>
      </c>
      <c r="L8" s="30">
        <f>J8+K8</f>
        <v>2580</v>
      </c>
      <c r="M8" s="30">
        <f>'[1]trim1_ 2023'!M8+[1]trim2_2023!M8+[1]trim3_2023!M8+[1]trim4_2023!M8</f>
        <v>0</v>
      </c>
      <c r="N8" s="30">
        <f>'[1]trim1_ 2023'!N8+[1]trim2_2023!N8+[1]trim3_2023!N8+[1]trim4_2023!N8</f>
        <v>0</v>
      </c>
      <c r="O8" s="30">
        <f>'[1]trim1_ 2023'!O8+[1]trim2_2023!O8+[1]trim3_2023!O8+[1]trim4_2023!O8</f>
        <v>0</v>
      </c>
      <c r="P8" s="30">
        <f>'[1]trim1_ 2023'!P8+[1]trim2_2023!P8+[1]trim3_2023!P8+[1]trim4_2023!P8</f>
        <v>0</v>
      </c>
      <c r="Q8" s="30">
        <f>'[1]trim1_ 2023'!Q8+[1]trim2_2023!Q8+[1]trim3_2023!Q8+[1]trim4_2023!Q8</f>
        <v>0</v>
      </c>
      <c r="R8" s="30">
        <f>'[1]trim1_ 2023'!R8+[1]trim2_2023!R8+[1]trim3_2023!R8+[1]trim4_2023!R8</f>
        <v>0</v>
      </c>
      <c r="S8" s="30">
        <f>'[1]trim1_ 2023'!S8+[1]trim2_2023!S8+[1]trim3_2023!S8+[1]trim4_2023!S8</f>
        <v>0</v>
      </c>
      <c r="T8" s="30">
        <f>'[1]trim1_ 2023'!T8+[1]trim2_2023!T8+[1]trim3_2023!T8+[1]trim4_2023!T8</f>
        <v>0</v>
      </c>
      <c r="U8" s="30">
        <f>T8+S8+R8+Q8+P8+O8+N8+M8</f>
        <v>0</v>
      </c>
      <c r="V8" s="31">
        <v>0</v>
      </c>
      <c r="W8" s="30">
        <f>'[1]trim1_ 2023'!W8+[1]trim2_2023!W8+[1]trim3_2023!W8+[1]trim4_2023!W8</f>
        <v>0</v>
      </c>
      <c r="X8" s="30">
        <f>W8+U8+L8+I8+H8+G8</f>
        <v>52748.409999999996</v>
      </c>
    </row>
    <row r="9" spans="1:24" ht="22.5">
      <c r="A9" s="25">
        <v>2</v>
      </c>
      <c r="B9" s="25">
        <v>662</v>
      </c>
      <c r="C9" s="26">
        <v>23099532</v>
      </c>
      <c r="D9" s="27" t="s">
        <v>27</v>
      </c>
      <c r="E9" s="28">
        <v>4</v>
      </c>
      <c r="F9" s="29" t="s">
        <v>28</v>
      </c>
      <c r="G9" s="30">
        <f>'[1]trim1_ 2023'!G9+[1]trim2_2023!G9+[1]trim3_2023!G9+[1]trim4_2023!G9</f>
        <v>120905.82</v>
      </c>
      <c r="H9" s="30">
        <f>'[1]trim1_ 2023'!H9+[1]trim2_2023!H9+[1]trim3_2023!H9+[1]trim4_2023!H9</f>
        <v>18006.5</v>
      </c>
      <c r="I9" s="30">
        <f>'[1]trim1_ 2023'!I9+[1]trim2_2023!I9+[1]trim3_2023!I9+[1]trim4_2023!I9</f>
        <v>240842.08000000002</v>
      </c>
      <c r="J9" s="30">
        <f>'[1]trim1_ 2023'!J9+[1]trim2_2023!J9+[1]trim3_2023!J9+[1]trim4_2023!J9</f>
        <v>11280</v>
      </c>
      <c r="K9" s="30">
        <f>'[1]trim1_ 2023'!K9+[1]trim2_2023!K9+[1]trim3_2023!K9+[1]trim4_2023!K9</f>
        <v>0</v>
      </c>
      <c r="L9" s="30">
        <f t="shared" ref="L9:L55" si="0">J9+K9</f>
        <v>11280</v>
      </c>
      <c r="M9" s="30">
        <f>'[1]trim1_ 2023'!M9+[1]trim2_2023!M9+[1]trim3_2023!M9+[1]trim4_2023!M9</f>
        <v>0</v>
      </c>
      <c r="N9" s="30">
        <f>'[1]trim1_ 2023'!N9+[1]trim2_2023!N9+[1]trim3_2023!N9+[1]trim4_2023!N9</f>
        <v>0</v>
      </c>
      <c r="O9" s="30">
        <f>'[1]trim1_ 2023'!O9+[1]trim2_2023!O9+[1]trim3_2023!O9+[1]trim4_2023!O9</f>
        <v>482915.94</v>
      </c>
      <c r="P9" s="30">
        <f>'[1]trim1_ 2023'!P9+[1]trim2_2023!P9+[1]trim3_2023!P9+[1]trim4_2023!P9</f>
        <v>0</v>
      </c>
      <c r="Q9" s="30">
        <f>'[1]trim1_ 2023'!Q9+[1]trim2_2023!Q9+[1]trim3_2023!Q9+[1]trim4_2023!Q9</f>
        <v>0</v>
      </c>
      <c r="R9" s="30">
        <f>'[1]trim1_ 2023'!R9+[1]trim2_2023!R9+[1]trim3_2023!R9+[1]trim4_2023!R9</f>
        <v>238192.63</v>
      </c>
      <c r="S9" s="30">
        <f>'[1]trim1_ 2023'!S9+[1]trim2_2023!S9+[1]trim3_2023!S9+[1]trim4_2023!S9</f>
        <v>0</v>
      </c>
      <c r="T9" s="30">
        <f>'[1]trim1_ 2023'!T9+[1]trim2_2023!T9+[1]trim3_2023!T9+[1]trim4_2023!T9</f>
        <v>0</v>
      </c>
      <c r="U9" s="30">
        <f t="shared" ref="U9:U55" si="1">T9+S9+R9+Q9+P9+O9+N9+M9</f>
        <v>721108.57000000007</v>
      </c>
      <c r="V9" s="32">
        <f>5-1</f>
        <v>4</v>
      </c>
      <c r="W9" s="30">
        <f>'[1]trim1_ 2023'!W9+[1]trim2_2023!W9+[1]trim3_2023!W9+[1]trim4_2023!W9</f>
        <v>0</v>
      </c>
      <c r="X9" s="30">
        <f t="shared" ref="X9:X55" si="2">W9+U9+L9+I9+H9+G9</f>
        <v>1112142.9700000002</v>
      </c>
    </row>
    <row r="10" spans="1:24" ht="22.5">
      <c r="A10" s="25">
        <v>3</v>
      </c>
      <c r="B10" s="25">
        <v>755</v>
      </c>
      <c r="C10" s="33">
        <v>37009491</v>
      </c>
      <c r="D10" s="27" t="s">
        <v>29</v>
      </c>
      <c r="E10" s="28">
        <v>1</v>
      </c>
      <c r="F10" s="34" t="s">
        <v>30</v>
      </c>
      <c r="G10" s="30">
        <f>'[1]trim1_ 2023'!G10+[1]trim2_2023!G10+[1]trim3_2023!G10+[1]trim4_2023!G10</f>
        <v>0</v>
      </c>
      <c r="H10" s="30">
        <f>'[1]trim1_ 2023'!H10+[1]trim2_2023!H10+[1]trim3_2023!H10+[1]trim4_2023!H10</f>
        <v>0</v>
      </c>
      <c r="I10" s="30">
        <f>'[1]trim1_ 2023'!I10+[1]trim2_2023!I10+[1]trim3_2023!I10+[1]trim4_2023!I10</f>
        <v>2039.4099999999999</v>
      </c>
      <c r="J10" s="30">
        <f>'[1]trim1_ 2023'!J10+[1]trim2_2023!J10+[1]trim3_2023!J10+[1]trim4_2023!J10</f>
        <v>0</v>
      </c>
      <c r="K10" s="30">
        <f>'[1]trim1_ 2023'!K10+[1]trim2_2023!K10+[1]trim3_2023!K10+[1]trim4_2023!K10</f>
        <v>0</v>
      </c>
      <c r="L10" s="30">
        <f t="shared" si="0"/>
        <v>0</v>
      </c>
      <c r="M10" s="30">
        <f>'[1]trim1_ 2023'!M10+[1]trim2_2023!M10+[1]trim3_2023!M10+[1]trim4_2023!M10</f>
        <v>0</v>
      </c>
      <c r="N10" s="30">
        <f>'[1]trim1_ 2023'!N10+[1]trim2_2023!N10+[1]trim3_2023!N10+[1]trim4_2023!N10</f>
        <v>0</v>
      </c>
      <c r="O10" s="30">
        <f>'[1]trim1_ 2023'!O10+[1]trim2_2023!O10+[1]trim3_2023!O10+[1]trim4_2023!O10</f>
        <v>0</v>
      </c>
      <c r="P10" s="30">
        <f>'[1]trim1_ 2023'!P10+[1]trim2_2023!P10+[1]trim3_2023!P10+[1]trim4_2023!P10</f>
        <v>0</v>
      </c>
      <c r="Q10" s="30">
        <f>'[1]trim1_ 2023'!Q10+[1]trim2_2023!Q10+[1]trim3_2023!Q10+[1]trim4_2023!Q10</f>
        <v>0</v>
      </c>
      <c r="R10" s="30">
        <f>'[1]trim1_ 2023'!R10+[1]trim2_2023!R10+[1]trim3_2023!R10+[1]trim4_2023!R10</f>
        <v>0</v>
      </c>
      <c r="S10" s="30">
        <f>'[1]trim1_ 2023'!S10+[1]trim2_2023!S10+[1]trim3_2023!S10+[1]trim4_2023!S10</f>
        <v>0</v>
      </c>
      <c r="T10" s="30">
        <f>'[1]trim1_ 2023'!T10+[1]trim2_2023!T10+[1]trim3_2023!T10+[1]trim4_2023!T10</f>
        <v>0</v>
      </c>
      <c r="U10" s="30">
        <f t="shared" si="1"/>
        <v>0</v>
      </c>
      <c r="V10" s="32">
        <v>1</v>
      </c>
      <c r="W10" s="30">
        <f>'[1]trim1_ 2023'!W10+[1]trim2_2023!W10+[1]trim3_2023!W10+[1]trim4_2023!W10</f>
        <v>0</v>
      </c>
      <c r="X10" s="30">
        <f t="shared" si="2"/>
        <v>2039.4099999999999</v>
      </c>
    </row>
    <row r="11" spans="1:24" ht="22.5">
      <c r="A11" s="25">
        <v>4</v>
      </c>
      <c r="B11" s="25">
        <v>625</v>
      </c>
      <c r="C11" s="26">
        <v>842203</v>
      </c>
      <c r="D11" s="27" t="s">
        <v>31</v>
      </c>
      <c r="E11" s="28">
        <v>1</v>
      </c>
      <c r="F11" s="29" t="s">
        <v>32</v>
      </c>
      <c r="G11" s="30">
        <f>'[1]trim1_ 2023'!G11+[1]trim2_2023!G11+[1]trim3_2023!G11+[1]trim4_2023!G11</f>
        <v>5095.01</v>
      </c>
      <c r="H11" s="30">
        <f>'[1]trim1_ 2023'!H11+[1]trim2_2023!H11+[1]trim3_2023!H11+[1]trim4_2023!H11</f>
        <v>489.99</v>
      </c>
      <c r="I11" s="30">
        <f>'[1]trim1_ 2023'!I11+[1]trim2_2023!I11+[1]trim3_2023!I11+[1]trim4_2023!I11</f>
        <v>51362.299999999996</v>
      </c>
      <c r="J11" s="30">
        <f>'[1]trim1_ 2023'!J11+[1]trim2_2023!J11+[1]trim3_2023!J11+[1]trim4_2023!J11</f>
        <v>2760</v>
      </c>
      <c r="K11" s="30">
        <f>'[1]trim1_ 2023'!K11+[1]trim2_2023!K11+[1]trim3_2023!K11+[1]trim4_2023!K11</f>
        <v>0</v>
      </c>
      <c r="L11" s="30">
        <f t="shared" si="0"/>
        <v>2760</v>
      </c>
      <c r="M11" s="30">
        <f>'[1]trim1_ 2023'!M11+[1]trim2_2023!M11+[1]trim3_2023!M11+[1]trim4_2023!M11</f>
        <v>0</v>
      </c>
      <c r="N11" s="30">
        <f>'[1]trim1_ 2023'!N11+[1]trim2_2023!N11+[1]trim3_2023!N11+[1]trim4_2023!N11</f>
        <v>0</v>
      </c>
      <c r="O11" s="30">
        <f>'[1]trim1_ 2023'!O11+[1]trim2_2023!O11+[1]trim3_2023!O11+[1]trim4_2023!O11</f>
        <v>0</v>
      </c>
      <c r="P11" s="30">
        <f>'[1]trim1_ 2023'!P11+[1]trim2_2023!P11+[1]trim3_2023!P11+[1]trim4_2023!P11</f>
        <v>0</v>
      </c>
      <c r="Q11" s="30">
        <f>'[1]trim1_ 2023'!Q11+[1]trim2_2023!Q11+[1]trim3_2023!Q11+[1]trim4_2023!Q11</f>
        <v>0</v>
      </c>
      <c r="R11" s="30">
        <f>'[1]trim1_ 2023'!R11+[1]trim2_2023!R11+[1]trim3_2023!R11+[1]trim4_2023!R11</f>
        <v>0</v>
      </c>
      <c r="S11" s="30">
        <f>'[1]trim1_ 2023'!S11+[1]trim2_2023!S11+[1]trim3_2023!S11+[1]trim4_2023!S11</f>
        <v>0</v>
      </c>
      <c r="T11" s="30">
        <f>'[1]trim1_ 2023'!T11+[1]trim2_2023!T11+[1]trim3_2023!T11+[1]trim4_2023!T11</f>
        <v>0</v>
      </c>
      <c r="U11" s="30">
        <f t="shared" si="1"/>
        <v>0</v>
      </c>
      <c r="V11" s="32">
        <v>1</v>
      </c>
      <c r="W11" s="30">
        <f>'[1]trim1_ 2023'!W11+[1]trim2_2023!W11+[1]trim3_2023!W11+[1]trim4_2023!W11</f>
        <v>0</v>
      </c>
      <c r="X11" s="30">
        <f t="shared" si="2"/>
        <v>59707.299999999996</v>
      </c>
    </row>
    <row r="12" spans="1:24" ht="33.75">
      <c r="A12" s="25">
        <v>5</v>
      </c>
      <c r="B12" s="25">
        <v>627</v>
      </c>
      <c r="C12" s="26">
        <v>4225197</v>
      </c>
      <c r="D12" s="27" t="s">
        <v>33</v>
      </c>
      <c r="E12" s="28">
        <v>4</v>
      </c>
      <c r="F12" s="29" t="s">
        <v>34</v>
      </c>
      <c r="G12" s="30">
        <f>'[1]trim1_ 2023'!G12+[1]trim2_2023!G12+[1]trim3_2023!G12+[1]trim4_2023!G12</f>
        <v>101548.38999999998</v>
      </c>
      <c r="H12" s="30">
        <f>'[1]trim1_ 2023'!H12+[1]trim2_2023!H12+[1]trim3_2023!H12+[1]trim4_2023!H12</f>
        <v>33382.97</v>
      </c>
      <c r="I12" s="30">
        <f>'[1]trim1_ 2023'!I12+[1]trim2_2023!I12+[1]trim3_2023!I12+[1]trim4_2023!I12</f>
        <v>1397924.13</v>
      </c>
      <c r="J12" s="30">
        <f>'[1]trim1_ 2023'!J12+[1]trim2_2023!J12+[1]trim3_2023!J12+[1]trim4_2023!J12</f>
        <v>96240</v>
      </c>
      <c r="K12" s="30">
        <f>'[1]trim1_ 2023'!K12+[1]trim2_2023!K12+[1]trim3_2023!K12+[1]trim4_2023!K12</f>
        <v>3600</v>
      </c>
      <c r="L12" s="30">
        <f t="shared" si="0"/>
        <v>99840</v>
      </c>
      <c r="M12" s="30">
        <f>'[1]trim1_ 2023'!M12+[1]trim2_2023!M12+[1]trim3_2023!M12+[1]trim4_2023!M12</f>
        <v>0</v>
      </c>
      <c r="N12" s="30">
        <f>'[1]trim1_ 2023'!N12+[1]trim2_2023!N12+[1]trim3_2023!N12+[1]trim4_2023!N12</f>
        <v>0</v>
      </c>
      <c r="O12" s="30">
        <f>'[1]trim1_ 2023'!O12+[1]trim2_2023!O12+[1]trim3_2023!O12+[1]trim4_2023!O12</f>
        <v>0</v>
      </c>
      <c r="P12" s="30">
        <f>'[1]trim1_ 2023'!P12+[1]trim2_2023!P12+[1]trim3_2023!P12+[1]trim4_2023!P12</f>
        <v>0</v>
      </c>
      <c r="Q12" s="30">
        <f>'[1]trim1_ 2023'!Q12+[1]trim2_2023!Q12+[1]trim3_2023!Q12+[1]trim4_2023!Q12</f>
        <v>0</v>
      </c>
      <c r="R12" s="30">
        <f>'[1]trim1_ 2023'!R12+[1]trim2_2023!R12+[1]trim3_2023!R12+[1]trim4_2023!R12</f>
        <v>0</v>
      </c>
      <c r="S12" s="30">
        <f>'[1]trim1_ 2023'!S12+[1]trim2_2023!S12+[1]trim3_2023!S12+[1]trim4_2023!S12</f>
        <v>0</v>
      </c>
      <c r="T12" s="30">
        <f>'[1]trim1_ 2023'!T12+[1]trim2_2023!T12+[1]trim3_2023!T12+[1]trim4_2023!T12</f>
        <v>0</v>
      </c>
      <c r="U12" s="30">
        <f t="shared" si="1"/>
        <v>0</v>
      </c>
      <c r="V12" s="32">
        <v>4</v>
      </c>
      <c r="W12" s="30">
        <f>'[1]trim1_ 2023'!W12+[1]trim2_2023!W12+[1]trim3_2023!W12+[1]trim4_2023!W12</f>
        <v>3843.24</v>
      </c>
      <c r="X12" s="30">
        <f t="shared" si="2"/>
        <v>1636538.7299999997</v>
      </c>
    </row>
    <row r="13" spans="1:24" ht="33.75">
      <c r="A13" s="25">
        <v>7</v>
      </c>
      <c r="B13" s="25">
        <v>734</v>
      </c>
      <c r="C13" s="26">
        <v>1803830</v>
      </c>
      <c r="D13" s="27" t="s">
        <v>35</v>
      </c>
      <c r="E13" s="35">
        <v>2</v>
      </c>
      <c r="F13" s="29" t="s">
        <v>36</v>
      </c>
      <c r="G13" s="30">
        <f>'[1]trim1_ 2023'!G13+[1]trim2_2023!G13+[1]trim3_2023!G13+[1]trim4_2023!G13</f>
        <v>42704.5</v>
      </c>
      <c r="H13" s="30">
        <f>'[1]trim1_ 2023'!H13+[1]trim2_2023!H13+[1]trim3_2023!H13+[1]trim4_2023!H13</f>
        <v>58682.119999999995</v>
      </c>
      <c r="I13" s="30">
        <f>'[1]trim1_ 2023'!I13+[1]trim2_2023!I13+[1]trim3_2023!I13+[1]trim4_2023!I13</f>
        <v>2754261.97</v>
      </c>
      <c r="J13" s="30">
        <f>'[1]trim1_ 2023'!J13+[1]trim2_2023!J13+[1]trim3_2023!J13+[1]trim4_2023!J13</f>
        <v>172680</v>
      </c>
      <c r="K13" s="30">
        <f>'[1]trim1_ 2023'!K13+[1]trim2_2023!K13+[1]trim3_2023!K13+[1]trim4_2023!K13</f>
        <v>2880</v>
      </c>
      <c r="L13" s="30">
        <f t="shared" si="0"/>
        <v>175560</v>
      </c>
      <c r="M13" s="30">
        <f>'[1]trim1_ 2023'!M13+[1]trim2_2023!M13+[1]trim3_2023!M13+[1]trim4_2023!M13</f>
        <v>0</v>
      </c>
      <c r="N13" s="30">
        <f>'[1]trim1_ 2023'!N13+[1]trim2_2023!N13+[1]trim3_2023!N13+[1]trim4_2023!N13</f>
        <v>0</v>
      </c>
      <c r="O13" s="30">
        <f>'[1]trim1_ 2023'!O13+[1]trim2_2023!O13+[1]trim3_2023!O13+[1]trim4_2023!O13</f>
        <v>0</v>
      </c>
      <c r="P13" s="30">
        <f>'[1]trim1_ 2023'!P13+[1]trim2_2023!P13+[1]trim3_2023!P13+[1]trim4_2023!P13</f>
        <v>0</v>
      </c>
      <c r="Q13" s="30">
        <f>'[1]trim1_ 2023'!Q13+[1]trim2_2023!Q13+[1]trim3_2023!Q13+[1]trim4_2023!Q13</f>
        <v>0</v>
      </c>
      <c r="R13" s="30">
        <f>'[1]trim1_ 2023'!R13+[1]trim2_2023!R13+[1]trim3_2023!R13+[1]trim4_2023!R13</f>
        <v>0</v>
      </c>
      <c r="S13" s="30">
        <f>'[1]trim1_ 2023'!S13+[1]trim2_2023!S13+[1]trim3_2023!S13+[1]trim4_2023!S13</f>
        <v>0</v>
      </c>
      <c r="T13" s="30">
        <f>'[1]trim1_ 2023'!T13+[1]trim2_2023!T13+[1]trim3_2023!T13+[1]trim4_2023!T13</f>
        <v>0</v>
      </c>
      <c r="U13" s="30">
        <f t="shared" si="1"/>
        <v>0</v>
      </c>
      <c r="V13" s="31">
        <v>2</v>
      </c>
      <c r="W13" s="30">
        <f>'[1]trim1_ 2023'!W13+[1]trim2_2023!W13+[1]trim3_2023!W13+[1]trim4_2023!W13</f>
        <v>5124.32</v>
      </c>
      <c r="X13" s="30">
        <f t="shared" si="2"/>
        <v>3036332.91</v>
      </c>
    </row>
    <row r="14" spans="1:24" ht="22.5">
      <c r="A14" s="25">
        <v>8</v>
      </c>
      <c r="B14" s="25">
        <v>671</v>
      </c>
      <c r="C14" s="26">
        <v>9649541</v>
      </c>
      <c r="D14" s="24" t="s">
        <v>37</v>
      </c>
      <c r="E14" s="35">
        <v>1</v>
      </c>
      <c r="F14" s="36" t="s">
        <v>38</v>
      </c>
      <c r="G14" s="30">
        <f>'[1]trim1_ 2023'!G14+[1]trim2_2023!G14+[1]trim3_2023!G14+[1]trim4_2023!G14</f>
        <v>75.13</v>
      </c>
      <c r="H14" s="30">
        <f>'[1]trim1_ 2023'!H14+[1]trim2_2023!H14+[1]trim3_2023!H14+[1]trim4_2023!H14</f>
        <v>0</v>
      </c>
      <c r="I14" s="30">
        <f>'[1]trim1_ 2023'!I14+[1]trim2_2023!I14+[1]trim3_2023!I14+[1]trim4_2023!I14</f>
        <v>93525.39</v>
      </c>
      <c r="J14" s="30">
        <f>'[1]trim1_ 2023'!J14+[1]trim2_2023!J14+[1]trim3_2023!J14+[1]trim4_2023!J14</f>
        <v>8400</v>
      </c>
      <c r="K14" s="30">
        <f>'[1]trim1_ 2023'!K14+[1]trim2_2023!K14+[1]trim3_2023!K14+[1]trim4_2023!K14</f>
        <v>480</v>
      </c>
      <c r="L14" s="30">
        <f t="shared" si="0"/>
        <v>8880</v>
      </c>
      <c r="M14" s="30">
        <f>'[1]trim1_ 2023'!M14+[1]trim2_2023!M14+[1]trim3_2023!M14+[1]trim4_2023!M14</f>
        <v>4267.0600000000004</v>
      </c>
      <c r="N14" s="30">
        <f>'[1]trim1_ 2023'!N14+[1]trim2_2023!N14+[1]trim3_2023!N14+[1]trim4_2023!N14</f>
        <v>0</v>
      </c>
      <c r="O14" s="30">
        <f>'[1]trim1_ 2023'!O14+[1]trim2_2023!O14+[1]trim3_2023!O14+[1]trim4_2023!O14</f>
        <v>0</v>
      </c>
      <c r="P14" s="30">
        <f>'[1]trim1_ 2023'!P14+[1]trim2_2023!P14+[1]trim3_2023!P14+[1]trim4_2023!P14</f>
        <v>0</v>
      </c>
      <c r="Q14" s="30">
        <f>'[1]trim1_ 2023'!Q14+[1]trim2_2023!Q14+[1]trim3_2023!Q14+[1]trim4_2023!Q14</f>
        <v>0</v>
      </c>
      <c r="R14" s="30">
        <f>'[1]trim1_ 2023'!R14+[1]trim2_2023!R14+[1]trim3_2023!R14+[1]trim4_2023!R14</f>
        <v>0</v>
      </c>
      <c r="S14" s="30">
        <f>'[1]trim1_ 2023'!S14+[1]trim2_2023!S14+[1]trim3_2023!S14+[1]trim4_2023!S14</f>
        <v>0</v>
      </c>
      <c r="T14" s="30">
        <f>'[1]trim1_ 2023'!T14+[1]trim2_2023!T14+[1]trim3_2023!T14+[1]trim4_2023!T14</f>
        <v>0</v>
      </c>
      <c r="U14" s="30">
        <f t="shared" si="1"/>
        <v>4267.0600000000004</v>
      </c>
      <c r="V14" s="31">
        <v>1</v>
      </c>
      <c r="W14" s="30">
        <f>'[1]trim1_ 2023'!W14+[1]trim2_2023!W14+[1]trim3_2023!W14+[1]trim4_2023!W14</f>
        <v>0</v>
      </c>
      <c r="X14" s="30">
        <f t="shared" si="2"/>
        <v>106747.58</v>
      </c>
    </row>
    <row r="15" spans="1:24" ht="33.75">
      <c r="A15" s="25">
        <v>9</v>
      </c>
      <c r="B15" s="25">
        <v>709</v>
      </c>
      <c r="C15" s="26">
        <v>26681160</v>
      </c>
      <c r="D15" s="24" t="s">
        <v>39</v>
      </c>
      <c r="E15" s="35">
        <v>1</v>
      </c>
      <c r="F15" s="36" t="s">
        <v>40</v>
      </c>
      <c r="G15" s="30">
        <f>'[1]trim1_ 2023'!G15+[1]trim2_2023!G15+[1]trim3_2023!G15+[1]trim4_2023!G15</f>
        <v>0</v>
      </c>
      <c r="H15" s="30">
        <f>'[1]trim1_ 2023'!H15+[1]trim2_2023!H15+[1]trim3_2023!H15+[1]trim4_2023!H15</f>
        <v>0</v>
      </c>
      <c r="I15" s="30">
        <f>'[1]trim1_ 2023'!I15+[1]trim2_2023!I15+[1]trim3_2023!I15+[1]trim4_2023!I15</f>
        <v>1507.19</v>
      </c>
      <c r="J15" s="30">
        <f>'[1]trim1_ 2023'!J15+[1]trim2_2023!J15+[1]trim3_2023!J15+[1]trim4_2023!J15</f>
        <v>0</v>
      </c>
      <c r="K15" s="30">
        <f>'[1]trim1_ 2023'!K15+[1]trim2_2023!K15+[1]trim3_2023!K15+[1]trim4_2023!K15</f>
        <v>0</v>
      </c>
      <c r="L15" s="30">
        <f t="shared" si="0"/>
        <v>0</v>
      </c>
      <c r="M15" s="30">
        <f>'[1]trim1_ 2023'!M15+[1]trim2_2023!M15+[1]trim3_2023!M15+[1]trim4_2023!M15</f>
        <v>0</v>
      </c>
      <c r="N15" s="30">
        <f>'[1]trim1_ 2023'!N15+[1]trim2_2023!N15+[1]trim3_2023!N15+[1]trim4_2023!N15</f>
        <v>0</v>
      </c>
      <c r="O15" s="30">
        <f>'[1]trim1_ 2023'!O15+[1]trim2_2023!O15+[1]trim3_2023!O15+[1]trim4_2023!O15</f>
        <v>0</v>
      </c>
      <c r="P15" s="30">
        <f>'[1]trim1_ 2023'!P15+[1]trim2_2023!P15+[1]trim3_2023!P15+[1]trim4_2023!P15</f>
        <v>0</v>
      </c>
      <c r="Q15" s="30">
        <f>'[1]trim1_ 2023'!Q15+[1]trim2_2023!Q15+[1]trim3_2023!Q15+[1]trim4_2023!Q15</f>
        <v>0</v>
      </c>
      <c r="R15" s="30">
        <f>'[1]trim1_ 2023'!R15+[1]trim2_2023!R15+[1]trim3_2023!R15+[1]trim4_2023!R15</f>
        <v>0</v>
      </c>
      <c r="S15" s="30">
        <f>'[1]trim1_ 2023'!S15+[1]trim2_2023!S15+[1]trim3_2023!S15+[1]trim4_2023!S15</f>
        <v>0</v>
      </c>
      <c r="T15" s="30">
        <f>'[1]trim1_ 2023'!T15+[1]trim2_2023!T15+[1]trim3_2023!T15+[1]trim4_2023!T15</f>
        <v>0</v>
      </c>
      <c r="U15" s="30">
        <f t="shared" si="1"/>
        <v>0</v>
      </c>
      <c r="V15" s="31">
        <v>0</v>
      </c>
      <c r="W15" s="30">
        <f>'[1]trim1_ 2023'!W15+[1]trim2_2023!W15+[1]trim3_2023!W15+[1]trim4_2023!W15</f>
        <v>0</v>
      </c>
      <c r="X15" s="30">
        <f t="shared" si="2"/>
        <v>1507.19</v>
      </c>
    </row>
    <row r="16" spans="1:24" ht="33.75">
      <c r="A16" s="25">
        <v>10</v>
      </c>
      <c r="B16" s="25">
        <v>630</v>
      </c>
      <c r="C16" s="26">
        <v>18674838</v>
      </c>
      <c r="D16" s="24" t="s">
        <v>41</v>
      </c>
      <c r="E16" s="35">
        <v>1</v>
      </c>
      <c r="F16" s="36" t="s">
        <v>42</v>
      </c>
      <c r="G16" s="30">
        <f>'[1]trim1_ 2023'!G16+[1]trim2_2023!G16+[1]trim3_2023!G16+[1]trim4_2023!G16</f>
        <v>1820.72</v>
      </c>
      <c r="H16" s="30">
        <f>'[1]trim1_ 2023'!H16+[1]trim2_2023!H16+[1]trim3_2023!H16+[1]trim4_2023!H16</f>
        <v>0</v>
      </c>
      <c r="I16" s="30">
        <f>'[1]trim1_ 2023'!I16+[1]trim2_2023!I16+[1]trim3_2023!I16+[1]trim4_2023!I16</f>
        <v>64896.06</v>
      </c>
      <c r="J16" s="30">
        <f>'[1]trim1_ 2023'!J16+[1]trim2_2023!J16+[1]trim3_2023!J16+[1]trim4_2023!J16</f>
        <v>0</v>
      </c>
      <c r="K16" s="30">
        <f>'[1]trim1_ 2023'!K16+[1]trim2_2023!K16+[1]trim3_2023!K16+[1]trim4_2023!K16</f>
        <v>0</v>
      </c>
      <c r="L16" s="30">
        <f t="shared" si="0"/>
        <v>0</v>
      </c>
      <c r="M16" s="30">
        <f>'[1]trim1_ 2023'!M16+[1]trim2_2023!M16+[1]trim3_2023!M16+[1]trim4_2023!M16</f>
        <v>0</v>
      </c>
      <c r="N16" s="30">
        <f>'[1]trim1_ 2023'!N16+[1]trim2_2023!N16+[1]trim3_2023!N16+[1]trim4_2023!N16</f>
        <v>0</v>
      </c>
      <c r="O16" s="30">
        <f>'[1]trim1_ 2023'!O16+[1]trim2_2023!O16+[1]trim3_2023!O16+[1]trim4_2023!O16</f>
        <v>408376.97000000003</v>
      </c>
      <c r="P16" s="30">
        <f>'[1]trim1_ 2023'!P16+[1]trim2_2023!P16+[1]trim3_2023!P16+[1]trim4_2023!P16</f>
        <v>0</v>
      </c>
      <c r="Q16" s="30">
        <f>'[1]trim1_ 2023'!Q16+[1]trim2_2023!Q16+[1]trim3_2023!Q16+[1]trim4_2023!Q16</f>
        <v>0</v>
      </c>
      <c r="R16" s="30">
        <f>'[1]trim1_ 2023'!R16+[1]trim2_2023!R16+[1]trim3_2023!R16+[1]trim4_2023!R16</f>
        <v>0</v>
      </c>
      <c r="S16" s="30">
        <f>'[1]trim1_ 2023'!S16+[1]trim2_2023!S16+[1]trim3_2023!S16+[1]trim4_2023!S16</f>
        <v>0</v>
      </c>
      <c r="T16" s="30">
        <f>'[1]trim1_ 2023'!T16+[1]trim2_2023!T16+[1]trim3_2023!T16+[1]trim4_2023!T16</f>
        <v>0</v>
      </c>
      <c r="U16" s="30">
        <f t="shared" si="1"/>
        <v>408376.97000000003</v>
      </c>
      <c r="V16" s="31">
        <v>1</v>
      </c>
      <c r="W16" s="30">
        <f>'[1]trim1_ 2023'!W16+[1]trim2_2023!W16+[1]trim3_2023!W16+[1]trim4_2023!W16</f>
        <v>0</v>
      </c>
      <c r="X16" s="30">
        <f t="shared" si="2"/>
        <v>475093.75</v>
      </c>
    </row>
    <row r="17" spans="1:24" ht="33.75">
      <c r="A17" s="25">
        <v>11</v>
      </c>
      <c r="B17" s="25">
        <v>632</v>
      </c>
      <c r="C17" s="26">
        <v>7422347</v>
      </c>
      <c r="D17" s="24" t="s">
        <v>43</v>
      </c>
      <c r="E17" s="35">
        <v>2</v>
      </c>
      <c r="F17" s="36" t="s">
        <v>44</v>
      </c>
      <c r="G17" s="30">
        <f>'[1]trim1_ 2023'!G17+[1]trim2_2023!G17+[1]trim3_2023!G17+[1]trim4_2023!G17</f>
        <v>613.17999999999995</v>
      </c>
      <c r="H17" s="30">
        <f>'[1]trim1_ 2023'!H17+[1]trim2_2023!H17+[1]trim3_2023!H17+[1]trim4_2023!H17</f>
        <v>0</v>
      </c>
      <c r="I17" s="30">
        <f>'[1]trim1_ 2023'!I17+[1]trim2_2023!I17+[1]trim3_2023!I17+[1]trim4_2023!I17</f>
        <v>16561.260000000002</v>
      </c>
      <c r="J17" s="30">
        <f>'[1]trim1_ 2023'!J17+[1]trim2_2023!J17+[1]trim3_2023!J17+[1]trim4_2023!J17</f>
        <v>0</v>
      </c>
      <c r="K17" s="30">
        <f>'[1]trim1_ 2023'!K17+[1]trim2_2023!K17+[1]trim3_2023!K17+[1]trim4_2023!K17</f>
        <v>0</v>
      </c>
      <c r="L17" s="30">
        <f t="shared" si="0"/>
        <v>0</v>
      </c>
      <c r="M17" s="30">
        <f>'[1]trim1_ 2023'!M17+[1]trim2_2023!M17+[1]trim3_2023!M17+[1]trim4_2023!M17</f>
        <v>0</v>
      </c>
      <c r="N17" s="30">
        <f>'[1]trim1_ 2023'!N17+[1]trim2_2023!N17+[1]trim3_2023!N17+[1]trim4_2023!N17</f>
        <v>0</v>
      </c>
      <c r="O17" s="30">
        <f>'[1]trim1_ 2023'!O17+[1]trim2_2023!O17+[1]trim3_2023!O17+[1]trim4_2023!O17</f>
        <v>16992.599999999999</v>
      </c>
      <c r="P17" s="30">
        <f>'[1]trim1_ 2023'!P17+[1]trim2_2023!P17+[1]trim3_2023!P17+[1]trim4_2023!P17</f>
        <v>0</v>
      </c>
      <c r="Q17" s="30">
        <f>'[1]trim1_ 2023'!Q17+[1]trim2_2023!Q17+[1]trim3_2023!Q17+[1]trim4_2023!Q17</f>
        <v>0</v>
      </c>
      <c r="R17" s="30">
        <f>'[1]trim1_ 2023'!R17+[1]trim2_2023!R17+[1]trim3_2023!R17+[1]trim4_2023!R17</f>
        <v>0</v>
      </c>
      <c r="S17" s="30">
        <f>'[1]trim1_ 2023'!S17+[1]trim2_2023!S17+[1]trim3_2023!S17+[1]trim4_2023!S17</f>
        <v>0</v>
      </c>
      <c r="T17" s="30">
        <f>'[1]trim1_ 2023'!T17+[1]trim2_2023!T17+[1]trim3_2023!T17+[1]trim4_2023!T17</f>
        <v>0</v>
      </c>
      <c r="U17" s="30">
        <f t="shared" si="1"/>
        <v>16992.599999999999</v>
      </c>
      <c r="V17" s="31">
        <v>2</v>
      </c>
      <c r="W17" s="30">
        <f>'[1]trim1_ 2023'!W17+[1]trim2_2023!W17+[1]trim3_2023!W17+[1]trim4_2023!W17</f>
        <v>0</v>
      </c>
      <c r="X17" s="30">
        <f t="shared" si="2"/>
        <v>34167.040000000001</v>
      </c>
    </row>
    <row r="18" spans="1:24" ht="22.5">
      <c r="A18" s="25">
        <v>12</v>
      </c>
      <c r="B18" s="25">
        <v>765</v>
      </c>
      <c r="C18" s="26">
        <v>33380372</v>
      </c>
      <c r="D18" s="24" t="s">
        <v>45</v>
      </c>
      <c r="E18" s="35">
        <v>1</v>
      </c>
      <c r="F18" s="36" t="s">
        <v>46</v>
      </c>
      <c r="G18" s="30">
        <f>'[1]trim1_ 2023'!G18+[1]trim2_2023!G18+[1]trim3_2023!G18+[1]trim4_2023!G18</f>
        <v>0</v>
      </c>
      <c r="H18" s="30">
        <f>'[1]trim1_ 2023'!H18+[1]trim2_2023!H18+[1]trim3_2023!H18+[1]trim4_2023!H18</f>
        <v>0</v>
      </c>
      <c r="I18" s="30">
        <f>'[1]trim1_ 2023'!I18+[1]trim2_2023!I18+[1]trim3_2023!I18+[1]trim4_2023!I18</f>
        <v>9434.27</v>
      </c>
      <c r="J18" s="30">
        <f>'[1]trim1_ 2023'!J18+[1]trim2_2023!J18+[1]trim3_2023!J18+[1]trim4_2023!J18</f>
        <v>360</v>
      </c>
      <c r="K18" s="30">
        <f>'[1]trim1_ 2023'!K18+[1]trim2_2023!K18+[1]trim3_2023!K18+[1]trim4_2023!K18</f>
        <v>0</v>
      </c>
      <c r="L18" s="30">
        <f t="shared" si="0"/>
        <v>360</v>
      </c>
      <c r="M18" s="30">
        <f>'[1]trim1_ 2023'!M18+[1]trim2_2023!M18+[1]trim3_2023!M18+[1]trim4_2023!M18</f>
        <v>0</v>
      </c>
      <c r="N18" s="30">
        <f>'[1]trim1_ 2023'!N18+[1]trim2_2023!N18+[1]trim3_2023!N18+[1]trim4_2023!N18</f>
        <v>0</v>
      </c>
      <c r="O18" s="30">
        <f>'[1]trim1_ 2023'!O18+[1]trim2_2023!O18+[1]trim3_2023!O18+[1]trim4_2023!O18</f>
        <v>0</v>
      </c>
      <c r="P18" s="30">
        <f>'[1]trim1_ 2023'!P18+[1]trim2_2023!P18+[1]trim3_2023!P18+[1]trim4_2023!P18</f>
        <v>0</v>
      </c>
      <c r="Q18" s="30">
        <f>'[1]trim1_ 2023'!Q18+[1]trim2_2023!Q18+[1]trim3_2023!Q18+[1]trim4_2023!Q18</f>
        <v>0</v>
      </c>
      <c r="R18" s="30">
        <f>'[1]trim1_ 2023'!R18+[1]trim2_2023!R18+[1]trim3_2023!R18+[1]trim4_2023!R18</f>
        <v>0</v>
      </c>
      <c r="S18" s="30">
        <f>'[1]trim1_ 2023'!S18+[1]trim2_2023!S18+[1]trim3_2023!S18+[1]trim4_2023!S18</f>
        <v>0</v>
      </c>
      <c r="T18" s="30">
        <f>'[1]trim1_ 2023'!T18+[1]trim2_2023!T18+[1]trim3_2023!T18+[1]trim4_2023!T18</f>
        <v>0</v>
      </c>
      <c r="U18" s="30">
        <f t="shared" si="1"/>
        <v>0</v>
      </c>
      <c r="V18" s="31">
        <v>1</v>
      </c>
      <c r="W18" s="30">
        <f>'[1]trim1_ 2023'!W18+[1]trim2_2023!W18+[1]trim3_2023!W18+[1]trim4_2023!W18</f>
        <v>0</v>
      </c>
      <c r="X18" s="30">
        <f t="shared" si="2"/>
        <v>9794.27</v>
      </c>
    </row>
    <row r="19" spans="1:24" ht="22.5">
      <c r="A19" s="25">
        <v>13</v>
      </c>
      <c r="B19" s="25">
        <v>633</v>
      </c>
      <c r="C19" s="26">
        <v>6927244</v>
      </c>
      <c r="D19" s="24" t="s">
        <v>47</v>
      </c>
      <c r="E19" s="35">
        <v>1</v>
      </c>
      <c r="F19" s="36" t="s">
        <v>48</v>
      </c>
      <c r="G19" s="30">
        <f>'[1]trim1_ 2023'!G19+[1]trim2_2023!G19+[1]trim3_2023!G19+[1]trim4_2023!G19</f>
        <v>56775.739999999991</v>
      </c>
      <c r="H19" s="30">
        <f>'[1]trim1_ 2023'!H19+[1]trim2_2023!H19+[1]trim3_2023!H19+[1]trim4_2023!H19</f>
        <v>11644.21</v>
      </c>
      <c r="I19" s="30">
        <f>'[1]trim1_ 2023'!I19+[1]trim2_2023!I19+[1]trim3_2023!I19+[1]trim4_2023!I19</f>
        <v>87894.010000000009</v>
      </c>
      <c r="J19" s="30">
        <f>'[1]trim1_ 2023'!J19+[1]trim2_2023!J19+[1]trim3_2023!J19+[1]trim4_2023!J19</f>
        <v>0</v>
      </c>
      <c r="K19" s="30">
        <f>'[1]trim1_ 2023'!K19+[1]trim2_2023!K19+[1]trim3_2023!K19+[1]trim4_2023!K19</f>
        <v>0</v>
      </c>
      <c r="L19" s="30">
        <f t="shared" si="0"/>
        <v>0</v>
      </c>
      <c r="M19" s="30">
        <f>'[1]trim1_ 2023'!M19+[1]trim2_2023!M19+[1]trim3_2023!M19+[1]trim4_2023!M19</f>
        <v>4267.07</v>
      </c>
      <c r="N19" s="30">
        <f>'[1]trim1_ 2023'!N19+[1]trim2_2023!N19+[1]trim3_2023!N19+[1]trim4_2023!N19</f>
        <v>0</v>
      </c>
      <c r="O19" s="30">
        <f>'[1]trim1_ 2023'!O19+[1]trim2_2023!O19+[1]trim3_2023!O19+[1]trim4_2023!O19</f>
        <v>0</v>
      </c>
      <c r="P19" s="30">
        <f>'[1]trim1_ 2023'!P19+[1]trim2_2023!P19+[1]trim3_2023!P19+[1]trim4_2023!P19</f>
        <v>0</v>
      </c>
      <c r="Q19" s="30">
        <f>'[1]trim1_ 2023'!Q19+[1]trim2_2023!Q19+[1]trim3_2023!Q19+[1]trim4_2023!Q19</f>
        <v>0</v>
      </c>
      <c r="R19" s="30">
        <f>'[1]trim1_ 2023'!R19+[1]trim2_2023!R19+[1]trim3_2023!R19+[1]trim4_2023!R19</f>
        <v>0</v>
      </c>
      <c r="S19" s="30">
        <f>'[1]trim1_ 2023'!S19+[1]trim2_2023!S19+[1]trim3_2023!S19+[1]trim4_2023!S19</f>
        <v>0</v>
      </c>
      <c r="T19" s="30">
        <f>'[1]trim1_ 2023'!T19+[1]trim2_2023!T19+[1]trim3_2023!T19+[1]trim4_2023!T19</f>
        <v>0</v>
      </c>
      <c r="U19" s="30">
        <f t="shared" si="1"/>
        <v>4267.07</v>
      </c>
      <c r="V19" s="31">
        <v>1</v>
      </c>
      <c r="W19" s="30">
        <f>'[1]trim1_ 2023'!W19+[1]trim2_2023!W19+[1]trim3_2023!W19+[1]trim4_2023!W19</f>
        <v>20454.57</v>
      </c>
      <c r="X19" s="30">
        <f t="shared" si="2"/>
        <v>181035.6</v>
      </c>
    </row>
    <row r="20" spans="1:24" ht="22.5">
      <c r="A20" s="25">
        <v>14</v>
      </c>
      <c r="B20" s="25">
        <v>634</v>
      </c>
      <c r="C20" s="26">
        <v>2808046</v>
      </c>
      <c r="D20" s="24" t="s">
        <v>49</v>
      </c>
      <c r="E20" s="35">
        <v>3</v>
      </c>
      <c r="F20" s="36" t="s">
        <v>50</v>
      </c>
      <c r="G20" s="30">
        <f>'[1]trim1_ 2023'!G20+[1]trim2_2023!G20+[1]trim3_2023!G20+[1]trim4_2023!G20</f>
        <v>148306.89000000001</v>
      </c>
      <c r="H20" s="30">
        <f>'[1]trim1_ 2023'!H20+[1]trim2_2023!H20+[1]trim3_2023!H20+[1]trim4_2023!H20</f>
        <v>35118.78</v>
      </c>
      <c r="I20" s="30">
        <f>'[1]trim1_ 2023'!I20+[1]trim2_2023!I20+[1]trim3_2023!I20+[1]trim4_2023!I20</f>
        <v>393757.82</v>
      </c>
      <c r="J20" s="30">
        <f>'[1]trim1_ 2023'!J20+[1]trim2_2023!J20+[1]trim3_2023!J20+[1]trim4_2023!J20</f>
        <v>22500</v>
      </c>
      <c r="K20" s="30">
        <f>'[1]trim1_ 2023'!K20+[1]trim2_2023!K20+[1]trim3_2023!K20+[1]trim4_2023!K20</f>
        <v>0</v>
      </c>
      <c r="L20" s="30">
        <f t="shared" si="0"/>
        <v>22500</v>
      </c>
      <c r="M20" s="30">
        <f>'[1]trim1_ 2023'!M20+[1]trim2_2023!M20+[1]trim3_2023!M20+[1]trim4_2023!M20</f>
        <v>10192.560000000001</v>
      </c>
      <c r="N20" s="30">
        <f>'[1]trim1_ 2023'!N20+[1]trim2_2023!N20+[1]trim3_2023!N20+[1]trim4_2023!N20</f>
        <v>0</v>
      </c>
      <c r="O20" s="30">
        <f>'[1]trim1_ 2023'!O20+[1]trim2_2023!O20+[1]trim3_2023!O20+[1]trim4_2023!O20</f>
        <v>0</v>
      </c>
      <c r="P20" s="30">
        <f>'[1]trim1_ 2023'!P20+[1]trim2_2023!P20+[1]trim3_2023!P20+[1]trim4_2023!P20</f>
        <v>0</v>
      </c>
      <c r="Q20" s="30">
        <f>'[1]trim1_ 2023'!Q20+[1]trim2_2023!Q20+[1]trim3_2023!Q20+[1]trim4_2023!Q20</f>
        <v>0</v>
      </c>
      <c r="R20" s="30">
        <f>'[1]trim1_ 2023'!R20+[1]trim2_2023!R20+[1]trim3_2023!R20+[1]trim4_2023!R20</f>
        <v>0</v>
      </c>
      <c r="S20" s="30">
        <f>'[1]trim1_ 2023'!S20+[1]trim2_2023!S20+[1]trim3_2023!S20+[1]trim4_2023!S20</f>
        <v>0</v>
      </c>
      <c r="T20" s="30">
        <f>'[1]trim1_ 2023'!T20+[1]trim2_2023!T20+[1]trim3_2023!T20+[1]trim4_2023!T20</f>
        <v>0</v>
      </c>
      <c r="U20" s="30">
        <f t="shared" si="1"/>
        <v>10192.560000000001</v>
      </c>
      <c r="V20" s="31">
        <v>3</v>
      </c>
      <c r="W20" s="30">
        <f>'[1]trim1_ 2023'!W20+[1]trim2_2023!W20+[1]trim3_2023!W20+[1]trim4_2023!W20</f>
        <v>26931.1</v>
      </c>
      <c r="X20" s="30">
        <f t="shared" si="2"/>
        <v>636807.15</v>
      </c>
    </row>
    <row r="21" spans="1:24" ht="22.5">
      <c r="A21" s="25">
        <v>16</v>
      </c>
      <c r="B21" s="25">
        <v>635</v>
      </c>
      <c r="C21" s="26">
        <v>826690</v>
      </c>
      <c r="D21" s="24" t="s">
        <v>51</v>
      </c>
      <c r="E21" s="35">
        <v>4</v>
      </c>
      <c r="F21" s="36" t="s">
        <v>52</v>
      </c>
      <c r="G21" s="30">
        <f>'[1]trim1_ 2023'!G21+[1]trim2_2023!G21+[1]trim3_2023!G21+[1]trim4_2023!G21</f>
        <v>0</v>
      </c>
      <c r="H21" s="30">
        <f>'[1]trim1_ 2023'!H21+[1]trim2_2023!H21+[1]trim3_2023!H21+[1]trim4_2023!H21</f>
        <v>0</v>
      </c>
      <c r="I21" s="30">
        <f>'[1]trim1_ 2023'!I21+[1]trim2_2023!I21+[1]trim3_2023!I21+[1]trim4_2023!I21</f>
        <v>277.83</v>
      </c>
      <c r="J21" s="30">
        <f>'[1]trim1_ 2023'!J21+[1]trim2_2023!J21+[1]trim3_2023!J21+[1]trim4_2023!J21</f>
        <v>0</v>
      </c>
      <c r="K21" s="30">
        <f>'[1]trim1_ 2023'!K21+[1]trim2_2023!K21+[1]trim3_2023!K21+[1]trim4_2023!K21</f>
        <v>0</v>
      </c>
      <c r="L21" s="30">
        <f t="shared" si="0"/>
        <v>0</v>
      </c>
      <c r="M21" s="30">
        <f>'[1]trim1_ 2023'!M21+[1]trim2_2023!M21+[1]trim3_2023!M21+[1]trim4_2023!M21</f>
        <v>0</v>
      </c>
      <c r="N21" s="30">
        <f>'[1]trim1_ 2023'!N21+[1]trim2_2023!N21+[1]trim3_2023!N21+[1]trim4_2023!N21</f>
        <v>0</v>
      </c>
      <c r="O21" s="30">
        <f>'[1]trim1_ 2023'!O21+[1]trim2_2023!O21+[1]trim3_2023!O21+[1]trim4_2023!O21</f>
        <v>0</v>
      </c>
      <c r="P21" s="30">
        <f>'[1]trim1_ 2023'!P21+[1]trim2_2023!P21+[1]trim3_2023!P21+[1]trim4_2023!P21</f>
        <v>0</v>
      </c>
      <c r="Q21" s="30">
        <f>'[1]trim1_ 2023'!Q21+[1]trim2_2023!Q21+[1]trim3_2023!Q21+[1]trim4_2023!Q21</f>
        <v>0</v>
      </c>
      <c r="R21" s="30">
        <f>'[1]trim1_ 2023'!R21+[1]trim2_2023!R21+[1]trim3_2023!R21+[1]trim4_2023!R21</f>
        <v>0</v>
      </c>
      <c r="S21" s="30">
        <f>'[1]trim1_ 2023'!S21+[1]trim2_2023!S21+[1]trim3_2023!S21+[1]trim4_2023!S21</f>
        <v>0</v>
      </c>
      <c r="T21" s="30">
        <f>'[1]trim1_ 2023'!T21+[1]trim2_2023!T21+[1]trim3_2023!T21+[1]trim4_2023!T21</f>
        <v>0</v>
      </c>
      <c r="U21" s="30">
        <f t="shared" si="1"/>
        <v>0</v>
      </c>
      <c r="V21" s="31">
        <v>4</v>
      </c>
      <c r="W21" s="30">
        <f>'[1]trim1_ 2023'!W21+[1]trim2_2023!W21+[1]trim3_2023!W21+[1]trim4_2023!W21</f>
        <v>0</v>
      </c>
      <c r="X21" s="30">
        <f t="shared" si="2"/>
        <v>277.83</v>
      </c>
    </row>
    <row r="22" spans="1:24" ht="33.75">
      <c r="A22" s="25">
        <v>17</v>
      </c>
      <c r="B22" s="25">
        <v>751</v>
      </c>
      <c r="C22" s="33">
        <v>34655196</v>
      </c>
      <c r="D22" s="24" t="s">
        <v>53</v>
      </c>
      <c r="E22" s="35">
        <f>1+1</f>
        <v>2</v>
      </c>
      <c r="F22" s="36" t="s">
        <v>54</v>
      </c>
      <c r="G22" s="30">
        <f>'[1]trim1_ 2023'!G22+[1]trim2_2023!G22+[1]trim3_2023!G22+[1]trim4_2023!G22</f>
        <v>0</v>
      </c>
      <c r="H22" s="30">
        <f>'[1]trim1_ 2023'!H22+[1]trim2_2023!H22+[1]trim3_2023!H22+[1]trim4_2023!H22</f>
        <v>0</v>
      </c>
      <c r="I22" s="30">
        <f>'[1]trim1_ 2023'!I22+[1]trim2_2023!I22+[1]trim3_2023!I22+[1]trim4_2023!I22</f>
        <v>1813.5900000000001</v>
      </c>
      <c r="J22" s="30">
        <f>'[1]trim1_ 2023'!J22+[1]trim2_2023!J22+[1]trim3_2023!J22+[1]trim4_2023!J22</f>
        <v>0</v>
      </c>
      <c r="K22" s="30">
        <f>'[1]trim1_ 2023'!K22+[1]trim2_2023!K22+[1]trim3_2023!K22+[1]trim4_2023!K22</f>
        <v>0</v>
      </c>
      <c r="L22" s="30">
        <f t="shared" si="0"/>
        <v>0</v>
      </c>
      <c r="M22" s="30">
        <f>'[1]trim1_ 2023'!M22+[1]trim2_2023!M22+[1]trim3_2023!M22+[1]trim4_2023!M22</f>
        <v>0</v>
      </c>
      <c r="N22" s="30">
        <f>'[1]trim1_ 2023'!N22+[1]trim2_2023!N22+[1]trim3_2023!N22+[1]trim4_2023!N22</f>
        <v>0</v>
      </c>
      <c r="O22" s="30">
        <f>'[1]trim1_ 2023'!O22+[1]trim2_2023!O22+[1]trim3_2023!O22+[1]trim4_2023!O22</f>
        <v>0</v>
      </c>
      <c r="P22" s="30">
        <f>'[1]trim1_ 2023'!P22+[1]trim2_2023!P22+[1]trim3_2023!P22+[1]trim4_2023!P22</f>
        <v>0</v>
      </c>
      <c r="Q22" s="30">
        <f>'[1]trim1_ 2023'!Q22+[1]trim2_2023!Q22+[1]trim3_2023!Q22+[1]trim4_2023!Q22</f>
        <v>0</v>
      </c>
      <c r="R22" s="30">
        <f>'[1]trim1_ 2023'!R22+[1]trim2_2023!R22+[1]trim3_2023!R22+[1]trim4_2023!R22</f>
        <v>0</v>
      </c>
      <c r="S22" s="30">
        <f>'[1]trim1_ 2023'!S22+[1]trim2_2023!S22+[1]trim3_2023!S22+[1]trim4_2023!S22</f>
        <v>0</v>
      </c>
      <c r="T22" s="30">
        <f>'[1]trim1_ 2023'!T22+[1]trim2_2023!T22+[1]trim3_2023!T22+[1]trim4_2023!T22</f>
        <v>0</v>
      </c>
      <c r="U22" s="30">
        <f t="shared" si="1"/>
        <v>0</v>
      </c>
      <c r="V22" s="31">
        <f>1+1</f>
        <v>2</v>
      </c>
      <c r="W22" s="30">
        <f>'[1]trim1_ 2023'!W22+[1]trim2_2023!W22+[1]trim3_2023!W22+[1]trim4_2023!W22</f>
        <v>0</v>
      </c>
      <c r="X22" s="30">
        <f t="shared" si="2"/>
        <v>1813.5900000000001</v>
      </c>
    </row>
    <row r="23" spans="1:24" ht="33.75">
      <c r="A23" s="25">
        <v>18</v>
      </c>
      <c r="B23" s="25">
        <v>685</v>
      </c>
      <c r="C23" s="33">
        <v>26401588</v>
      </c>
      <c r="D23" s="24" t="s">
        <v>55</v>
      </c>
      <c r="E23" s="35">
        <v>1</v>
      </c>
      <c r="F23" s="36" t="s">
        <v>56</v>
      </c>
      <c r="G23" s="30">
        <f>'[1]trim1_ 2023'!G23+[1]trim2_2023!G23+[1]trim3_2023!G23+[1]trim4_2023!G23</f>
        <v>0</v>
      </c>
      <c r="H23" s="30">
        <f>'[1]trim1_ 2023'!H23+[1]trim2_2023!H23+[1]trim3_2023!H23+[1]trim4_2023!H23</f>
        <v>0</v>
      </c>
      <c r="I23" s="30">
        <f>'[1]trim1_ 2023'!I23+[1]trim2_2023!I23+[1]trim3_2023!I23+[1]trim4_2023!I23</f>
        <v>8192.02</v>
      </c>
      <c r="J23" s="30">
        <f>'[1]trim1_ 2023'!J23+[1]trim2_2023!J23+[1]trim3_2023!J23+[1]trim4_2023!J23</f>
        <v>0</v>
      </c>
      <c r="K23" s="30">
        <f>'[1]trim1_ 2023'!K23+[1]trim2_2023!K23+[1]trim3_2023!K23+[1]trim4_2023!K23</f>
        <v>0</v>
      </c>
      <c r="L23" s="30">
        <f t="shared" si="0"/>
        <v>0</v>
      </c>
      <c r="M23" s="30">
        <f>'[1]trim1_ 2023'!M23+[1]trim2_2023!M23+[1]trim3_2023!M23+[1]trim4_2023!M23</f>
        <v>0</v>
      </c>
      <c r="N23" s="30">
        <f>'[1]trim1_ 2023'!N23+[1]trim2_2023!N23+[1]trim3_2023!N23+[1]trim4_2023!N23</f>
        <v>0</v>
      </c>
      <c r="O23" s="30">
        <f>'[1]trim1_ 2023'!O23+[1]trim2_2023!O23+[1]trim3_2023!O23+[1]trim4_2023!O23</f>
        <v>0</v>
      </c>
      <c r="P23" s="30">
        <f>'[1]trim1_ 2023'!P23+[1]trim2_2023!P23+[1]trim3_2023!P23+[1]trim4_2023!P23</f>
        <v>0</v>
      </c>
      <c r="Q23" s="30">
        <f>'[1]trim1_ 2023'!Q23+[1]trim2_2023!Q23+[1]trim3_2023!Q23+[1]trim4_2023!Q23</f>
        <v>0</v>
      </c>
      <c r="R23" s="30">
        <f>'[1]trim1_ 2023'!R23+[1]trim2_2023!R23+[1]trim3_2023!R23+[1]trim4_2023!R23</f>
        <v>0</v>
      </c>
      <c r="S23" s="30">
        <f>'[1]trim1_ 2023'!S23+[1]trim2_2023!S23+[1]trim3_2023!S23+[1]trim4_2023!S23</f>
        <v>0</v>
      </c>
      <c r="T23" s="30">
        <f>'[1]trim1_ 2023'!T23+[1]trim2_2023!T23+[1]trim3_2023!T23+[1]trim4_2023!T23</f>
        <v>0</v>
      </c>
      <c r="U23" s="30">
        <f t="shared" si="1"/>
        <v>0</v>
      </c>
      <c r="V23" s="31">
        <v>1</v>
      </c>
      <c r="W23" s="30">
        <f>'[1]trim1_ 2023'!W23+[1]trim2_2023!W23+[1]trim3_2023!W23+[1]trim4_2023!W23</f>
        <v>0</v>
      </c>
      <c r="X23" s="30">
        <f t="shared" si="2"/>
        <v>8192.02</v>
      </c>
    </row>
    <row r="24" spans="1:24" ht="22.5">
      <c r="A24" s="25">
        <v>19</v>
      </c>
      <c r="B24" s="37">
        <v>637</v>
      </c>
      <c r="C24" s="33">
        <v>5167485</v>
      </c>
      <c r="D24" s="24" t="s">
        <v>57</v>
      </c>
      <c r="E24" s="35">
        <v>3</v>
      </c>
      <c r="F24" s="36" t="s">
        <v>58</v>
      </c>
      <c r="G24" s="30">
        <f>'[1]trim1_ 2023'!G24+[1]trim2_2023!G24+[1]trim3_2023!G24+[1]trim4_2023!G24</f>
        <v>46864.75</v>
      </c>
      <c r="H24" s="30">
        <f>'[1]trim1_ 2023'!H24+[1]trim2_2023!H24+[1]trim3_2023!H24+[1]trim4_2023!H24</f>
        <v>1033.8499999999999</v>
      </c>
      <c r="I24" s="30">
        <f>'[1]trim1_ 2023'!I24+[1]trim2_2023!I24+[1]trim3_2023!I24+[1]trim4_2023!I24</f>
        <v>1064018.9100000001</v>
      </c>
      <c r="J24" s="30">
        <f>'[1]trim1_ 2023'!J24+[1]trim2_2023!J24+[1]trim3_2023!J24+[1]trim4_2023!J24</f>
        <v>89064</v>
      </c>
      <c r="K24" s="30">
        <f>'[1]trim1_ 2023'!K24+[1]trim2_2023!K24+[1]trim3_2023!K24+[1]trim4_2023!K24</f>
        <v>11040</v>
      </c>
      <c r="L24" s="30">
        <f t="shared" si="0"/>
        <v>100104</v>
      </c>
      <c r="M24" s="30">
        <f>'[1]trim1_ 2023'!M24+[1]trim2_2023!M24+[1]trim3_2023!M24+[1]trim4_2023!M24</f>
        <v>0</v>
      </c>
      <c r="N24" s="30">
        <f>'[1]trim1_ 2023'!N24+[1]trim2_2023!N24+[1]trim3_2023!N24+[1]trim4_2023!N24</f>
        <v>0</v>
      </c>
      <c r="O24" s="30">
        <f>'[1]trim1_ 2023'!O24+[1]trim2_2023!O24+[1]trim3_2023!O24+[1]trim4_2023!O24</f>
        <v>0</v>
      </c>
      <c r="P24" s="30">
        <f>'[1]trim1_ 2023'!P24+[1]trim2_2023!P24+[1]trim3_2023!P24+[1]trim4_2023!P24</f>
        <v>0</v>
      </c>
      <c r="Q24" s="30">
        <f>'[1]trim1_ 2023'!Q24+[1]trim2_2023!Q24+[1]trim3_2023!Q24+[1]trim4_2023!Q24</f>
        <v>0</v>
      </c>
      <c r="R24" s="30">
        <f>'[1]trim1_ 2023'!R24+[1]trim2_2023!R24+[1]trim3_2023!R24+[1]trim4_2023!R24</f>
        <v>0</v>
      </c>
      <c r="S24" s="30">
        <f>'[1]trim1_ 2023'!S24+[1]trim2_2023!S24+[1]trim3_2023!S24+[1]trim4_2023!S24</f>
        <v>0</v>
      </c>
      <c r="T24" s="30">
        <f>'[1]trim1_ 2023'!T24+[1]trim2_2023!T24+[1]trim3_2023!T24+[1]trim4_2023!T24</f>
        <v>0</v>
      </c>
      <c r="U24" s="30">
        <f t="shared" si="1"/>
        <v>0</v>
      </c>
      <c r="V24" s="31">
        <v>3</v>
      </c>
      <c r="W24" s="30">
        <f>'[1]trim1_ 2023'!W24+[1]trim2_2023!W24+[1]trim3_2023!W24+[1]trim4_2023!W24</f>
        <v>0</v>
      </c>
      <c r="X24" s="30">
        <f t="shared" si="2"/>
        <v>1212021.5100000002</v>
      </c>
    </row>
    <row r="25" spans="1:24" ht="33.75">
      <c r="A25" s="25">
        <v>21</v>
      </c>
      <c r="B25" s="25">
        <v>726</v>
      </c>
      <c r="C25" s="26">
        <v>17014841</v>
      </c>
      <c r="D25" s="24" t="s">
        <v>59</v>
      </c>
      <c r="E25" s="35">
        <v>2</v>
      </c>
      <c r="F25" s="38" t="s">
        <v>60</v>
      </c>
      <c r="G25" s="30">
        <f>'[1]trim1_ 2023'!G25+[1]trim2_2023!G25+[1]trim3_2023!G25+[1]trim4_2023!G25</f>
        <v>0</v>
      </c>
      <c r="H25" s="30">
        <f>'[1]trim1_ 2023'!H25+[1]trim2_2023!H25+[1]trim3_2023!H25+[1]trim4_2023!H25</f>
        <v>0</v>
      </c>
      <c r="I25" s="30">
        <f>'[1]trim1_ 2023'!I25+[1]trim2_2023!I25+[1]trim3_2023!I25+[1]trim4_2023!I25</f>
        <v>21154.07</v>
      </c>
      <c r="J25" s="30">
        <f>'[1]trim1_ 2023'!J25+[1]trim2_2023!J25+[1]trim3_2023!J25+[1]trim4_2023!J25</f>
        <v>0</v>
      </c>
      <c r="K25" s="30">
        <f>'[1]trim1_ 2023'!K25+[1]trim2_2023!K25+[1]trim3_2023!K25+[1]trim4_2023!K25</f>
        <v>0</v>
      </c>
      <c r="L25" s="30">
        <f t="shared" si="0"/>
        <v>0</v>
      </c>
      <c r="M25" s="30">
        <f>'[1]trim1_ 2023'!M25+[1]trim2_2023!M25+[1]trim3_2023!M25+[1]trim4_2023!M25</f>
        <v>0</v>
      </c>
      <c r="N25" s="30">
        <f>'[1]trim1_ 2023'!N25+[1]trim2_2023!N25+[1]trim3_2023!N25+[1]trim4_2023!N25</f>
        <v>0</v>
      </c>
      <c r="O25" s="30">
        <f>'[1]trim1_ 2023'!O25+[1]trim2_2023!O25+[1]trim3_2023!O25+[1]trim4_2023!O25</f>
        <v>0</v>
      </c>
      <c r="P25" s="30">
        <f>'[1]trim1_ 2023'!P25+[1]trim2_2023!P25+[1]trim3_2023!P25+[1]trim4_2023!P25</f>
        <v>0</v>
      </c>
      <c r="Q25" s="30">
        <f>'[1]trim1_ 2023'!Q25+[1]trim2_2023!Q25+[1]trim3_2023!Q25+[1]trim4_2023!Q25</f>
        <v>0</v>
      </c>
      <c r="R25" s="30">
        <f>'[1]trim1_ 2023'!R25+[1]trim2_2023!R25+[1]trim3_2023!R25+[1]trim4_2023!R25</f>
        <v>0</v>
      </c>
      <c r="S25" s="30">
        <f>'[1]trim1_ 2023'!S25+[1]trim2_2023!S25+[1]trim3_2023!S25+[1]trim4_2023!S25</f>
        <v>0</v>
      </c>
      <c r="T25" s="30">
        <f>'[1]trim1_ 2023'!T25+[1]trim2_2023!T25+[1]trim3_2023!T25+[1]trim4_2023!T25</f>
        <v>0</v>
      </c>
      <c r="U25" s="30">
        <f t="shared" si="1"/>
        <v>0</v>
      </c>
      <c r="V25" s="39">
        <v>2</v>
      </c>
      <c r="W25" s="30">
        <f>'[1]trim1_ 2023'!W25+[1]trim2_2023!W25+[1]trim3_2023!W25+[1]trim4_2023!W25</f>
        <v>0</v>
      </c>
      <c r="X25" s="30">
        <f t="shared" si="2"/>
        <v>21154.07</v>
      </c>
    </row>
    <row r="26" spans="1:24" ht="22.5">
      <c r="A26" s="25">
        <v>23</v>
      </c>
      <c r="B26" s="25">
        <v>642</v>
      </c>
      <c r="C26" s="33">
        <v>835737</v>
      </c>
      <c r="D26" s="24" t="s">
        <v>61</v>
      </c>
      <c r="E26" s="35">
        <v>1</v>
      </c>
      <c r="F26" s="36" t="s">
        <v>62</v>
      </c>
      <c r="G26" s="30">
        <f>'[1]trim1_ 2023'!G26+[1]trim2_2023!G26+[1]trim3_2023!G26+[1]trim4_2023!G26</f>
        <v>1224.54</v>
      </c>
      <c r="H26" s="30">
        <f>'[1]trim1_ 2023'!H26+[1]trim2_2023!H26+[1]trim3_2023!H26+[1]trim4_2023!H26</f>
        <v>0</v>
      </c>
      <c r="I26" s="30">
        <f>'[1]trim1_ 2023'!I26+[1]trim2_2023!I26+[1]trim3_2023!I26+[1]trim4_2023!I26</f>
        <v>343585.45999999996</v>
      </c>
      <c r="J26" s="30">
        <f>'[1]trim1_ 2023'!J26+[1]trim2_2023!J26+[1]trim3_2023!J26+[1]trim4_2023!J26</f>
        <v>26160</v>
      </c>
      <c r="K26" s="30">
        <f>'[1]trim1_ 2023'!K26+[1]trim2_2023!K26+[1]trim3_2023!K26+[1]trim4_2023!K26</f>
        <v>120</v>
      </c>
      <c r="L26" s="30">
        <f t="shared" si="0"/>
        <v>26280</v>
      </c>
      <c r="M26" s="30">
        <f>'[1]trim1_ 2023'!M26+[1]trim2_2023!M26+[1]trim3_2023!M26+[1]trim4_2023!M26</f>
        <v>0</v>
      </c>
      <c r="N26" s="30">
        <f>'[1]trim1_ 2023'!N26+[1]trim2_2023!N26+[1]trim3_2023!N26+[1]trim4_2023!N26</f>
        <v>0</v>
      </c>
      <c r="O26" s="30">
        <f>'[1]trim1_ 2023'!O26+[1]trim2_2023!O26+[1]trim3_2023!O26+[1]trim4_2023!O26</f>
        <v>0</v>
      </c>
      <c r="P26" s="30">
        <f>'[1]trim1_ 2023'!P26+[1]trim2_2023!P26+[1]trim3_2023!P26+[1]trim4_2023!P26</f>
        <v>0</v>
      </c>
      <c r="Q26" s="30">
        <f>'[1]trim1_ 2023'!Q26+[1]trim2_2023!Q26+[1]trim3_2023!Q26+[1]trim4_2023!Q26</f>
        <v>0</v>
      </c>
      <c r="R26" s="30">
        <f>'[1]trim1_ 2023'!R26+[1]trim2_2023!R26+[1]trim3_2023!R26+[1]trim4_2023!R26</f>
        <v>0</v>
      </c>
      <c r="S26" s="30">
        <f>'[1]trim1_ 2023'!S26+[1]trim2_2023!S26+[1]trim3_2023!S26+[1]trim4_2023!S26</f>
        <v>0</v>
      </c>
      <c r="T26" s="30">
        <f>'[1]trim1_ 2023'!T26+[1]trim2_2023!T26+[1]trim3_2023!T26+[1]trim4_2023!T26</f>
        <v>0</v>
      </c>
      <c r="U26" s="30">
        <f t="shared" si="1"/>
        <v>0</v>
      </c>
      <c r="V26" s="31">
        <v>1</v>
      </c>
      <c r="W26" s="30">
        <f>'[1]trim1_ 2023'!W26+[1]trim2_2023!W26+[1]trim3_2023!W26+[1]trim4_2023!W26</f>
        <v>0</v>
      </c>
      <c r="X26" s="30">
        <f t="shared" si="2"/>
        <v>371089.99999999994</v>
      </c>
    </row>
    <row r="27" spans="1:24" ht="22.5">
      <c r="A27" s="25">
        <v>24</v>
      </c>
      <c r="B27" s="40">
        <v>739</v>
      </c>
      <c r="C27" s="33">
        <v>33421596</v>
      </c>
      <c r="D27" s="24" t="s">
        <v>63</v>
      </c>
      <c r="E27" s="35">
        <v>1</v>
      </c>
      <c r="F27" s="36" t="s">
        <v>64</v>
      </c>
      <c r="G27" s="30">
        <f>'[1]trim1_ 2023'!G27+[1]trim2_2023!G27+[1]trim3_2023!G27+[1]trim4_2023!G27</f>
        <v>0</v>
      </c>
      <c r="H27" s="30">
        <f>'[1]trim1_ 2023'!H27+[1]trim2_2023!H27+[1]trim3_2023!H27+[1]trim4_2023!H27</f>
        <v>0</v>
      </c>
      <c r="I27" s="30">
        <f>'[1]trim1_ 2023'!I27+[1]trim2_2023!I27+[1]trim3_2023!I27+[1]trim4_2023!I27</f>
        <v>2702.71</v>
      </c>
      <c r="J27" s="30">
        <f>'[1]trim1_ 2023'!J27+[1]trim2_2023!J27+[1]trim3_2023!J27+[1]trim4_2023!J27</f>
        <v>0</v>
      </c>
      <c r="K27" s="30">
        <f>'[1]trim1_ 2023'!K27+[1]trim2_2023!K27+[1]trim3_2023!K27+[1]trim4_2023!K27</f>
        <v>0</v>
      </c>
      <c r="L27" s="30">
        <f t="shared" si="0"/>
        <v>0</v>
      </c>
      <c r="M27" s="30">
        <f>'[1]trim1_ 2023'!M27+[1]trim2_2023!M27+[1]trim3_2023!M27+[1]trim4_2023!M27</f>
        <v>0</v>
      </c>
      <c r="N27" s="30">
        <f>'[1]trim1_ 2023'!N27+[1]trim2_2023!N27+[1]trim3_2023!N27+[1]trim4_2023!N27</f>
        <v>0</v>
      </c>
      <c r="O27" s="30">
        <f>'[1]trim1_ 2023'!O27+[1]trim2_2023!O27+[1]trim3_2023!O27+[1]trim4_2023!O27</f>
        <v>0</v>
      </c>
      <c r="P27" s="30">
        <f>'[1]trim1_ 2023'!P27+[1]trim2_2023!P27+[1]trim3_2023!P27+[1]trim4_2023!P27</f>
        <v>0</v>
      </c>
      <c r="Q27" s="30">
        <f>'[1]trim1_ 2023'!Q27+[1]trim2_2023!Q27+[1]trim3_2023!Q27+[1]trim4_2023!Q27</f>
        <v>0</v>
      </c>
      <c r="R27" s="30">
        <f>'[1]trim1_ 2023'!R27+[1]trim2_2023!R27+[1]trim3_2023!R27+[1]trim4_2023!R27</f>
        <v>0</v>
      </c>
      <c r="S27" s="30">
        <f>'[1]trim1_ 2023'!S27+[1]trim2_2023!S27+[1]trim3_2023!S27+[1]trim4_2023!S27</f>
        <v>0</v>
      </c>
      <c r="T27" s="30">
        <f>'[1]trim1_ 2023'!T27+[1]trim2_2023!T27+[1]trim3_2023!T27+[1]trim4_2023!T27</f>
        <v>0</v>
      </c>
      <c r="U27" s="30">
        <f t="shared" si="1"/>
        <v>0</v>
      </c>
      <c r="V27" s="31">
        <v>1</v>
      </c>
      <c r="W27" s="30">
        <f>'[1]trim1_ 2023'!W27+[1]trim2_2023!W27+[1]trim3_2023!W27+[1]trim4_2023!W27</f>
        <v>0</v>
      </c>
      <c r="X27" s="30">
        <f t="shared" si="2"/>
        <v>2702.71</v>
      </c>
    </row>
    <row r="28" spans="1:24" ht="33.75">
      <c r="A28" s="25">
        <v>25</v>
      </c>
      <c r="B28" s="25">
        <v>686</v>
      </c>
      <c r="C28" s="26">
        <v>17154268</v>
      </c>
      <c r="D28" s="24" t="s">
        <v>65</v>
      </c>
      <c r="E28" s="35">
        <v>10</v>
      </c>
      <c r="F28" s="36" t="s">
        <v>66</v>
      </c>
      <c r="G28" s="30">
        <f>'[1]trim1_ 2023'!G28+[1]trim2_2023!G28+[1]trim3_2023!G28+[1]trim4_2023!G28</f>
        <v>2088031.3499999999</v>
      </c>
      <c r="H28" s="30">
        <f>'[1]trim1_ 2023'!H28+[1]trim2_2023!H28+[1]trim3_2023!H28+[1]trim4_2023!H28</f>
        <v>165996.97</v>
      </c>
      <c r="I28" s="30">
        <f>'[1]trim1_ 2023'!I28+[1]trim2_2023!I28+[1]trim3_2023!I28+[1]trim4_2023!I28</f>
        <v>8079536.4700000007</v>
      </c>
      <c r="J28" s="30">
        <f>'[1]trim1_ 2023'!J28+[1]trim2_2023!J28+[1]trim3_2023!J28+[1]trim4_2023!J28</f>
        <v>555600</v>
      </c>
      <c r="K28" s="30">
        <f>'[1]trim1_ 2023'!K28+[1]trim2_2023!K28+[1]trim3_2023!K28+[1]trim4_2023!K28</f>
        <v>14160</v>
      </c>
      <c r="L28" s="30">
        <f t="shared" si="0"/>
        <v>569760</v>
      </c>
      <c r="M28" s="30">
        <f>'[1]trim1_ 2023'!M28+[1]trim2_2023!M28+[1]trim3_2023!M28+[1]trim4_2023!M28</f>
        <v>6817.41</v>
      </c>
      <c r="N28" s="30">
        <f>'[1]trim1_ 2023'!N28+[1]trim2_2023!N28+[1]trim3_2023!N28+[1]trim4_2023!N28</f>
        <v>0</v>
      </c>
      <c r="O28" s="30">
        <f>'[1]trim1_ 2023'!O28+[1]trim2_2023!O28+[1]trim3_2023!O28+[1]trim4_2023!O28</f>
        <v>84304.2</v>
      </c>
      <c r="P28" s="30">
        <f>'[1]trim1_ 2023'!P28+[1]trim2_2023!P28+[1]trim3_2023!P28+[1]trim4_2023!P28</f>
        <v>6174.5399999999991</v>
      </c>
      <c r="Q28" s="30">
        <f>'[1]trim1_ 2023'!Q28+[1]trim2_2023!Q28+[1]trim3_2023!Q28+[1]trim4_2023!Q28</f>
        <v>83845.989999999991</v>
      </c>
      <c r="R28" s="30">
        <f>'[1]trim1_ 2023'!R28+[1]trim2_2023!R28+[1]trim3_2023!R28+[1]trim4_2023!R28</f>
        <v>0</v>
      </c>
      <c r="S28" s="30">
        <f>'[1]trim1_ 2023'!S28+[1]trim2_2023!S28+[1]trim3_2023!S28+[1]trim4_2023!S28</f>
        <v>0</v>
      </c>
      <c r="T28" s="30">
        <f>'[1]trim1_ 2023'!T28+[1]trim2_2023!T28+[1]trim3_2023!T28+[1]trim4_2023!T28</f>
        <v>27253.260000000002</v>
      </c>
      <c r="U28" s="30">
        <f t="shared" si="1"/>
        <v>208395.4</v>
      </c>
      <c r="V28" s="31">
        <v>10</v>
      </c>
      <c r="W28" s="30">
        <f>'[1]trim1_ 2023'!W28+[1]trim2_2023!W28+[1]trim3_2023!W28+[1]trim4_2023!W28</f>
        <v>182459.13</v>
      </c>
      <c r="X28" s="30">
        <f t="shared" si="2"/>
        <v>11294179.32</v>
      </c>
    </row>
    <row r="29" spans="1:24" ht="45">
      <c r="A29" s="25">
        <v>26</v>
      </c>
      <c r="B29" s="25">
        <v>658</v>
      </c>
      <c r="C29" s="26">
        <v>16696163</v>
      </c>
      <c r="D29" s="24" t="s">
        <v>67</v>
      </c>
      <c r="E29" s="35">
        <v>1</v>
      </c>
      <c r="F29" s="36" t="s">
        <v>68</v>
      </c>
      <c r="G29" s="30">
        <f>'[1]trim1_ 2023'!G29+[1]trim2_2023!G29+[1]trim3_2023!G29+[1]trim4_2023!G29</f>
        <v>0</v>
      </c>
      <c r="H29" s="30">
        <f>'[1]trim1_ 2023'!H29+[1]trim2_2023!H29+[1]trim3_2023!H29+[1]trim4_2023!H29</f>
        <v>0</v>
      </c>
      <c r="I29" s="30">
        <f>'[1]trim1_ 2023'!I29+[1]trim2_2023!I29+[1]trim3_2023!I29+[1]trim4_2023!I29</f>
        <v>1106.29</v>
      </c>
      <c r="J29" s="30">
        <f>'[1]trim1_ 2023'!J29+[1]trim2_2023!J29+[1]trim3_2023!J29+[1]trim4_2023!J29</f>
        <v>0</v>
      </c>
      <c r="K29" s="30">
        <f>'[1]trim1_ 2023'!K29+[1]trim2_2023!K29+[1]trim3_2023!K29+[1]trim4_2023!K29</f>
        <v>0</v>
      </c>
      <c r="L29" s="30">
        <f t="shared" si="0"/>
        <v>0</v>
      </c>
      <c r="M29" s="30">
        <f>'[1]trim1_ 2023'!M29+[1]trim2_2023!M29+[1]trim3_2023!M29+[1]trim4_2023!M29</f>
        <v>0</v>
      </c>
      <c r="N29" s="30">
        <f>'[1]trim1_ 2023'!N29+[1]trim2_2023!N29+[1]trim3_2023!N29+[1]trim4_2023!N29</f>
        <v>0</v>
      </c>
      <c r="O29" s="30">
        <f>'[1]trim1_ 2023'!O29+[1]trim2_2023!O29+[1]trim3_2023!O29+[1]trim4_2023!O29</f>
        <v>0</v>
      </c>
      <c r="P29" s="30">
        <f>'[1]trim1_ 2023'!P29+[1]trim2_2023!P29+[1]trim3_2023!P29+[1]trim4_2023!P29</f>
        <v>0</v>
      </c>
      <c r="Q29" s="30">
        <f>'[1]trim1_ 2023'!Q29+[1]trim2_2023!Q29+[1]trim3_2023!Q29+[1]trim4_2023!Q29</f>
        <v>0</v>
      </c>
      <c r="R29" s="30">
        <f>'[1]trim1_ 2023'!R29+[1]trim2_2023!R29+[1]trim3_2023!R29+[1]trim4_2023!R29</f>
        <v>0</v>
      </c>
      <c r="S29" s="30">
        <f>'[1]trim1_ 2023'!S29+[1]trim2_2023!S29+[1]trim3_2023!S29+[1]trim4_2023!S29</f>
        <v>0</v>
      </c>
      <c r="T29" s="30">
        <f>'[1]trim1_ 2023'!T29+[1]trim2_2023!T29+[1]trim3_2023!T29+[1]trim4_2023!T29</f>
        <v>0</v>
      </c>
      <c r="U29" s="30">
        <f t="shared" si="1"/>
        <v>0</v>
      </c>
      <c r="V29" s="31">
        <v>0</v>
      </c>
      <c r="W29" s="30">
        <f>'[1]trim1_ 2023'!W29+[1]trim2_2023!W29+[1]trim3_2023!W29+[1]trim4_2023!W29</f>
        <v>0</v>
      </c>
      <c r="X29" s="30">
        <f t="shared" si="2"/>
        <v>1106.29</v>
      </c>
    </row>
    <row r="30" spans="1:24" ht="22.5">
      <c r="A30" s="25">
        <v>27</v>
      </c>
      <c r="B30" s="25">
        <v>767</v>
      </c>
      <c r="C30" s="26">
        <v>38447929</v>
      </c>
      <c r="D30" s="24" t="s">
        <v>69</v>
      </c>
      <c r="E30" s="35">
        <v>1</v>
      </c>
      <c r="F30" s="36" t="s">
        <v>70</v>
      </c>
      <c r="G30" s="30">
        <f>'[1]trim1_ 2023'!G30+[1]trim2_2023!G30+[1]trim3_2023!G30+[1]trim4_2023!G30</f>
        <v>100.16999999999999</v>
      </c>
      <c r="H30" s="30">
        <f>'[1]trim1_ 2023'!H30+[1]trim2_2023!H30+[1]trim3_2023!H30+[1]trim4_2023!H30</f>
        <v>0</v>
      </c>
      <c r="I30" s="30">
        <f>'[1]trim1_ 2023'!I30+[1]trim2_2023!I30+[1]trim3_2023!I30+[1]trim4_2023!I30</f>
        <v>23550.699999999997</v>
      </c>
      <c r="J30" s="30">
        <f>'[1]trim1_ 2023'!J30+[1]trim2_2023!J30+[1]trim3_2023!J30+[1]trim4_2023!J30</f>
        <v>1920</v>
      </c>
      <c r="K30" s="30">
        <f>'[1]trim1_ 2023'!K30+[1]trim2_2023!K30+[1]trim3_2023!K30+[1]trim4_2023!K30</f>
        <v>0</v>
      </c>
      <c r="L30" s="30">
        <f t="shared" si="0"/>
        <v>1920</v>
      </c>
      <c r="M30" s="30">
        <f>'[1]trim1_ 2023'!M30+[1]trim2_2023!M30+[1]trim3_2023!M30+[1]trim4_2023!M30</f>
        <v>0</v>
      </c>
      <c r="N30" s="30">
        <f>'[1]trim1_ 2023'!N30+[1]trim2_2023!N30+[1]trim3_2023!N30+[1]trim4_2023!N30</f>
        <v>0</v>
      </c>
      <c r="O30" s="30">
        <f>'[1]trim1_ 2023'!O30+[1]trim2_2023!O30+[1]trim3_2023!O30+[1]trim4_2023!O30</f>
        <v>0</v>
      </c>
      <c r="P30" s="30">
        <f>'[1]trim1_ 2023'!P30+[1]trim2_2023!P30+[1]trim3_2023!P30+[1]trim4_2023!P30</f>
        <v>0</v>
      </c>
      <c r="Q30" s="30">
        <f>'[1]trim1_ 2023'!Q30+[1]trim2_2023!Q30+[1]trim3_2023!Q30+[1]trim4_2023!Q30</f>
        <v>0</v>
      </c>
      <c r="R30" s="30">
        <f>'[1]trim1_ 2023'!R30+[1]trim2_2023!R30+[1]trim3_2023!R30+[1]trim4_2023!R30</f>
        <v>0</v>
      </c>
      <c r="S30" s="30">
        <f>'[1]trim1_ 2023'!S30+[1]trim2_2023!S30+[1]trim3_2023!S30+[1]trim4_2023!S30</f>
        <v>0</v>
      </c>
      <c r="T30" s="30">
        <f>'[1]trim1_ 2023'!T30+[1]trim2_2023!T30+[1]trim3_2023!T30+[1]trim4_2023!T30</f>
        <v>0</v>
      </c>
      <c r="U30" s="30">
        <f t="shared" si="1"/>
        <v>0</v>
      </c>
      <c r="V30" s="31">
        <v>1</v>
      </c>
      <c r="W30" s="30">
        <f>'[1]trim1_ 2023'!W30+[1]trim2_2023!W30+[1]trim3_2023!W30+[1]trim4_2023!W30</f>
        <v>0</v>
      </c>
      <c r="X30" s="30">
        <f t="shared" si="2"/>
        <v>25570.869999999995</v>
      </c>
    </row>
    <row r="31" spans="1:24" ht="33.75">
      <c r="A31" s="25">
        <v>28</v>
      </c>
      <c r="B31" s="25">
        <v>678</v>
      </c>
      <c r="C31" s="26">
        <v>35315710</v>
      </c>
      <c r="D31" s="24" t="s">
        <v>71</v>
      </c>
      <c r="E31" s="35">
        <v>2</v>
      </c>
      <c r="F31" s="36" t="s">
        <v>72</v>
      </c>
      <c r="G31" s="30">
        <f>'[1]trim1_ 2023'!G31+[1]trim2_2023!G31+[1]trim3_2023!G31+[1]trim4_2023!G31</f>
        <v>11773</v>
      </c>
      <c r="H31" s="30">
        <f>'[1]trim1_ 2023'!H31+[1]trim2_2023!H31+[1]trim3_2023!H31+[1]trim4_2023!H31</f>
        <v>0</v>
      </c>
      <c r="I31" s="30">
        <f>'[1]trim1_ 2023'!I31+[1]trim2_2023!I31+[1]trim3_2023!I31+[1]trim4_2023!I31</f>
        <v>204586.19999999998</v>
      </c>
      <c r="J31" s="30">
        <f>'[1]trim1_ 2023'!J31+[1]trim2_2023!J31+[1]trim3_2023!J31+[1]trim4_2023!J31</f>
        <v>15600</v>
      </c>
      <c r="K31" s="30">
        <f>'[1]trim1_ 2023'!K31+[1]trim2_2023!K31+[1]trim3_2023!K31+[1]trim4_2023!K31</f>
        <v>120</v>
      </c>
      <c r="L31" s="30">
        <f t="shared" si="0"/>
        <v>15720</v>
      </c>
      <c r="M31" s="30">
        <f>'[1]trim1_ 2023'!M31+[1]trim2_2023!M31+[1]trim3_2023!M31+[1]trim4_2023!M31</f>
        <v>0</v>
      </c>
      <c r="N31" s="30">
        <f>'[1]trim1_ 2023'!N31+[1]trim2_2023!N31+[1]trim3_2023!N31+[1]trim4_2023!N31</f>
        <v>0</v>
      </c>
      <c r="O31" s="30">
        <f>'[1]trim1_ 2023'!O31+[1]trim2_2023!O31+[1]trim3_2023!O31+[1]trim4_2023!O31</f>
        <v>0</v>
      </c>
      <c r="P31" s="30">
        <f>'[1]trim1_ 2023'!P31+[1]trim2_2023!P31+[1]trim3_2023!P31+[1]trim4_2023!P31</f>
        <v>0</v>
      </c>
      <c r="Q31" s="30">
        <f>'[1]trim1_ 2023'!Q31+[1]trim2_2023!Q31+[1]trim3_2023!Q31+[1]trim4_2023!Q31</f>
        <v>0</v>
      </c>
      <c r="R31" s="30">
        <f>'[1]trim1_ 2023'!R31+[1]trim2_2023!R31+[1]trim3_2023!R31+[1]trim4_2023!R31</f>
        <v>0</v>
      </c>
      <c r="S31" s="30">
        <f>'[1]trim1_ 2023'!S31+[1]trim2_2023!S31+[1]trim3_2023!S31+[1]trim4_2023!S31</f>
        <v>0</v>
      </c>
      <c r="T31" s="30">
        <f>'[1]trim1_ 2023'!T31+[1]trim2_2023!T31+[1]trim3_2023!T31+[1]trim4_2023!T31</f>
        <v>0</v>
      </c>
      <c r="U31" s="30">
        <f t="shared" si="1"/>
        <v>0</v>
      </c>
      <c r="V31" s="31">
        <v>2</v>
      </c>
      <c r="W31" s="30">
        <f>'[1]trim1_ 2023'!W31+[1]trim2_2023!W31+[1]trim3_2023!W31+[1]trim4_2023!W31</f>
        <v>0</v>
      </c>
      <c r="X31" s="30">
        <f t="shared" si="2"/>
        <v>232079.19999999998</v>
      </c>
    </row>
    <row r="32" spans="1:24" ht="33.75">
      <c r="A32" s="25">
        <v>29</v>
      </c>
      <c r="B32" s="25">
        <v>645</v>
      </c>
      <c r="C32" s="26">
        <v>5560840</v>
      </c>
      <c r="D32" s="24" t="s">
        <v>73</v>
      </c>
      <c r="E32" s="35">
        <v>1</v>
      </c>
      <c r="F32" s="36" t="s">
        <v>74</v>
      </c>
      <c r="G32" s="30">
        <f>'[1]trim1_ 2023'!G32+[1]trim2_2023!G32+[1]trim3_2023!G32+[1]trim4_2023!G32</f>
        <v>3074.4300000000003</v>
      </c>
      <c r="H32" s="30">
        <f>'[1]trim1_ 2023'!H32+[1]trim2_2023!H32+[1]trim3_2023!H32+[1]trim4_2023!H32</f>
        <v>53492.579999999994</v>
      </c>
      <c r="I32" s="30">
        <f>'[1]trim1_ 2023'!I32+[1]trim2_2023!I32+[1]trim3_2023!I32+[1]trim4_2023!I32</f>
        <v>52376.759999999995</v>
      </c>
      <c r="J32" s="30">
        <f>'[1]trim1_ 2023'!J32+[1]trim2_2023!J32+[1]trim3_2023!J32+[1]trim4_2023!J32</f>
        <v>2400</v>
      </c>
      <c r="K32" s="30">
        <f>'[1]trim1_ 2023'!K32+[1]trim2_2023!K32+[1]trim3_2023!K32+[1]trim4_2023!K32</f>
        <v>0</v>
      </c>
      <c r="L32" s="30">
        <f t="shared" si="0"/>
        <v>2400</v>
      </c>
      <c r="M32" s="30">
        <f>'[1]trim1_ 2023'!M32+[1]trim2_2023!M32+[1]trim3_2023!M32+[1]trim4_2023!M32</f>
        <v>0</v>
      </c>
      <c r="N32" s="30">
        <f>'[1]trim1_ 2023'!N32+[1]trim2_2023!N32+[1]trim3_2023!N32+[1]trim4_2023!N32</f>
        <v>0</v>
      </c>
      <c r="O32" s="30">
        <f>'[1]trim1_ 2023'!O32+[1]trim2_2023!O32+[1]trim3_2023!O32+[1]trim4_2023!O32</f>
        <v>0</v>
      </c>
      <c r="P32" s="30">
        <f>'[1]trim1_ 2023'!P32+[1]trim2_2023!P32+[1]trim3_2023!P32+[1]trim4_2023!P32</f>
        <v>0</v>
      </c>
      <c r="Q32" s="30">
        <f>'[1]trim1_ 2023'!Q32+[1]trim2_2023!Q32+[1]trim3_2023!Q32+[1]trim4_2023!Q32</f>
        <v>0</v>
      </c>
      <c r="R32" s="30">
        <f>'[1]trim1_ 2023'!R32+[1]trim2_2023!R32+[1]trim3_2023!R32+[1]trim4_2023!R32</f>
        <v>0</v>
      </c>
      <c r="S32" s="30">
        <f>'[1]trim1_ 2023'!S32+[1]trim2_2023!S32+[1]trim3_2023!S32+[1]trim4_2023!S32</f>
        <v>0</v>
      </c>
      <c r="T32" s="30">
        <f>'[1]trim1_ 2023'!T32+[1]trim2_2023!T32+[1]trim3_2023!T32+[1]trim4_2023!T32</f>
        <v>0</v>
      </c>
      <c r="U32" s="30">
        <f t="shared" si="1"/>
        <v>0</v>
      </c>
      <c r="V32" s="31">
        <v>1</v>
      </c>
      <c r="W32" s="30">
        <f>'[1]trim1_ 2023'!W32+[1]trim2_2023!W32+[1]trim3_2023!W32+[1]trim4_2023!W32</f>
        <v>0</v>
      </c>
      <c r="X32" s="30">
        <f t="shared" si="2"/>
        <v>111343.76999999999</v>
      </c>
    </row>
    <row r="33" spans="1:24" ht="22.5">
      <c r="A33" s="25">
        <v>30</v>
      </c>
      <c r="B33" s="25">
        <v>648</v>
      </c>
      <c r="C33" s="26">
        <v>18979565</v>
      </c>
      <c r="D33" s="24" t="s">
        <v>75</v>
      </c>
      <c r="E33" s="35">
        <v>1</v>
      </c>
      <c r="F33" s="29" t="s">
        <v>76</v>
      </c>
      <c r="G33" s="30">
        <f>'[1]trim1_ 2023'!G33+[1]trim2_2023!G33+[1]trim3_2023!G33+[1]trim4_2023!G33</f>
        <v>0</v>
      </c>
      <c r="H33" s="30">
        <f>'[1]trim1_ 2023'!H33+[1]trim2_2023!H33+[1]trim3_2023!H33+[1]trim4_2023!H33</f>
        <v>0</v>
      </c>
      <c r="I33" s="30">
        <f>'[1]trim1_ 2023'!I33+[1]trim2_2023!I33+[1]trim3_2023!I33+[1]trim4_2023!I33</f>
        <v>18963.810000000001</v>
      </c>
      <c r="J33" s="30">
        <f>'[1]trim1_ 2023'!J33+[1]trim2_2023!J33+[1]trim3_2023!J33+[1]trim4_2023!J33</f>
        <v>480</v>
      </c>
      <c r="K33" s="30">
        <f>'[1]trim1_ 2023'!K33+[1]trim2_2023!K33+[1]trim3_2023!K33+[1]trim4_2023!K33</f>
        <v>0</v>
      </c>
      <c r="L33" s="30">
        <f t="shared" si="0"/>
        <v>480</v>
      </c>
      <c r="M33" s="30">
        <f>'[1]trim1_ 2023'!M33+[1]trim2_2023!M33+[1]trim3_2023!M33+[1]trim4_2023!M33</f>
        <v>0</v>
      </c>
      <c r="N33" s="30">
        <f>'[1]trim1_ 2023'!N33+[1]trim2_2023!N33+[1]trim3_2023!N33+[1]trim4_2023!N33</f>
        <v>0</v>
      </c>
      <c r="O33" s="30">
        <f>'[1]trim1_ 2023'!O33+[1]trim2_2023!O33+[1]trim3_2023!O33+[1]trim4_2023!O33</f>
        <v>0</v>
      </c>
      <c r="P33" s="30">
        <f>'[1]trim1_ 2023'!P33+[1]trim2_2023!P33+[1]trim3_2023!P33+[1]trim4_2023!P33</f>
        <v>0</v>
      </c>
      <c r="Q33" s="30">
        <f>'[1]trim1_ 2023'!Q33+[1]trim2_2023!Q33+[1]trim3_2023!Q33+[1]trim4_2023!Q33</f>
        <v>0</v>
      </c>
      <c r="R33" s="30">
        <f>'[1]trim1_ 2023'!R33+[1]trim2_2023!R33+[1]trim3_2023!R33+[1]trim4_2023!R33</f>
        <v>0</v>
      </c>
      <c r="S33" s="30">
        <f>'[1]trim1_ 2023'!S33+[1]trim2_2023!S33+[1]trim3_2023!S33+[1]trim4_2023!S33</f>
        <v>0</v>
      </c>
      <c r="T33" s="30">
        <f>'[1]trim1_ 2023'!T33+[1]trim2_2023!T33+[1]trim3_2023!T33+[1]trim4_2023!T33</f>
        <v>0</v>
      </c>
      <c r="U33" s="30">
        <f t="shared" si="1"/>
        <v>0</v>
      </c>
      <c r="V33" s="31">
        <v>1</v>
      </c>
      <c r="W33" s="30">
        <f>'[1]trim1_ 2023'!W33+[1]trim2_2023!W33+[1]trim3_2023!W33+[1]trim4_2023!W33</f>
        <v>0</v>
      </c>
      <c r="X33" s="30">
        <f t="shared" si="2"/>
        <v>19443.810000000001</v>
      </c>
    </row>
    <row r="34" spans="1:24" ht="22.5">
      <c r="A34" s="25">
        <v>31</v>
      </c>
      <c r="B34" s="25">
        <v>732</v>
      </c>
      <c r="C34" s="26">
        <v>32460309</v>
      </c>
      <c r="D34" s="24" t="s">
        <v>77</v>
      </c>
      <c r="E34" s="35">
        <v>1</v>
      </c>
      <c r="F34" s="29" t="s">
        <v>78</v>
      </c>
      <c r="G34" s="30">
        <f>'[1]trim1_ 2023'!G34+[1]trim2_2023!G34+[1]trim3_2023!G34+[1]trim4_2023!G34</f>
        <v>0</v>
      </c>
      <c r="H34" s="30">
        <f>'[1]trim1_ 2023'!H34+[1]trim2_2023!H34+[1]trim3_2023!H34+[1]trim4_2023!H34</f>
        <v>0</v>
      </c>
      <c r="I34" s="30">
        <f>'[1]trim1_ 2023'!I34+[1]trim2_2023!I34+[1]trim3_2023!I34+[1]trim4_2023!I34</f>
        <v>3193.37</v>
      </c>
      <c r="J34" s="30">
        <f>'[1]trim1_ 2023'!J34+[1]trim2_2023!J34+[1]trim3_2023!J34+[1]trim4_2023!J34</f>
        <v>0</v>
      </c>
      <c r="K34" s="30">
        <f>'[1]trim1_ 2023'!K34+[1]trim2_2023!K34+[1]trim3_2023!K34+[1]trim4_2023!K34</f>
        <v>0</v>
      </c>
      <c r="L34" s="30">
        <f t="shared" si="0"/>
        <v>0</v>
      </c>
      <c r="M34" s="30">
        <f>'[1]trim1_ 2023'!M34+[1]trim2_2023!M34+[1]trim3_2023!M34+[1]trim4_2023!M34</f>
        <v>0</v>
      </c>
      <c r="N34" s="30">
        <f>'[1]trim1_ 2023'!N34+[1]trim2_2023!N34+[1]trim3_2023!N34+[1]trim4_2023!N34</f>
        <v>0</v>
      </c>
      <c r="O34" s="30">
        <f>'[1]trim1_ 2023'!O34+[1]trim2_2023!O34+[1]trim3_2023!O34+[1]trim4_2023!O34</f>
        <v>0</v>
      </c>
      <c r="P34" s="30">
        <f>'[1]trim1_ 2023'!P34+[1]trim2_2023!P34+[1]trim3_2023!P34+[1]trim4_2023!P34</f>
        <v>0</v>
      </c>
      <c r="Q34" s="30">
        <f>'[1]trim1_ 2023'!Q34+[1]trim2_2023!Q34+[1]trim3_2023!Q34+[1]trim4_2023!Q34</f>
        <v>0</v>
      </c>
      <c r="R34" s="30">
        <f>'[1]trim1_ 2023'!R34+[1]trim2_2023!R34+[1]trim3_2023!R34+[1]trim4_2023!R34</f>
        <v>0</v>
      </c>
      <c r="S34" s="30">
        <f>'[1]trim1_ 2023'!S34+[1]trim2_2023!S34+[1]trim3_2023!S34+[1]trim4_2023!S34</f>
        <v>0</v>
      </c>
      <c r="T34" s="30">
        <f>'[1]trim1_ 2023'!T34+[1]trim2_2023!T34+[1]trim3_2023!T34+[1]trim4_2023!T34</f>
        <v>0</v>
      </c>
      <c r="U34" s="30">
        <f t="shared" si="1"/>
        <v>0</v>
      </c>
      <c r="V34" s="31">
        <v>1</v>
      </c>
      <c r="W34" s="30">
        <f>'[1]trim1_ 2023'!W34+[1]trim2_2023!W34+[1]trim3_2023!W34+[1]trim4_2023!W34</f>
        <v>0</v>
      </c>
      <c r="X34" s="30">
        <f t="shared" si="2"/>
        <v>3193.37</v>
      </c>
    </row>
    <row r="35" spans="1:24" ht="22.5">
      <c r="A35" s="25">
        <v>32</v>
      </c>
      <c r="B35" s="25">
        <v>728</v>
      </c>
      <c r="C35" s="26">
        <v>7818776</v>
      </c>
      <c r="D35" s="24" t="s">
        <v>79</v>
      </c>
      <c r="E35" s="28">
        <v>1</v>
      </c>
      <c r="F35" s="29" t="s">
        <v>80</v>
      </c>
      <c r="G35" s="30">
        <f>'[1]trim1_ 2023'!G35+[1]trim2_2023!G35+[1]trim3_2023!G35+[1]trim4_2023!G35</f>
        <v>0</v>
      </c>
      <c r="H35" s="30">
        <f>'[1]trim1_ 2023'!H35+[1]trim2_2023!H35+[1]trim3_2023!H35+[1]trim4_2023!H35</f>
        <v>0</v>
      </c>
      <c r="I35" s="30">
        <f>'[1]trim1_ 2023'!I35+[1]trim2_2023!I35+[1]trim3_2023!I35+[1]trim4_2023!I35</f>
        <v>1402.93</v>
      </c>
      <c r="J35" s="30">
        <f>'[1]trim1_ 2023'!J35+[1]trim2_2023!J35+[1]trim3_2023!J35+[1]trim4_2023!J35</f>
        <v>0</v>
      </c>
      <c r="K35" s="30">
        <f>'[1]trim1_ 2023'!K35+[1]trim2_2023!K35+[1]trim3_2023!K35+[1]trim4_2023!K35</f>
        <v>0</v>
      </c>
      <c r="L35" s="30">
        <f t="shared" si="0"/>
        <v>0</v>
      </c>
      <c r="M35" s="30">
        <f>'[1]trim1_ 2023'!M35+[1]trim2_2023!M35+[1]trim3_2023!M35+[1]trim4_2023!M35</f>
        <v>0</v>
      </c>
      <c r="N35" s="30">
        <f>'[1]trim1_ 2023'!N35+[1]trim2_2023!N35+[1]trim3_2023!N35+[1]trim4_2023!N35</f>
        <v>0</v>
      </c>
      <c r="O35" s="30">
        <f>'[1]trim1_ 2023'!O35+[1]trim2_2023!O35+[1]trim3_2023!O35+[1]trim4_2023!O35</f>
        <v>0</v>
      </c>
      <c r="P35" s="30">
        <f>'[1]trim1_ 2023'!P35+[1]trim2_2023!P35+[1]trim3_2023!P35+[1]trim4_2023!P35</f>
        <v>0</v>
      </c>
      <c r="Q35" s="30">
        <f>'[1]trim1_ 2023'!Q35+[1]trim2_2023!Q35+[1]trim3_2023!Q35+[1]trim4_2023!Q35</f>
        <v>0</v>
      </c>
      <c r="R35" s="30">
        <f>'[1]trim1_ 2023'!R35+[1]trim2_2023!R35+[1]trim3_2023!R35+[1]trim4_2023!R35</f>
        <v>0</v>
      </c>
      <c r="S35" s="30">
        <f>'[1]trim1_ 2023'!S35+[1]trim2_2023!S35+[1]trim3_2023!S35+[1]trim4_2023!S35</f>
        <v>0</v>
      </c>
      <c r="T35" s="30">
        <f>'[1]trim1_ 2023'!T35+[1]trim2_2023!T35+[1]trim3_2023!T35+[1]trim4_2023!T35</f>
        <v>0</v>
      </c>
      <c r="U35" s="30">
        <f t="shared" si="1"/>
        <v>0</v>
      </c>
      <c r="V35" s="32">
        <v>1</v>
      </c>
      <c r="W35" s="30">
        <f>'[1]trim1_ 2023'!W35+[1]trim2_2023!W35+[1]trim3_2023!W35+[1]trim4_2023!W35</f>
        <v>0</v>
      </c>
      <c r="X35" s="30">
        <f t="shared" si="2"/>
        <v>1402.93</v>
      </c>
    </row>
    <row r="36" spans="1:24" ht="33.75">
      <c r="A36" s="25">
        <v>33</v>
      </c>
      <c r="B36" s="25">
        <v>650</v>
      </c>
      <c r="C36" s="26">
        <v>5560912</v>
      </c>
      <c r="D36" s="24" t="s">
        <v>81</v>
      </c>
      <c r="E36" s="28">
        <v>1</v>
      </c>
      <c r="F36" s="29" t="s">
        <v>82</v>
      </c>
      <c r="G36" s="30">
        <f>'[1]trim1_ 2023'!G36+[1]trim2_2023!G36+[1]trim3_2023!G36+[1]trim4_2023!G36</f>
        <v>4456.59</v>
      </c>
      <c r="H36" s="30">
        <f>'[1]trim1_ 2023'!H36+[1]trim2_2023!H36+[1]trim3_2023!H36+[1]trim4_2023!H36</f>
        <v>0</v>
      </c>
      <c r="I36" s="30">
        <f>'[1]trim1_ 2023'!I36+[1]trim2_2023!I36+[1]trim3_2023!I36+[1]trim4_2023!I36</f>
        <v>338333.22</v>
      </c>
      <c r="J36" s="30">
        <f>'[1]trim1_ 2023'!J36+[1]trim2_2023!J36+[1]trim3_2023!J36+[1]trim4_2023!J36</f>
        <v>13740</v>
      </c>
      <c r="K36" s="30">
        <f>'[1]trim1_ 2023'!K36+[1]trim2_2023!K36+[1]trim3_2023!K36+[1]trim4_2023!K36</f>
        <v>1920</v>
      </c>
      <c r="L36" s="30">
        <f t="shared" si="0"/>
        <v>15660</v>
      </c>
      <c r="M36" s="30">
        <f>'[1]trim1_ 2023'!M36+[1]trim2_2023!M36+[1]trim3_2023!M36+[1]trim4_2023!M36</f>
        <v>0</v>
      </c>
      <c r="N36" s="30">
        <f>'[1]trim1_ 2023'!N36+[1]trim2_2023!N36+[1]trim3_2023!N36+[1]trim4_2023!N36</f>
        <v>0</v>
      </c>
      <c r="O36" s="30">
        <f>'[1]trim1_ 2023'!O36+[1]trim2_2023!O36+[1]trim3_2023!O36+[1]trim4_2023!O36</f>
        <v>0</v>
      </c>
      <c r="P36" s="30">
        <f>'[1]trim1_ 2023'!P36+[1]trim2_2023!P36+[1]trim3_2023!P36+[1]trim4_2023!P36</f>
        <v>0</v>
      </c>
      <c r="Q36" s="30">
        <f>'[1]trim1_ 2023'!Q36+[1]trim2_2023!Q36+[1]trim3_2023!Q36+[1]trim4_2023!Q36</f>
        <v>0</v>
      </c>
      <c r="R36" s="30">
        <f>'[1]trim1_ 2023'!R36+[1]trim2_2023!R36+[1]trim3_2023!R36+[1]trim4_2023!R36</f>
        <v>0</v>
      </c>
      <c r="S36" s="30">
        <f>'[1]trim1_ 2023'!S36+[1]trim2_2023!S36+[1]trim3_2023!S36+[1]trim4_2023!S36</f>
        <v>0</v>
      </c>
      <c r="T36" s="30">
        <f>'[1]trim1_ 2023'!T36+[1]trim2_2023!T36+[1]trim3_2023!T36+[1]trim4_2023!T36</f>
        <v>0</v>
      </c>
      <c r="U36" s="30">
        <f t="shared" si="1"/>
        <v>0</v>
      </c>
      <c r="V36" s="32">
        <v>0</v>
      </c>
      <c r="W36" s="30">
        <f>'[1]trim1_ 2023'!W36+[1]trim2_2023!W36+[1]trim3_2023!W36+[1]trim4_2023!W36</f>
        <v>0</v>
      </c>
      <c r="X36" s="30">
        <f t="shared" si="2"/>
        <v>358449.81</v>
      </c>
    </row>
    <row r="37" spans="1:24" ht="22.5">
      <c r="A37" s="25">
        <v>34</v>
      </c>
      <c r="B37" s="25">
        <v>753</v>
      </c>
      <c r="C37" s="26">
        <v>13973391</v>
      </c>
      <c r="D37" s="24" t="s">
        <v>83</v>
      </c>
      <c r="E37" s="28">
        <v>1</v>
      </c>
      <c r="F37" s="29" t="s">
        <v>84</v>
      </c>
      <c r="G37" s="30">
        <f>'[1]trim1_ 2023'!G37+[1]trim2_2023!G37+[1]trim3_2023!G37+[1]trim4_2023!G37</f>
        <v>0</v>
      </c>
      <c r="H37" s="30">
        <f>'[1]trim1_ 2023'!H37+[1]trim2_2023!H37+[1]trim3_2023!H37+[1]trim4_2023!H37</f>
        <v>0</v>
      </c>
      <c r="I37" s="30">
        <f>'[1]trim1_ 2023'!I37+[1]trim2_2023!I37+[1]trim3_2023!I37+[1]trim4_2023!I37</f>
        <v>528.12</v>
      </c>
      <c r="J37" s="30">
        <f>'[1]trim1_ 2023'!J37+[1]trim2_2023!J37+[1]trim3_2023!J37+[1]trim4_2023!J37</f>
        <v>0</v>
      </c>
      <c r="K37" s="30">
        <f>'[1]trim1_ 2023'!K37+[1]trim2_2023!K37+[1]trim3_2023!K37+[1]trim4_2023!K37</f>
        <v>0</v>
      </c>
      <c r="L37" s="30">
        <f t="shared" si="0"/>
        <v>0</v>
      </c>
      <c r="M37" s="30">
        <f>'[1]trim1_ 2023'!M37+[1]trim2_2023!M37+[1]trim3_2023!M37+[1]trim4_2023!M37</f>
        <v>0</v>
      </c>
      <c r="N37" s="30">
        <f>'[1]trim1_ 2023'!N37+[1]trim2_2023!N37+[1]trim3_2023!N37+[1]trim4_2023!N37</f>
        <v>0</v>
      </c>
      <c r="O37" s="30">
        <f>'[1]trim1_ 2023'!O37+[1]trim2_2023!O37+[1]trim3_2023!O37+[1]trim4_2023!O37</f>
        <v>0</v>
      </c>
      <c r="P37" s="30">
        <f>'[1]trim1_ 2023'!P37+[1]trim2_2023!P37+[1]trim3_2023!P37+[1]trim4_2023!P37</f>
        <v>0</v>
      </c>
      <c r="Q37" s="30">
        <f>'[1]trim1_ 2023'!Q37+[1]trim2_2023!Q37+[1]trim3_2023!Q37+[1]trim4_2023!Q37</f>
        <v>0</v>
      </c>
      <c r="R37" s="30">
        <f>'[1]trim1_ 2023'!R37+[1]trim2_2023!R37+[1]trim3_2023!R37+[1]trim4_2023!R37</f>
        <v>0</v>
      </c>
      <c r="S37" s="30">
        <f>'[1]trim1_ 2023'!S37+[1]trim2_2023!S37+[1]trim3_2023!S37+[1]trim4_2023!S37</f>
        <v>0</v>
      </c>
      <c r="T37" s="30">
        <f>'[1]trim1_ 2023'!T37+[1]trim2_2023!T37+[1]trim3_2023!T37+[1]trim4_2023!T37</f>
        <v>0</v>
      </c>
      <c r="U37" s="30">
        <f t="shared" si="1"/>
        <v>0</v>
      </c>
      <c r="V37" s="32">
        <v>0</v>
      </c>
      <c r="W37" s="30">
        <f>'[1]trim1_ 2023'!W37+[1]trim2_2023!W37+[1]trim3_2023!W37+[1]trim4_2023!W37</f>
        <v>0</v>
      </c>
      <c r="X37" s="30">
        <f t="shared" si="2"/>
        <v>528.12</v>
      </c>
    </row>
    <row r="38" spans="1:24" ht="22.5">
      <c r="A38" s="25">
        <v>35</v>
      </c>
      <c r="B38" s="25">
        <v>720</v>
      </c>
      <c r="C38" s="26">
        <v>13728120</v>
      </c>
      <c r="D38" s="24" t="s">
        <v>85</v>
      </c>
      <c r="E38" s="28">
        <v>1</v>
      </c>
      <c r="F38" s="29" t="s">
        <v>86</v>
      </c>
      <c r="G38" s="30">
        <f>'[1]trim1_ 2023'!G38+[1]trim2_2023!G38+[1]trim3_2023!G38+[1]trim4_2023!G38</f>
        <v>7812.95</v>
      </c>
      <c r="H38" s="30">
        <f>'[1]trim1_ 2023'!H38+[1]trim2_2023!H38+[1]trim3_2023!H38+[1]trim4_2023!H38</f>
        <v>0</v>
      </c>
      <c r="I38" s="30">
        <f>'[1]trim1_ 2023'!I38+[1]trim2_2023!I38+[1]trim3_2023!I38+[1]trim4_2023!I38</f>
        <v>110442.87</v>
      </c>
      <c r="J38" s="30">
        <f>'[1]trim1_ 2023'!J38+[1]trim2_2023!J38+[1]trim3_2023!J38+[1]trim4_2023!J38</f>
        <v>6300</v>
      </c>
      <c r="K38" s="30">
        <f>'[1]trim1_ 2023'!K38+[1]trim2_2023!K38+[1]trim3_2023!K38+[1]trim4_2023!K38</f>
        <v>0</v>
      </c>
      <c r="L38" s="30">
        <f t="shared" si="0"/>
        <v>6300</v>
      </c>
      <c r="M38" s="30">
        <f>'[1]trim1_ 2023'!M38+[1]trim2_2023!M38+[1]trim3_2023!M38+[1]trim4_2023!M38</f>
        <v>0</v>
      </c>
      <c r="N38" s="30">
        <f>'[1]trim1_ 2023'!N38+[1]trim2_2023!N38+[1]trim3_2023!N38+[1]trim4_2023!N38</f>
        <v>0</v>
      </c>
      <c r="O38" s="30">
        <f>'[1]trim1_ 2023'!O38+[1]trim2_2023!O38+[1]trim3_2023!O38+[1]trim4_2023!O38</f>
        <v>0</v>
      </c>
      <c r="P38" s="30">
        <f>'[1]trim1_ 2023'!P38+[1]trim2_2023!P38+[1]trim3_2023!P38+[1]trim4_2023!P38</f>
        <v>0</v>
      </c>
      <c r="Q38" s="30">
        <f>'[1]trim1_ 2023'!Q38+[1]trim2_2023!Q38+[1]trim3_2023!Q38+[1]trim4_2023!Q38</f>
        <v>0</v>
      </c>
      <c r="R38" s="30">
        <f>'[1]trim1_ 2023'!R38+[1]trim2_2023!R38+[1]trim3_2023!R38+[1]trim4_2023!R38</f>
        <v>0</v>
      </c>
      <c r="S38" s="30">
        <f>'[1]trim1_ 2023'!S38+[1]trim2_2023!S38+[1]trim3_2023!S38+[1]trim4_2023!S38</f>
        <v>0</v>
      </c>
      <c r="T38" s="30">
        <f>'[1]trim1_ 2023'!T38+[1]trim2_2023!T38+[1]trim3_2023!T38+[1]trim4_2023!T38</f>
        <v>0</v>
      </c>
      <c r="U38" s="30">
        <f t="shared" si="1"/>
        <v>0</v>
      </c>
      <c r="V38" s="32">
        <v>1</v>
      </c>
      <c r="W38" s="30">
        <f>'[1]trim1_ 2023'!W38+[1]trim2_2023!W38+[1]trim3_2023!W38+[1]trim4_2023!W38</f>
        <v>0</v>
      </c>
      <c r="X38" s="30">
        <f t="shared" si="2"/>
        <v>124555.81999999999</v>
      </c>
    </row>
    <row r="39" spans="1:24" ht="22.5">
      <c r="A39" s="25">
        <v>36</v>
      </c>
      <c r="B39" s="25">
        <v>652</v>
      </c>
      <c r="C39" s="26">
        <v>11130545</v>
      </c>
      <c r="D39" s="24" t="s">
        <v>87</v>
      </c>
      <c r="E39" s="28">
        <v>2</v>
      </c>
      <c r="F39" s="29" t="s">
        <v>88</v>
      </c>
      <c r="G39" s="30">
        <f>'[1]trim1_ 2023'!G39+[1]trim2_2023!G39+[1]trim3_2023!G39+[1]trim4_2023!G39</f>
        <v>82922.47</v>
      </c>
      <c r="H39" s="30">
        <f>'[1]trim1_ 2023'!H39+[1]trim2_2023!H39+[1]trim3_2023!H39+[1]trim4_2023!H39</f>
        <v>0</v>
      </c>
      <c r="I39" s="30">
        <f>'[1]trim1_ 2023'!I39+[1]trim2_2023!I39+[1]trim3_2023!I39+[1]trim4_2023!I39</f>
        <v>107902.69</v>
      </c>
      <c r="J39" s="30">
        <f>'[1]trim1_ 2023'!J39+[1]trim2_2023!J39+[1]trim3_2023!J39+[1]trim4_2023!J39</f>
        <v>3240</v>
      </c>
      <c r="K39" s="30">
        <f>'[1]trim1_ 2023'!K39+[1]trim2_2023!K39+[1]trim3_2023!K39+[1]trim4_2023!K39</f>
        <v>0</v>
      </c>
      <c r="L39" s="30">
        <f t="shared" si="0"/>
        <v>3240</v>
      </c>
      <c r="M39" s="30">
        <f>'[1]trim1_ 2023'!M39+[1]trim2_2023!M39+[1]trim3_2023!M39+[1]trim4_2023!M39</f>
        <v>0</v>
      </c>
      <c r="N39" s="30">
        <f>'[1]trim1_ 2023'!N39+[1]trim2_2023!N39+[1]trim3_2023!N39+[1]trim4_2023!N39</f>
        <v>0</v>
      </c>
      <c r="O39" s="30">
        <f>'[1]trim1_ 2023'!O39+[1]trim2_2023!O39+[1]trim3_2023!O39+[1]trim4_2023!O39</f>
        <v>240.66</v>
      </c>
      <c r="P39" s="30">
        <f>'[1]trim1_ 2023'!P39+[1]trim2_2023!P39+[1]trim3_2023!P39+[1]trim4_2023!P39</f>
        <v>0</v>
      </c>
      <c r="Q39" s="30">
        <f>'[1]trim1_ 2023'!Q39+[1]trim2_2023!Q39+[1]trim3_2023!Q39+[1]trim4_2023!Q39</f>
        <v>0</v>
      </c>
      <c r="R39" s="30">
        <f>'[1]trim1_ 2023'!R39+[1]trim2_2023!R39+[1]trim3_2023!R39+[1]trim4_2023!R39</f>
        <v>0</v>
      </c>
      <c r="S39" s="30">
        <f>'[1]trim1_ 2023'!S39+[1]trim2_2023!S39+[1]trim3_2023!S39+[1]trim4_2023!S39</f>
        <v>0</v>
      </c>
      <c r="T39" s="30">
        <f>'[1]trim1_ 2023'!T39+[1]trim2_2023!T39+[1]trim3_2023!T39+[1]trim4_2023!T39</f>
        <v>0</v>
      </c>
      <c r="U39" s="30">
        <f t="shared" si="1"/>
        <v>240.66</v>
      </c>
      <c r="V39" s="32">
        <v>2</v>
      </c>
      <c r="W39" s="30">
        <f>'[1]trim1_ 2023'!W39+[1]trim2_2023!W39+[1]trim3_2023!W39+[1]trim4_2023!W39</f>
        <v>5124.32</v>
      </c>
      <c r="X39" s="30">
        <f t="shared" si="2"/>
        <v>199430.14</v>
      </c>
    </row>
    <row r="40" spans="1:24" ht="33.75">
      <c r="A40" s="25">
        <v>37</v>
      </c>
      <c r="B40" s="25">
        <v>653</v>
      </c>
      <c r="C40" s="26">
        <v>826097</v>
      </c>
      <c r="D40" s="24" t="s">
        <v>89</v>
      </c>
      <c r="E40" s="28">
        <v>8</v>
      </c>
      <c r="F40" s="29" t="s">
        <v>90</v>
      </c>
      <c r="G40" s="30">
        <f>'[1]trim1_ 2023'!G40+[1]trim2_2023!G40+[1]trim3_2023!G40+[1]trim4_2023!G40</f>
        <v>5837.58</v>
      </c>
      <c r="H40" s="30">
        <f>'[1]trim1_ 2023'!H40+[1]trim2_2023!H40+[1]trim3_2023!H40+[1]trim4_2023!H40</f>
        <v>12927.29</v>
      </c>
      <c r="I40" s="30">
        <f>'[1]trim1_ 2023'!I40+[1]trim2_2023!I40+[1]trim3_2023!I40+[1]trim4_2023!I40</f>
        <v>43249.83</v>
      </c>
      <c r="J40" s="30">
        <f>'[1]trim1_ 2023'!J40+[1]trim2_2023!J40+[1]trim3_2023!J40+[1]trim4_2023!J40</f>
        <v>2040</v>
      </c>
      <c r="K40" s="30">
        <f>'[1]trim1_ 2023'!K40+[1]trim2_2023!K40+[1]trim3_2023!K40+[1]trim4_2023!K40</f>
        <v>0</v>
      </c>
      <c r="L40" s="30">
        <f t="shared" si="0"/>
        <v>2040</v>
      </c>
      <c r="M40" s="30">
        <f>'[1]trim1_ 2023'!M40+[1]trim2_2023!M40+[1]trim3_2023!M40+[1]trim4_2023!M40</f>
        <v>0</v>
      </c>
      <c r="N40" s="30">
        <f>'[1]trim1_ 2023'!N40+[1]trim2_2023!N40+[1]trim3_2023!N40+[1]trim4_2023!N40</f>
        <v>0</v>
      </c>
      <c r="O40" s="30">
        <f>'[1]trim1_ 2023'!O40+[1]trim2_2023!O40+[1]trim3_2023!O40+[1]trim4_2023!O40</f>
        <v>0</v>
      </c>
      <c r="P40" s="30">
        <f>'[1]trim1_ 2023'!P40+[1]trim2_2023!P40+[1]trim3_2023!P40+[1]trim4_2023!P40</f>
        <v>0</v>
      </c>
      <c r="Q40" s="30">
        <f>'[1]trim1_ 2023'!Q40+[1]trim2_2023!Q40+[1]trim3_2023!Q40+[1]trim4_2023!Q40</f>
        <v>0</v>
      </c>
      <c r="R40" s="30">
        <f>'[1]trim1_ 2023'!R40+[1]trim2_2023!R40+[1]trim3_2023!R40+[1]trim4_2023!R40</f>
        <v>0</v>
      </c>
      <c r="S40" s="30">
        <f>'[1]trim1_ 2023'!S40+[1]trim2_2023!S40+[1]trim3_2023!S40+[1]trim4_2023!S40</f>
        <v>0</v>
      </c>
      <c r="T40" s="30">
        <f>'[1]trim1_ 2023'!T40+[1]trim2_2023!T40+[1]trim3_2023!T40+[1]trim4_2023!T40</f>
        <v>0</v>
      </c>
      <c r="U40" s="30">
        <f t="shared" si="1"/>
        <v>0</v>
      </c>
      <c r="V40" s="41">
        <v>8</v>
      </c>
      <c r="W40" s="30">
        <f>'[1]trim1_ 2023'!W40+[1]trim2_2023!W40+[1]trim3_2023!W40+[1]trim4_2023!W40</f>
        <v>0</v>
      </c>
      <c r="X40" s="30">
        <f t="shared" si="2"/>
        <v>64054.700000000004</v>
      </c>
    </row>
    <row r="41" spans="1:24" ht="22.5">
      <c r="A41" s="25">
        <v>38</v>
      </c>
      <c r="B41" s="25">
        <v>654</v>
      </c>
      <c r="C41" s="26">
        <v>1962437</v>
      </c>
      <c r="D41" s="24" t="s">
        <v>91</v>
      </c>
      <c r="E41" s="28">
        <v>17</v>
      </c>
      <c r="F41" s="29" t="s">
        <v>92</v>
      </c>
      <c r="G41" s="30">
        <f>'[1]trim1_ 2023'!G41+[1]trim2_2023!G41+[1]trim3_2023!G41+[1]trim4_2023!G41</f>
        <v>7637137.6800000006</v>
      </c>
      <c r="H41" s="30">
        <f>'[1]trim1_ 2023'!H41+[1]trim2_2023!H41+[1]trim3_2023!H41+[1]trim4_2023!H41</f>
        <v>146664.43</v>
      </c>
      <c r="I41" s="30">
        <f>'[1]trim1_ 2023'!I41+[1]trim2_2023!I41+[1]trim3_2023!I41+[1]trim4_2023!I41</f>
        <v>11763909.629999999</v>
      </c>
      <c r="J41" s="30">
        <f>'[1]trim1_ 2023'!J41+[1]trim2_2023!J41+[1]trim3_2023!J41+[1]trim4_2023!J41</f>
        <v>708867.60000000009</v>
      </c>
      <c r="K41" s="30">
        <f>'[1]trim1_ 2023'!K41+[1]trim2_2023!K41+[1]trim3_2023!K41+[1]trim4_2023!K41</f>
        <v>18600</v>
      </c>
      <c r="L41" s="30">
        <f t="shared" si="0"/>
        <v>727467.60000000009</v>
      </c>
      <c r="M41" s="30">
        <f>'[1]trim1_ 2023'!M41+[1]trim2_2023!M41+[1]trim3_2023!M41+[1]trim4_2023!M41</f>
        <v>7194.9699999999993</v>
      </c>
      <c r="N41" s="30">
        <f>'[1]trim1_ 2023'!N41+[1]trim2_2023!N41+[1]trim3_2023!N41+[1]trim4_2023!N41</f>
        <v>25547.850000000002</v>
      </c>
      <c r="O41" s="30">
        <f>'[1]trim1_ 2023'!O41+[1]trim2_2023!O41+[1]trim3_2023!O41+[1]trim4_2023!O41</f>
        <v>5461.76</v>
      </c>
      <c r="P41" s="30">
        <f>'[1]trim1_ 2023'!P41+[1]trim2_2023!P41+[1]trim3_2023!P41+[1]trim4_2023!P41</f>
        <v>0</v>
      </c>
      <c r="Q41" s="30">
        <f>'[1]trim1_ 2023'!Q41+[1]trim2_2023!Q41+[1]trim3_2023!Q41+[1]trim4_2023!Q41</f>
        <v>0</v>
      </c>
      <c r="R41" s="30">
        <f>'[1]trim1_ 2023'!R41+[1]trim2_2023!R41+[1]trim3_2023!R41+[1]trim4_2023!R41</f>
        <v>0</v>
      </c>
      <c r="S41" s="30">
        <f>'[1]trim1_ 2023'!S41+[1]trim2_2023!S41+[1]trim3_2023!S41+[1]trim4_2023!S41</f>
        <v>0</v>
      </c>
      <c r="T41" s="30">
        <f>'[1]trim1_ 2023'!T41+[1]trim2_2023!T41+[1]trim3_2023!T41+[1]trim4_2023!T41</f>
        <v>0</v>
      </c>
      <c r="U41" s="30">
        <f t="shared" si="1"/>
        <v>38204.58</v>
      </c>
      <c r="V41" s="32">
        <v>17</v>
      </c>
      <c r="W41" s="30">
        <f>'[1]trim1_ 2023'!W41+[1]trim2_2023!W41+[1]trim3_2023!W41+[1]trim4_2023!W41</f>
        <v>2632749.52</v>
      </c>
      <c r="X41" s="30">
        <f t="shared" si="2"/>
        <v>22946133.439999998</v>
      </c>
    </row>
    <row r="42" spans="1:24" ht="33.75">
      <c r="A42" s="25">
        <v>39</v>
      </c>
      <c r="B42" s="25">
        <v>768</v>
      </c>
      <c r="C42" s="26">
        <v>43281643</v>
      </c>
      <c r="D42" s="24" t="s">
        <v>93</v>
      </c>
      <c r="E42" s="35">
        <v>1</v>
      </c>
      <c r="F42" s="36" t="s">
        <v>94</v>
      </c>
      <c r="G42" s="30">
        <f>'[1]trim1_ 2023'!G42+[1]trim2_2023!G42+[1]trim3_2023!G42+[1]trim4_2023!G42</f>
        <v>0</v>
      </c>
      <c r="H42" s="30">
        <f>'[1]trim1_ 2023'!H42+[1]trim2_2023!H42+[1]trim3_2023!H42+[1]trim4_2023!H42</f>
        <v>0</v>
      </c>
      <c r="I42" s="30">
        <f>'[1]trim1_ 2023'!I42+[1]trim2_2023!I42+[1]trim3_2023!I42+[1]trim4_2023!I42</f>
        <v>3168.54</v>
      </c>
      <c r="J42" s="30">
        <f>'[1]trim1_ 2023'!J42+[1]trim2_2023!J42+[1]trim3_2023!J42+[1]trim4_2023!J42</f>
        <v>0</v>
      </c>
      <c r="K42" s="30">
        <f>'[1]trim1_ 2023'!K42+[1]trim2_2023!K42+[1]trim3_2023!K42+[1]trim4_2023!K42</f>
        <v>0</v>
      </c>
      <c r="L42" s="30">
        <f t="shared" si="0"/>
        <v>0</v>
      </c>
      <c r="M42" s="30">
        <f>'[1]trim1_ 2023'!M42+[1]trim2_2023!M42+[1]trim3_2023!M42+[1]trim4_2023!M42</f>
        <v>0</v>
      </c>
      <c r="N42" s="30">
        <f>'[1]trim1_ 2023'!N42+[1]trim2_2023!N42+[1]trim3_2023!N42+[1]trim4_2023!N42</f>
        <v>0</v>
      </c>
      <c r="O42" s="30">
        <f>'[1]trim1_ 2023'!O42+[1]trim2_2023!O42+[1]trim3_2023!O42+[1]trim4_2023!O42</f>
        <v>0</v>
      </c>
      <c r="P42" s="30">
        <f>'[1]trim1_ 2023'!P42+[1]trim2_2023!P42+[1]trim3_2023!P42+[1]trim4_2023!P42</f>
        <v>0</v>
      </c>
      <c r="Q42" s="30">
        <f>'[1]trim1_ 2023'!Q42+[1]trim2_2023!Q42+[1]trim3_2023!Q42+[1]trim4_2023!Q42</f>
        <v>0</v>
      </c>
      <c r="R42" s="30">
        <f>'[1]trim1_ 2023'!R42+[1]trim2_2023!R42+[1]trim3_2023!R42+[1]trim4_2023!R42</f>
        <v>0</v>
      </c>
      <c r="S42" s="30">
        <f>'[1]trim1_ 2023'!S42+[1]trim2_2023!S42+[1]trim3_2023!S42+[1]trim4_2023!S42</f>
        <v>0</v>
      </c>
      <c r="T42" s="30">
        <f>'[1]trim1_ 2023'!T42+[1]trim2_2023!T42+[1]trim3_2023!T42+[1]trim4_2023!T42</f>
        <v>0</v>
      </c>
      <c r="U42" s="30">
        <f t="shared" si="1"/>
        <v>0</v>
      </c>
      <c r="V42" s="31">
        <v>1</v>
      </c>
      <c r="W42" s="30">
        <f>'[1]trim1_ 2023'!W42+[1]trim2_2023!W42+[1]trim3_2023!W42+[1]trim4_2023!W42</f>
        <v>0</v>
      </c>
      <c r="X42" s="30">
        <f t="shared" si="2"/>
        <v>3168.54</v>
      </c>
    </row>
    <row r="43" spans="1:24" ht="22.5">
      <c r="A43" s="25">
        <v>41</v>
      </c>
      <c r="B43" s="25">
        <v>659</v>
      </c>
      <c r="C43" s="26">
        <v>9590185</v>
      </c>
      <c r="D43" s="24" t="s">
        <v>95</v>
      </c>
      <c r="E43" s="28">
        <v>1</v>
      </c>
      <c r="F43" s="29" t="s">
        <v>96</v>
      </c>
      <c r="G43" s="30">
        <f>'[1]trim1_ 2023'!G43+[1]trim2_2023!G43+[1]trim3_2023!G43+[1]trim4_2023!G43</f>
        <v>0</v>
      </c>
      <c r="H43" s="30">
        <f>'[1]trim1_ 2023'!H43+[1]trim2_2023!H43+[1]trim3_2023!H43+[1]trim4_2023!H43</f>
        <v>0</v>
      </c>
      <c r="I43" s="30">
        <f>'[1]trim1_ 2023'!I43+[1]trim2_2023!I43+[1]trim3_2023!I43+[1]trim4_2023!I43</f>
        <v>21173.22</v>
      </c>
      <c r="J43" s="30">
        <f>'[1]trim1_ 2023'!J43+[1]trim2_2023!J43+[1]trim3_2023!J43+[1]trim4_2023!J43</f>
        <v>2280</v>
      </c>
      <c r="K43" s="30">
        <f>'[1]trim1_ 2023'!K43+[1]trim2_2023!K43+[1]trim3_2023!K43+[1]trim4_2023!K43</f>
        <v>0</v>
      </c>
      <c r="L43" s="30">
        <f t="shared" si="0"/>
        <v>2280</v>
      </c>
      <c r="M43" s="30">
        <f>'[1]trim1_ 2023'!M43+[1]trim2_2023!M43+[1]trim3_2023!M43+[1]trim4_2023!M43</f>
        <v>0</v>
      </c>
      <c r="N43" s="30">
        <f>'[1]trim1_ 2023'!N43+[1]trim2_2023!N43+[1]trim3_2023!N43+[1]trim4_2023!N43</f>
        <v>0</v>
      </c>
      <c r="O43" s="30">
        <f>'[1]trim1_ 2023'!O43+[1]trim2_2023!O43+[1]trim3_2023!O43+[1]trim4_2023!O43</f>
        <v>0</v>
      </c>
      <c r="P43" s="30">
        <f>'[1]trim1_ 2023'!P43+[1]trim2_2023!P43+[1]trim3_2023!P43+[1]trim4_2023!P43</f>
        <v>0</v>
      </c>
      <c r="Q43" s="30">
        <f>'[1]trim1_ 2023'!Q43+[1]trim2_2023!Q43+[1]trim3_2023!Q43+[1]trim4_2023!Q43</f>
        <v>0</v>
      </c>
      <c r="R43" s="30">
        <f>'[1]trim1_ 2023'!R43+[1]trim2_2023!R43+[1]trim3_2023!R43+[1]trim4_2023!R43</f>
        <v>0</v>
      </c>
      <c r="S43" s="30">
        <f>'[1]trim1_ 2023'!S43+[1]trim2_2023!S43+[1]trim3_2023!S43+[1]trim4_2023!S43</f>
        <v>0</v>
      </c>
      <c r="T43" s="30">
        <f>'[1]trim1_ 2023'!T43+[1]trim2_2023!T43+[1]trim3_2023!T43+[1]trim4_2023!T43</f>
        <v>0</v>
      </c>
      <c r="U43" s="30">
        <f t="shared" si="1"/>
        <v>0</v>
      </c>
      <c r="V43" s="32">
        <v>1</v>
      </c>
      <c r="W43" s="30">
        <f>'[1]trim1_ 2023'!W43+[1]trim2_2023!W43+[1]trim3_2023!W43+[1]trim4_2023!W43</f>
        <v>0</v>
      </c>
      <c r="X43" s="30">
        <f t="shared" si="2"/>
        <v>23453.22</v>
      </c>
    </row>
    <row r="44" spans="1:24" ht="22.5">
      <c r="A44" s="25">
        <v>42</v>
      </c>
      <c r="B44" s="25">
        <v>717</v>
      </c>
      <c r="C44" s="26">
        <v>292367729</v>
      </c>
      <c r="D44" s="24" t="s">
        <v>97</v>
      </c>
      <c r="E44" s="28">
        <v>3</v>
      </c>
      <c r="F44" s="29" t="s">
        <v>98</v>
      </c>
      <c r="G44" s="30">
        <f>'[1]trim1_ 2023'!G44+[1]trim2_2023!G44+[1]trim3_2023!G44+[1]trim4_2023!G44</f>
        <v>4671.95</v>
      </c>
      <c r="H44" s="30">
        <f>'[1]trim1_ 2023'!H44+[1]trim2_2023!H44+[1]trim3_2023!H44+[1]trim4_2023!H44</f>
        <v>0</v>
      </c>
      <c r="I44" s="30">
        <f>'[1]trim1_ 2023'!I44+[1]trim2_2023!I44+[1]trim3_2023!I44+[1]trim4_2023!I44</f>
        <v>127191.6</v>
      </c>
      <c r="J44" s="30">
        <f>'[1]trim1_ 2023'!J44+[1]trim2_2023!J44+[1]trim3_2023!J44+[1]trim4_2023!J44</f>
        <v>5880</v>
      </c>
      <c r="K44" s="30">
        <f>'[1]trim1_ 2023'!K44+[1]trim2_2023!K44+[1]trim3_2023!K44+[1]trim4_2023!K44</f>
        <v>0</v>
      </c>
      <c r="L44" s="30">
        <f t="shared" si="0"/>
        <v>5880</v>
      </c>
      <c r="M44" s="30">
        <f>'[1]trim1_ 2023'!M44+[1]trim2_2023!M44+[1]trim3_2023!M44+[1]trim4_2023!M44</f>
        <v>0</v>
      </c>
      <c r="N44" s="30">
        <f>'[1]trim1_ 2023'!N44+[1]trim2_2023!N44+[1]trim3_2023!N44+[1]trim4_2023!N44</f>
        <v>0</v>
      </c>
      <c r="O44" s="30">
        <f>'[1]trim1_ 2023'!O44+[1]trim2_2023!O44+[1]trim3_2023!O44+[1]trim4_2023!O44</f>
        <v>0</v>
      </c>
      <c r="P44" s="30">
        <f>'[1]trim1_ 2023'!P44+[1]trim2_2023!P44+[1]trim3_2023!P44+[1]trim4_2023!P44</f>
        <v>0</v>
      </c>
      <c r="Q44" s="30">
        <f>'[1]trim1_ 2023'!Q44+[1]trim2_2023!Q44+[1]trim3_2023!Q44+[1]trim4_2023!Q44</f>
        <v>0</v>
      </c>
      <c r="R44" s="30">
        <f>'[1]trim1_ 2023'!R44+[1]trim2_2023!R44+[1]trim3_2023!R44+[1]trim4_2023!R44</f>
        <v>0</v>
      </c>
      <c r="S44" s="30">
        <f>'[1]trim1_ 2023'!S44+[1]trim2_2023!S44+[1]trim3_2023!S44+[1]trim4_2023!S44</f>
        <v>0</v>
      </c>
      <c r="T44" s="30">
        <f>'[1]trim1_ 2023'!T44+[1]trim2_2023!T44+[1]trim3_2023!T44+[1]trim4_2023!T44</f>
        <v>0</v>
      </c>
      <c r="U44" s="30">
        <f t="shared" si="1"/>
        <v>0</v>
      </c>
      <c r="V44" s="32">
        <v>3</v>
      </c>
      <c r="W44" s="30">
        <f>'[1]trim1_ 2023'!W44+[1]trim2_2023!W44+[1]trim3_2023!W44+[1]trim4_2023!W44</f>
        <v>0</v>
      </c>
      <c r="X44" s="30">
        <f t="shared" si="2"/>
        <v>137743.55000000002</v>
      </c>
    </row>
    <row r="45" spans="1:24" ht="22.5">
      <c r="A45" s="25">
        <v>43</v>
      </c>
      <c r="B45" s="25">
        <v>718</v>
      </c>
      <c r="C45" s="26">
        <v>23790030</v>
      </c>
      <c r="D45" s="24" t="s">
        <v>99</v>
      </c>
      <c r="E45" s="28">
        <v>3</v>
      </c>
      <c r="F45" s="29" t="s">
        <v>100</v>
      </c>
      <c r="G45" s="30">
        <f>'[1]trim1_ 2023'!G45+[1]trim2_2023!G45+[1]trim3_2023!G45+[1]trim4_2023!G45</f>
        <v>0</v>
      </c>
      <c r="H45" s="30">
        <f>'[1]trim1_ 2023'!H45+[1]trim2_2023!H45+[1]trim3_2023!H45+[1]trim4_2023!H45</f>
        <v>0</v>
      </c>
      <c r="I45" s="30">
        <f>'[1]trim1_ 2023'!I45+[1]trim2_2023!I45+[1]trim3_2023!I45+[1]trim4_2023!I45</f>
        <v>17558.88</v>
      </c>
      <c r="J45" s="30">
        <f>'[1]trim1_ 2023'!J45+[1]trim2_2023!J45+[1]trim3_2023!J45+[1]trim4_2023!J45</f>
        <v>0</v>
      </c>
      <c r="K45" s="30">
        <f>'[1]trim1_ 2023'!K45+[1]trim2_2023!K45+[1]trim3_2023!K45+[1]trim4_2023!K45</f>
        <v>0</v>
      </c>
      <c r="L45" s="30">
        <f t="shared" si="0"/>
        <v>0</v>
      </c>
      <c r="M45" s="30">
        <f>'[1]trim1_ 2023'!M45+[1]trim2_2023!M45+[1]trim3_2023!M45+[1]trim4_2023!M45</f>
        <v>0</v>
      </c>
      <c r="N45" s="30">
        <f>'[1]trim1_ 2023'!N45+[1]trim2_2023!N45+[1]trim3_2023!N45+[1]trim4_2023!N45</f>
        <v>0</v>
      </c>
      <c r="O45" s="30">
        <f>'[1]trim1_ 2023'!O45+[1]trim2_2023!O45+[1]trim3_2023!O45+[1]trim4_2023!O45</f>
        <v>0</v>
      </c>
      <c r="P45" s="30">
        <f>'[1]trim1_ 2023'!P45+[1]trim2_2023!P45+[1]trim3_2023!P45+[1]trim4_2023!P45</f>
        <v>0</v>
      </c>
      <c r="Q45" s="30">
        <f>'[1]trim1_ 2023'!Q45+[1]trim2_2023!Q45+[1]trim3_2023!Q45+[1]trim4_2023!Q45</f>
        <v>0</v>
      </c>
      <c r="R45" s="30">
        <f>'[1]trim1_ 2023'!R45+[1]trim2_2023!R45+[1]trim3_2023!R45+[1]trim4_2023!R45</f>
        <v>0</v>
      </c>
      <c r="S45" s="30">
        <f>'[1]trim1_ 2023'!S45+[1]trim2_2023!S45+[1]trim3_2023!S45+[1]trim4_2023!S45</f>
        <v>0</v>
      </c>
      <c r="T45" s="30">
        <f>'[1]trim1_ 2023'!T45+[1]trim2_2023!T45+[1]trim3_2023!T45+[1]trim4_2023!T45</f>
        <v>0</v>
      </c>
      <c r="U45" s="30">
        <f t="shared" si="1"/>
        <v>0</v>
      </c>
      <c r="V45" s="32">
        <v>3</v>
      </c>
      <c r="W45" s="30">
        <f>'[1]trim1_ 2023'!W45+[1]trim2_2023!W45+[1]trim3_2023!W45+[1]trim4_2023!W45</f>
        <v>0</v>
      </c>
      <c r="X45" s="30">
        <f t="shared" si="2"/>
        <v>17558.88</v>
      </c>
    </row>
    <row r="46" spans="1:24" ht="22.5">
      <c r="A46" s="25">
        <v>44</v>
      </c>
      <c r="B46" s="25">
        <v>664</v>
      </c>
      <c r="C46" s="26">
        <v>9378655</v>
      </c>
      <c r="D46" s="24" t="s">
        <v>101</v>
      </c>
      <c r="E46" s="28">
        <v>4</v>
      </c>
      <c r="F46" s="29" t="s">
        <v>102</v>
      </c>
      <c r="G46" s="30">
        <f>'[1]trim1_ 2023'!G46+[1]trim2_2023!G46+[1]trim3_2023!G46+[1]trim4_2023!G46</f>
        <v>54776.86</v>
      </c>
      <c r="H46" s="30">
        <f>'[1]trim1_ 2023'!H46+[1]trim2_2023!H46+[1]trim3_2023!H46+[1]trim4_2023!H46</f>
        <v>131806.91</v>
      </c>
      <c r="I46" s="30">
        <f>'[1]trim1_ 2023'!I46+[1]trim2_2023!I46+[1]trim3_2023!I46+[1]trim4_2023!I46</f>
        <v>818785.01</v>
      </c>
      <c r="J46" s="30">
        <f>'[1]trim1_ 2023'!J46+[1]trim2_2023!J46+[1]trim3_2023!J46+[1]trim4_2023!J46</f>
        <v>42300</v>
      </c>
      <c r="K46" s="30">
        <f>'[1]trim1_ 2023'!K46+[1]trim2_2023!K46+[1]trim3_2023!K46+[1]trim4_2023!K46</f>
        <v>480</v>
      </c>
      <c r="L46" s="30">
        <f t="shared" si="0"/>
        <v>42780</v>
      </c>
      <c r="M46" s="30">
        <f>'[1]trim1_ 2023'!M46+[1]trim2_2023!M46+[1]trim3_2023!M46+[1]trim4_2023!M46</f>
        <v>529.58000000000004</v>
      </c>
      <c r="N46" s="30">
        <f>'[1]trim1_ 2023'!N46+[1]trim2_2023!N46+[1]trim3_2023!N46+[1]trim4_2023!N46</f>
        <v>0</v>
      </c>
      <c r="O46" s="30">
        <f>'[1]trim1_ 2023'!O46+[1]trim2_2023!O46+[1]trim3_2023!O46+[1]trim4_2023!O46</f>
        <v>0</v>
      </c>
      <c r="P46" s="30">
        <f>'[1]trim1_ 2023'!P46+[1]trim2_2023!P46+[1]trim3_2023!P46+[1]trim4_2023!P46</f>
        <v>0</v>
      </c>
      <c r="Q46" s="30">
        <f>'[1]trim1_ 2023'!Q46+[1]trim2_2023!Q46+[1]trim3_2023!Q46+[1]trim4_2023!Q46</f>
        <v>0</v>
      </c>
      <c r="R46" s="30">
        <f>'[1]trim1_ 2023'!R46+[1]trim2_2023!R46+[1]trim3_2023!R46+[1]trim4_2023!R46</f>
        <v>0</v>
      </c>
      <c r="S46" s="30">
        <f>'[1]trim1_ 2023'!S46+[1]trim2_2023!S46+[1]trim3_2023!S46+[1]trim4_2023!S46</f>
        <v>1411078.53</v>
      </c>
      <c r="T46" s="30">
        <f>'[1]trim1_ 2023'!T46+[1]trim2_2023!T46+[1]trim3_2023!T46+[1]trim4_2023!T46</f>
        <v>0</v>
      </c>
      <c r="U46" s="30">
        <f t="shared" si="1"/>
        <v>1411608.11</v>
      </c>
      <c r="V46" s="32">
        <v>3</v>
      </c>
      <c r="W46" s="30">
        <f>'[1]trim1_ 2023'!W46+[1]trim2_2023!W46+[1]trim3_2023!W46+[1]trim4_2023!W46</f>
        <v>0</v>
      </c>
      <c r="X46" s="30">
        <f t="shared" si="2"/>
        <v>2459756.89</v>
      </c>
    </row>
    <row r="47" spans="1:24" ht="22.5">
      <c r="A47" s="25">
        <v>45</v>
      </c>
      <c r="B47" s="25">
        <v>702</v>
      </c>
      <c r="C47" s="26">
        <v>18612312</v>
      </c>
      <c r="D47" s="24" t="s">
        <v>103</v>
      </c>
      <c r="E47" s="28">
        <v>1</v>
      </c>
      <c r="F47" s="29" t="s">
        <v>104</v>
      </c>
      <c r="G47" s="30">
        <f>'[1]trim1_ 2023'!G47+[1]trim2_2023!G47+[1]trim3_2023!G47+[1]trim4_2023!G47</f>
        <v>0</v>
      </c>
      <c r="H47" s="30">
        <f>'[1]trim1_ 2023'!H47+[1]trim2_2023!H47+[1]trim3_2023!H47+[1]trim4_2023!H47</f>
        <v>0</v>
      </c>
      <c r="I47" s="30">
        <f>'[1]trim1_ 2023'!I47+[1]trim2_2023!I47+[1]trim3_2023!I47+[1]trim4_2023!I47</f>
        <v>553.01</v>
      </c>
      <c r="J47" s="30">
        <f>'[1]trim1_ 2023'!J47+[1]trim2_2023!J47+[1]trim3_2023!J47+[1]trim4_2023!J47</f>
        <v>0</v>
      </c>
      <c r="K47" s="30">
        <f>'[1]trim1_ 2023'!K47+[1]trim2_2023!K47+[1]trim3_2023!K47+[1]trim4_2023!K47</f>
        <v>0</v>
      </c>
      <c r="L47" s="30">
        <f t="shared" si="0"/>
        <v>0</v>
      </c>
      <c r="M47" s="30">
        <f>'[1]trim1_ 2023'!M47+[1]trim2_2023!M47+[1]trim3_2023!M47+[1]trim4_2023!M47</f>
        <v>0</v>
      </c>
      <c r="N47" s="30">
        <f>'[1]trim1_ 2023'!N47+[1]trim2_2023!N47+[1]trim3_2023!N47+[1]trim4_2023!N47</f>
        <v>0</v>
      </c>
      <c r="O47" s="30">
        <f>'[1]trim1_ 2023'!O47+[1]trim2_2023!O47+[1]trim3_2023!O47+[1]trim4_2023!O47</f>
        <v>0</v>
      </c>
      <c r="P47" s="30">
        <f>'[1]trim1_ 2023'!P47+[1]trim2_2023!P47+[1]trim3_2023!P47+[1]trim4_2023!P47</f>
        <v>0</v>
      </c>
      <c r="Q47" s="30">
        <f>'[1]trim1_ 2023'!Q47+[1]trim2_2023!Q47+[1]trim3_2023!Q47+[1]trim4_2023!Q47</f>
        <v>0</v>
      </c>
      <c r="R47" s="30">
        <f>'[1]trim1_ 2023'!R47+[1]trim2_2023!R47+[1]trim3_2023!R47+[1]trim4_2023!R47</f>
        <v>0</v>
      </c>
      <c r="S47" s="30">
        <f>'[1]trim1_ 2023'!S47+[1]trim2_2023!S47+[1]trim3_2023!S47+[1]trim4_2023!S47</f>
        <v>0</v>
      </c>
      <c r="T47" s="30">
        <f>'[1]trim1_ 2023'!T47+[1]trim2_2023!T47+[1]trim3_2023!T47+[1]trim4_2023!T47</f>
        <v>0</v>
      </c>
      <c r="U47" s="30">
        <f t="shared" si="1"/>
        <v>0</v>
      </c>
      <c r="V47" s="32">
        <v>1</v>
      </c>
      <c r="W47" s="30">
        <f>'[1]trim1_ 2023'!W47+[1]trim2_2023!W47+[1]trim3_2023!W47+[1]trim4_2023!W47</f>
        <v>0</v>
      </c>
      <c r="X47" s="30">
        <f t="shared" si="2"/>
        <v>553.01</v>
      </c>
    </row>
    <row r="48" spans="1:24" ht="22.5">
      <c r="A48" s="25">
        <v>46</v>
      </c>
      <c r="B48" s="25">
        <v>694</v>
      </c>
      <c r="C48" s="26">
        <v>29800516</v>
      </c>
      <c r="D48" s="24" t="s">
        <v>105</v>
      </c>
      <c r="E48" s="28">
        <v>1</v>
      </c>
      <c r="F48" s="29" t="s">
        <v>106</v>
      </c>
      <c r="G48" s="30">
        <f>'[1]trim1_ 2023'!G48+[1]trim2_2023!G48+[1]trim3_2023!G48+[1]trim4_2023!G48</f>
        <v>0</v>
      </c>
      <c r="H48" s="30">
        <f>'[1]trim1_ 2023'!H48+[1]trim2_2023!H48+[1]trim3_2023!H48+[1]trim4_2023!H48</f>
        <v>0</v>
      </c>
      <c r="I48" s="30">
        <f>'[1]trim1_ 2023'!I48+[1]trim2_2023!I48+[1]trim3_2023!I48+[1]trim4_2023!I48</f>
        <v>1906.12</v>
      </c>
      <c r="J48" s="30">
        <f>'[1]trim1_ 2023'!J48+[1]trim2_2023!J48+[1]trim3_2023!J48+[1]trim4_2023!J48</f>
        <v>0</v>
      </c>
      <c r="K48" s="30">
        <f>'[1]trim1_ 2023'!K48+[1]trim2_2023!K48+[1]trim3_2023!K48+[1]trim4_2023!K48</f>
        <v>0</v>
      </c>
      <c r="L48" s="30">
        <f t="shared" si="0"/>
        <v>0</v>
      </c>
      <c r="M48" s="30">
        <f>'[1]trim1_ 2023'!M48+[1]trim2_2023!M48+[1]trim3_2023!M48+[1]trim4_2023!M48</f>
        <v>0</v>
      </c>
      <c r="N48" s="30">
        <f>'[1]trim1_ 2023'!N48+[1]trim2_2023!N48+[1]trim3_2023!N48+[1]trim4_2023!N48</f>
        <v>0</v>
      </c>
      <c r="O48" s="30">
        <f>'[1]trim1_ 2023'!O48+[1]trim2_2023!O48+[1]trim3_2023!O48+[1]trim4_2023!O48</f>
        <v>0</v>
      </c>
      <c r="P48" s="30">
        <f>'[1]trim1_ 2023'!P48+[1]trim2_2023!P48+[1]trim3_2023!P48+[1]trim4_2023!P48</f>
        <v>0</v>
      </c>
      <c r="Q48" s="30">
        <f>'[1]trim1_ 2023'!Q48+[1]trim2_2023!Q48+[1]trim3_2023!Q48+[1]trim4_2023!Q48</f>
        <v>0</v>
      </c>
      <c r="R48" s="30">
        <f>'[1]trim1_ 2023'!R48+[1]trim2_2023!R48+[1]trim3_2023!R48+[1]trim4_2023!R48</f>
        <v>0</v>
      </c>
      <c r="S48" s="30">
        <f>'[1]trim1_ 2023'!S48+[1]trim2_2023!S48+[1]trim3_2023!S48+[1]trim4_2023!S48</f>
        <v>0</v>
      </c>
      <c r="T48" s="30">
        <f>'[1]trim1_ 2023'!T48+[1]trim2_2023!T48+[1]trim3_2023!T48+[1]trim4_2023!T48</f>
        <v>0</v>
      </c>
      <c r="U48" s="30">
        <f t="shared" si="1"/>
        <v>0</v>
      </c>
      <c r="V48" s="32">
        <v>1</v>
      </c>
      <c r="W48" s="30">
        <f>'[1]trim1_ 2023'!W48+[1]trim2_2023!W48+[1]trim3_2023!W48+[1]trim4_2023!W48</f>
        <v>0</v>
      </c>
      <c r="X48" s="30">
        <f t="shared" si="2"/>
        <v>1906.12</v>
      </c>
    </row>
    <row r="49" spans="1:24" ht="22.5">
      <c r="A49" s="25">
        <v>47</v>
      </c>
      <c r="B49" s="25">
        <v>735</v>
      </c>
      <c r="C49" s="26">
        <v>6927333</v>
      </c>
      <c r="D49" s="24" t="s">
        <v>107</v>
      </c>
      <c r="E49" s="28">
        <v>1</v>
      </c>
      <c r="F49" s="29" t="s">
        <v>108</v>
      </c>
      <c r="G49" s="30">
        <f>'[1]trim1_ 2023'!G49+[1]trim2_2023!G49+[1]trim3_2023!G49+[1]trim4_2023!G49</f>
        <v>160986</v>
      </c>
      <c r="H49" s="30">
        <f>'[1]trim1_ 2023'!H49+[1]trim2_2023!H49+[1]trim3_2023!H49+[1]trim4_2023!H49</f>
        <v>0</v>
      </c>
      <c r="I49" s="30">
        <f>'[1]trim1_ 2023'!I49+[1]trim2_2023!I49+[1]trim3_2023!I49+[1]trim4_2023!I49</f>
        <v>1845428.7600000002</v>
      </c>
      <c r="J49" s="30">
        <f>'[1]trim1_ 2023'!J49+[1]trim2_2023!J49+[1]trim3_2023!J49+[1]trim4_2023!J49</f>
        <v>120960</v>
      </c>
      <c r="K49" s="30">
        <f>'[1]trim1_ 2023'!K49+[1]trim2_2023!K49+[1]trim3_2023!K49+[1]trim4_2023!K49</f>
        <v>960</v>
      </c>
      <c r="L49" s="30">
        <f t="shared" si="0"/>
        <v>121920</v>
      </c>
      <c r="M49" s="30">
        <f>'[1]trim1_ 2023'!M49+[1]trim2_2023!M49+[1]trim3_2023!M49+[1]trim4_2023!M49</f>
        <v>0</v>
      </c>
      <c r="N49" s="30">
        <f>'[1]trim1_ 2023'!N49+[1]trim2_2023!N49+[1]trim3_2023!N49+[1]trim4_2023!N49</f>
        <v>0</v>
      </c>
      <c r="O49" s="30">
        <f>'[1]trim1_ 2023'!O49+[1]trim2_2023!O49+[1]trim3_2023!O49+[1]trim4_2023!O49</f>
        <v>0</v>
      </c>
      <c r="P49" s="30">
        <f>'[1]trim1_ 2023'!P49+[1]trim2_2023!P49+[1]trim3_2023!P49+[1]trim4_2023!P49</f>
        <v>0</v>
      </c>
      <c r="Q49" s="30">
        <f>'[1]trim1_ 2023'!Q49+[1]trim2_2023!Q49+[1]trim3_2023!Q49+[1]trim4_2023!Q49</f>
        <v>0</v>
      </c>
      <c r="R49" s="30">
        <f>'[1]trim1_ 2023'!R49+[1]trim2_2023!R49+[1]trim3_2023!R49+[1]trim4_2023!R49</f>
        <v>0</v>
      </c>
      <c r="S49" s="30">
        <f>'[1]trim1_ 2023'!S49+[1]trim2_2023!S49+[1]trim3_2023!S49+[1]trim4_2023!S49</f>
        <v>0</v>
      </c>
      <c r="T49" s="30">
        <f>'[1]trim1_ 2023'!T49+[1]trim2_2023!T49+[1]trim3_2023!T49+[1]trim4_2023!T49</f>
        <v>0</v>
      </c>
      <c r="U49" s="30">
        <f t="shared" si="1"/>
        <v>0</v>
      </c>
      <c r="V49" s="32">
        <v>1</v>
      </c>
      <c r="W49" s="30">
        <f>'[1]trim1_ 2023'!W49+[1]trim2_2023!W49+[1]trim3_2023!W49+[1]trim4_2023!W49</f>
        <v>10248.64</v>
      </c>
      <c r="X49" s="30">
        <f t="shared" si="2"/>
        <v>2138583.4000000004</v>
      </c>
    </row>
    <row r="50" spans="1:24" ht="45">
      <c r="A50" s="25">
        <v>48</v>
      </c>
      <c r="B50" s="25">
        <v>698</v>
      </c>
      <c r="C50" s="26">
        <v>31195174</v>
      </c>
      <c r="D50" s="24" t="s">
        <v>109</v>
      </c>
      <c r="E50" s="28">
        <v>1</v>
      </c>
      <c r="F50" s="29" t="s">
        <v>110</v>
      </c>
      <c r="G50" s="30">
        <f>'[1]trim1_ 2023'!G50+[1]trim2_2023!G50+[1]trim3_2023!G50+[1]trim4_2023!G50</f>
        <v>0</v>
      </c>
      <c r="H50" s="30">
        <f>'[1]trim1_ 2023'!H50+[1]trim2_2023!H50+[1]trim3_2023!H50+[1]trim4_2023!H50</f>
        <v>0</v>
      </c>
      <c r="I50" s="30">
        <f>'[1]trim1_ 2023'!I50+[1]trim2_2023!I50+[1]trim3_2023!I50+[1]trim4_2023!I50</f>
        <v>29657.279999999999</v>
      </c>
      <c r="J50" s="30">
        <f>'[1]trim1_ 2023'!J50+[1]trim2_2023!J50+[1]trim3_2023!J50+[1]trim4_2023!J50</f>
        <v>120</v>
      </c>
      <c r="K50" s="30">
        <f>'[1]trim1_ 2023'!K50+[1]trim2_2023!K50+[1]trim3_2023!K50+[1]trim4_2023!K50</f>
        <v>0</v>
      </c>
      <c r="L50" s="30">
        <f t="shared" si="0"/>
        <v>120</v>
      </c>
      <c r="M50" s="30">
        <f>'[1]trim1_ 2023'!M50+[1]trim2_2023!M50+[1]trim3_2023!M50+[1]trim4_2023!M50</f>
        <v>0</v>
      </c>
      <c r="N50" s="30">
        <f>'[1]trim1_ 2023'!N50+[1]trim2_2023!N50+[1]trim3_2023!N50+[1]trim4_2023!N50</f>
        <v>0</v>
      </c>
      <c r="O50" s="30">
        <f>'[1]trim1_ 2023'!O50+[1]trim2_2023!O50+[1]trim3_2023!O50+[1]trim4_2023!O50</f>
        <v>0</v>
      </c>
      <c r="P50" s="30">
        <f>'[1]trim1_ 2023'!P50+[1]trim2_2023!P50+[1]trim3_2023!P50+[1]trim4_2023!P50</f>
        <v>0</v>
      </c>
      <c r="Q50" s="30">
        <f>'[1]trim1_ 2023'!Q50+[1]trim2_2023!Q50+[1]trim3_2023!Q50+[1]trim4_2023!Q50</f>
        <v>0</v>
      </c>
      <c r="R50" s="30">
        <f>'[1]trim1_ 2023'!R50+[1]trim2_2023!R50+[1]trim3_2023!R50+[1]trim4_2023!R50</f>
        <v>0</v>
      </c>
      <c r="S50" s="30">
        <f>'[1]trim1_ 2023'!S50+[1]trim2_2023!S50+[1]trim3_2023!S50+[1]trim4_2023!S50</f>
        <v>0</v>
      </c>
      <c r="T50" s="30">
        <f>'[1]trim1_ 2023'!T50+[1]trim2_2023!T50+[1]trim3_2023!T50+[1]trim4_2023!T50</f>
        <v>0</v>
      </c>
      <c r="U50" s="30">
        <f t="shared" si="1"/>
        <v>0</v>
      </c>
      <c r="V50" s="32">
        <v>1</v>
      </c>
      <c r="W50" s="30">
        <f>'[1]trim1_ 2023'!W50+[1]trim2_2023!W50+[1]trim3_2023!W50+[1]trim4_2023!W50</f>
        <v>0</v>
      </c>
      <c r="X50" s="30">
        <f t="shared" si="2"/>
        <v>29777.279999999999</v>
      </c>
    </row>
    <row r="51" spans="1:24" ht="22.5">
      <c r="A51" s="25">
        <v>49</v>
      </c>
      <c r="B51" s="25">
        <v>667</v>
      </c>
      <c r="C51" s="26">
        <v>6070307</v>
      </c>
      <c r="D51" s="24" t="s">
        <v>111</v>
      </c>
      <c r="E51" s="28">
        <v>1</v>
      </c>
      <c r="F51" s="29" t="s">
        <v>112</v>
      </c>
      <c r="G51" s="30">
        <f>'[1]trim1_ 2023'!G51+[1]trim2_2023!G51+[1]trim3_2023!G51+[1]trim4_2023!G51</f>
        <v>0</v>
      </c>
      <c r="H51" s="30">
        <f>'[1]trim1_ 2023'!H51+[1]trim2_2023!H51+[1]trim3_2023!H51+[1]trim4_2023!H51</f>
        <v>0</v>
      </c>
      <c r="I51" s="30">
        <f>'[1]trim1_ 2023'!I51+[1]trim2_2023!I51+[1]trim3_2023!I51+[1]trim4_2023!I51</f>
        <v>3611.91</v>
      </c>
      <c r="J51" s="30">
        <f>'[1]trim1_ 2023'!J51+[1]trim2_2023!J51+[1]trim3_2023!J51+[1]trim4_2023!J51</f>
        <v>0</v>
      </c>
      <c r="K51" s="30">
        <f>'[1]trim1_ 2023'!K51+[1]trim2_2023!K51+[1]trim3_2023!K51+[1]trim4_2023!K51</f>
        <v>0</v>
      </c>
      <c r="L51" s="30">
        <f t="shared" si="0"/>
        <v>0</v>
      </c>
      <c r="M51" s="30">
        <f>'[1]trim1_ 2023'!M51+[1]trim2_2023!M51+[1]trim3_2023!M51+[1]trim4_2023!M51</f>
        <v>0</v>
      </c>
      <c r="N51" s="30">
        <f>'[1]trim1_ 2023'!N51+[1]trim2_2023!N51+[1]trim3_2023!N51+[1]trim4_2023!N51</f>
        <v>0</v>
      </c>
      <c r="O51" s="30">
        <f>'[1]trim1_ 2023'!O51+[1]trim2_2023!O51+[1]trim3_2023!O51+[1]trim4_2023!O51</f>
        <v>0</v>
      </c>
      <c r="P51" s="30">
        <f>'[1]trim1_ 2023'!P51+[1]trim2_2023!P51+[1]trim3_2023!P51+[1]trim4_2023!P51</f>
        <v>0</v>
      </c>
      <c r="Q51" s="30">
        <f>'[1]trim1_ 2023'!Q51+[1]trim2_2023!Q51+[1]trim3_2023!Q51+[1]trim4_2023!Q51</f>
        <v>0</v>
      </c>
      <c r="R51" s="30">
        <f>'[1]trim1_ 2023'!R51+[1]trim2_2023!R51+[1]trim3_2023!R51+[1]trim4_2023!R51</f>
        <v>0</v>
      </c>
      <c r="S51" s="30">
        <f>'[1]trim1_ 2023'!S51+[1]trim2_2023!S51+[1]trim3_2023!S51+[1]trim4_2023!S51</f>
        <v>0</v>
      </c>
      <c r="T51" s="30">
        <f>'[1]trim1_ 2023'!T51+[1]trim2_2023!T51+[1]trim3_2023!T51+[1]trim4_2023!T51</f>
        <v>0</v>
      </c>
      <c r="U51" s="30">
        <f t="shared" si="1"/>
        <v>0</v>
      </c>
      <c r="V51" s="32">
        <v>1</v>
      </c>
      <c r="W51" s="30">
        <f>'[1]trim1_ 2023'!W51+[1]trim2_2023!W51+[1]trim3_2023!W51+[1]trim4_2023!W51</f>
        <v>0</v>
      </c>
      <c r="X51" s="30">
        <f t="shared" si="2"/>
        <v>3611.91</v>
      </c>
    </row>
    <row r="52" spans="1:24" ht="22.5">
      <c r="A52" s="25">
        <v>50</v>
      </c>
      <c r="B52" s="25">
        <v>668</v>
      </c>
      <c r="C52" s="26">
        <v>17523381</v>
      </c>
      <c r="D52" s="24" t="s">
        <v>113</v>
      </c>
      <c r="E52" s="28">
        <v>4</v>
      </c>
      <c r="F52" s="29" t="s">
        <v>114</v>
      </c>
      <c r="G52" s="30">
        <f>'[1]trim1_ 2023'!G52+[1]trim2_2023!G52+[1]trim3_2023!G52+[1]trim4_2023!G52</f>
        <v>0</v>
      </c>
      <c r="H52" s="30">
        <f>'[1]trim1_ 2023'!H52+[1]trim2_2023!H52+[1]trim3_2023!H52+[1]trim4_2023!H52</f>
        <v>0</v>
      </c>
      <c r="I52" s="30">
        <f>'[1]trim1_ 2023'!I52+[1]trim2_2023!I52+[1]trim3_2023!I52+[1]trim4_2023!I52</f>
        <v>14313.52</v>
      </c>
      <c r="J52" s="30">
        <f>'[1]trim1_ 2023'!J52+[1]trim2_2023!J52+[1]trim3_2023!J52+[1]trim4_2023!J52</f>
        <v>240</v>
      </c>
      <c r="K52" s="30">
        <f>'[1]trim1_ 2023'!K52+[1]trim2_2023!K52+[1]trim3_2023!K52+[1]trim4_2023!K52</f>
        <v>0</v>
      </c>
      <c r="L52" s="30">
        <f t="shared" si="0"/>
        <v>240</v>
      </c>
      <c r="M52" s="30">
        <f>'[1]trim1_ 2023'!M52+[1]trim2_2023!M52+[1]trim3_2023!M52+[1]trim4_2023!M52</f>
        <v>0</v>
      </c>
      <c r="N52" s="30">
        <f>'[1]trim1_ 2023'!N52+[1]trim2_2023!N52+[1]trim3_2023!N52+[1]trim4_2023!N52</f>
        <v>0</v>
      </c>
      <c r="O52" s="30">
        <f>'[1]trim1_ 2023'!O52+[1]trim2_2023!O52+[1]trim3_2023!O52+[1]trim4_2023!O52</f>
        <v>0</v>
      </c>
      <c r="P52" s="30">
        <f>'[1]trim1_ 2023'!P52+[1]trim2_2023!P52+[1]trim3_2023!P52+[1]trim4_2023!P52</f>
        <v>0</v>
      </c>
      <c r="Q52" s="30">
        <f>'[1]trim1_ 2023'!Q52+[1]trim2_2023!Q52+[1]trim3_2023!Q52+[1]trim4_2023!Q52</f>
        <v>0</v>
      </c>
      <c r="R52" s="30">
        <f>'[1]trim1_ 2023'!R52+[1]trim2_2023!R52+[1]trim3_2023!R52+[1]trim4_2023!R52</f>
        <v>0</v>
      </c>
      <c r="S52" s="30">
        <f>'[1]trim1_ 2023'!S52+[1]trim2_2023!S52+[1]trim3_2023!S52+[1]trim4_2023!S52</f>
        <v>0</v>
      </c>
      <c r="T52" s="30">
        <f>'[1]trim1_ 2023'!T52+[1]trim2_2023!T52+[1]trim3_2023!T52+[1]trim4_2023!T52</f>
        <v>0</v>
      </c>
      <c r="U52" s="30">
        <f t="shared" si="1"/>
        <v>0</v>
      </c>
      <c r="V52" s="32">
        <v>0</v>
      </c>
      <c r="W52" s="30">
        <f>'[1]trim1_ 2023'!W52+[1]trim2_2023!W52+[1]trim3_2023!W52+[1]trim4_2023!W52</f>
        <v>0</v>
      </c>
      <c r="X52" s="30">
        <f t="shared" si="2"/>
        <v>14553.52</v>
      </c>
    </row>
    <row r="53" spans="1:24" ht="22.5">
      <c r="A53" s="25">
        <v>51</v>
      </c>
      <c r="B53" s="25">
        <v>669</v>
      </c>
      <c r="C53" s="26">
        <v>18836182</v>
      </c>
      <c r="D53" s="24" t="s">
        <v>115</v>
      </c>
      <c r="E53" s="28">
        <v>2</v>
      </c>
      <c r="F53" s="29" t="s">
        <v>116</v>
      </c>
      <c r="G53" s="30">
        <f>'[1]trim1_ 2023'!G53+[1]trim2_2023!G53+[1]trim3_2023!G53+[1]trim4_2023!G53</f>
        <v>0</v>
      </c>
      <c r="H53" s="30">
        <f>'[1]trim1_ 2023'!H53+[1]trim2_2023!H53+[1]trim3_2023!H53+[1]trim4_2023!H53</f>
        <v>0</v>
      </c>
      <c r="I53" s="30">
        <f>'[1]trim1_ 2023'!I53+[1]trim2_2023!I53+[1]trim3_2023!I53+[1]trim4_2023!I53</f>
        <v>3017</v>
      </c>
      <c r="J53" s="30">
        <f>'[1]trim1_ 2023'!J53+[1]trim2_2023!J53+[1]trim3_2023!J53+[1]trim4_2023!J53</f>
        <v>0</v>
      </c>
      <c r="K53" s="30">
        <f>'[1]trim1_ 2023'!K53+[1]trim2_2023!K53+[1]trim3_2023!K53+[1]trim4_2023!K53</f>
        <v>0</v>
      </c>
      <c r="L53" s="30">
        <f t="shared" si="0"/>
        <v>0</v>
      </c>
      <c r="M53" s="30">
        <f>'[1]trim1_ 2023'!M53+[1]trim2_2023!M53+[1]trim3_2023!M53+[1]trim4_2023!M53</f>
        <v>0</v>
      </c>
      <c r="N53" s="30">
        <f>'[1]trim1_ 2023'!N53+[1]trim2_2023!N53+[1]trim3_2023!N53+[1]trim4_2023!N53</f>
        <v>0</v>
      </c>
      <c r="O53" s="30">
        <f>'[1]trim1_ 2023'!O53+[1]trim2_2023!O53+[1]trim3_2023!O53+[1]trim4_2023!O53</f>
        <v>0</v>
      </c>
      <c r="P53" s="30">
        <f>'[1]trim1_ 2023'!P53+[1]trim2_2023!P53+[1]trim3_2023!P53+[1]trim4_2023!P53</f>
        <v>0</v>
      </c>
      <c r="Q53" s="30">
        <f>'[1]trim1_ 2023'!Q53+[1]trim2_2023!Q53+[1]trim3_2023!Q53+[1]trim4_2023!Q53</f>
        <v>0</v>
      </c>
      <c r="R53" s="30">
        <f>'[1]trim1_ 2023'!R53+[1]trim2_2023!R53+[1]trim3_2023!R53+[1]trim4_2023!R53</f>
        <v>0</v>
      </c>
      <c r="S53" s="30">
        <f>'[1]trim1_ 2023'!S53+[1]trim2_2023!S53+[1]trim3_2023!S53+[1]trim4_2023!S53</f>
        <v>0</v>
      </c>
      <c r="T53" s="30">
        <f>'[1]trim1_ 2023'!T53+[1]trim2_2023!T53+[1]trim3_2023!T53+[1]trim4_2023!T53</f>
        <v>0</v>
      </c>
      <c r="U53" s="30">
        <f t="shared" si="1"/>
        <v>0</v>
      </c>
      <c r="V53" s="32">
        <v>2</v>
      </c>
      <c r="W53" s="30">
        <f>'[1]trim1_ 2023'!W53+[1]trim2_2023!W53+[1]trim3_2023!W53+[1]trim4_2023!W53</f>
        <v>0</v>
      </c>
      <c r="X53" s="30">
        <f t="shared" si="2"/>
        <v>3017</v>
      </c>
    </row>
    <row r="54" spans="1:24" ht="22.5">
      <c r="A54" s="25">
        <v>52</v>
      </c>
      <c r="B54" s="25">
        <v>670</v>
      </c>
      <c r="C54" s="26">
        <v>3023017</v>
      </c>
      <c r="D54" s="24" t="s">
        <v>117</v>
      </c>
      <c r="E54" s="28">
        <v>2</v>
      </c>
      <c r="F54" s="29" t="s">
        <v>118</v>
      </c>
      <c r="G54" s="30">
        <f>'[1]trim1_ 2023'!G54+[1]trim2_2023!G54+[1]trim3_2023!G54+[1]trim4_2023!G54</f>
        <v>22204.53</v>
      </c>
      <c r="H54" s="30">
        <f>'[1]trim1_ 2023'!H54+[1]trim2_2023!H54+[1]trim3_2023!H54+[1]trim4_2023!H54</f>
        <v>22446.12</v>
      </c>
      <c r="I54" s="30">
        <f>'[1]trim1_ 2023'!I54+[1]trim2_2023!I54+[1]trim3_2023!I54+[1]trim4_2023!I54</f>
        <v>1461212.3000000003</v>
      </c>
      <c r="J54" s="30">
        <f>'[1]trim1_ 2023'!J54+[1]trim2_2023!J54+[1]trim3_2023!J54+[1]trim4_2023!J54</f>
        <v>134928</v>
      </c>
      <c r="K54" s="30">
        <f>'[1]trim1_ 2023'!K54+[1]trim2_2023!K54+[1]trim3_2023!K54+[1]trim4_2023!K54</f>
        <v>5280</v>
      </c>
      <c r="L54" s="30">
        <f t="shared" si="0"/>
        <v>140208</v>
      </c>
      <c r="M54" s="30">
        <f>'[1]trim1_ 2023'!M54+[1]trim2_2023!M54+[1]trim3_2023!M54+[1]trim4_2023!M54</f>
        <v>0</v>
      </c>
      <c r="N54" s="30">
        <f>'[1]trim1_ 2023'!N54+[1]trim2_2023!N54+[1]trim3_2023!N54+[1]trim4_2023!N54</f>
        <v>0</v>
      </c>
      <c r="O54" s="30">
        <f>'[1]trim1_ 2023'!O54+[1]trim2_2023!O54+[1]trim3_2023!O54+[1]trim4_2023!O54</f>
        <v>210.78</v>
      </c>
      <c r="P54" s="30">
        <f>'[1]trim1_ 2023'!P54+[1]trim2_2023!P54+[1]trim3_2023!P54+[1]trim4_2023!P54</f>
        <v>0</v>
      </c>
      <c r="Q54" s="30">
        <f>'[1]trim1_ 2023'!Q54+[1]trim2_2023!Q54+[1]trim3_2023!Q54+[1]trim4_2023!Q54</f>
        <v>0</v>
      </c>
      <c r="R54" s="30">
        <f>'[1]trim1_ 2023'!R54+[1]trim2_2023!R54+[1]trim3_2023!R54+[1]trim4_2023!R54</f>
        <v>0</v>
      </c>
      <c r="S54" s="30">
        <f>'[1]trim1_ 2023'!S54+[1]trim2_2023!S54+[1]trim3_2023!S54+[1]trim4_2023!S54</f>
        <v>0</v>
      </c>
      <c r="T54" s="30">
        <f>'[1]trim1_ 2023'!T54+[1]trim2_2023!T54+[1]trim3_2023!T54+[1]trim4_2023!T54</f>
        <v>0</v>
      </c>
      <c r="U54" s="30">
        <f t="shared" si="1"/>
        <v>210.78</v>
      </c>
      <c r="V54" s="32">
        <v>2</v>
      </c>
      <c r="W54" s="30">
        <f>'[1]trim1_ 2023'!W54+[1]trim2_2023!W54+[1]trim3_2023!W54+[1]trim4_2023!W54</f>
        <v>0</v>
      </c>
      <c r="X54" s="30">
        <f t="shared" si="2"/>
        <v>1646281.7300000004</v>
      </c>
    </row>
    <row r="55" spans="1:24" s="45" customFormat="1">
      <c r="A55" s="82" t="s">
        <v>119</v>
      </c>
      <c r="B55" s="83"/>
      <c r="C55" s="83"/>
      <c r="D55" s="84"/>
      <c r="E55" s="42">
        <f>SUM(E8:E54)</f>
        <v>113</v>
      </c>
      <c r="F55" s="43"/>
      <c r="G55" s="30">
        <f>'[1]trim1_ 2023'!G55+[1]trim2_2023!G55+[1]trim3_2023!G55+[1]trim4_2023!G55</f>
        <v>10609720.23</v>
      </c>
      <c r="H55" s="30">
        <f>'[1]trim1_ 2023'!H55+[1]trim2_2023!H55+[1]trim3_2023!H55+[1]trim4_2023!H55</f>
        <v>691692.72</v>
      </c>
      <c r="I55" s="30">
        <f>'[1]trim1_ 2023'!I55+[1]trim2_2023!I55+[1]trim3_2023!I55+[1]trim4_2023!I55</f>
        <v>31702578.930000003</v>
      </c>
      <c r="J55" s="30">
        <f>'[1]trim1_ 2023'!J55+[1]trim2_2023!J55+[1]trim3_2023!J55+[1]trim4_2023!J55</f>
        <v>2048919.5999999999</v>
      </c>
      <c r="K55" s="30">
        <f>'[1]trim1_ 2023'!K55+[1]trim2_2023!K55+[1]trim3_2023!K55+[1]trim4_2023!K55</f>
        <v>59640</v>
      </c>
      <c r="L55" s="30">
        <f t="shared" si="0"/>
        <v>2108559.5999999996</v>
      </c>
      <c r="M55" s="30">
        <f>'[1]trim1_ 2023'!M55+[1]trim2_2023!M55+[1]trim3_2023!M55+[1]trim4_2023!M55</f>
        <v>33268.65</v>
      </c>
      <c r="N55" s="30">
        <f>'[1]trim1_ 2023'!N55+[1]trim2_2023!N55+[1]trim3_2023!N55+[1]trim4_2023!N55</f>
        <v>25547.850000000002</v>
      </c>
      <c r="O55" s="30">
        <f>'[1]trim1_ 2023'!O55+[1]trim2_2023!O55+[1]trim3_2023!O55+[1]trim4_2023!O55</f>
        <v>998502.90999999992</v>
      </c>
      <c r="P55" s="30">
        <f>'[1]trim1_ 2023'!P55+[1]trim2_2023!P55+[1]trim3_2023!P55+[1]trim4_2023!P55</f>
        <v>6174.5399999999991</v>
      </c>
      <c r="Q55" s="30">
        <f>'[1]trim1_ 2023'!Q55+[1]trim2_2023!Q55+[1]trim3_2023!Q55+[1]trim4_2023!Q55</f>
        <v>83845.989999999991</v>
      </c>
      <c r="R55" s="30">
        <f>'[1]trim1_ 2023'!R55+[1]trim2_2023!R55+[1]trim3_2023!R55+[1]trim4_2023!R55</f>
        <v>238192.63</v>
      </c>
      <c r="S55" s="30">
        <f>'[1]trim1_ 2023'!S55+[1]trim2_2023!S55+[1]trim3_2023!S55+[1]trim4_2023!S55</f>
        <v>1411078.53</v>
      </c>
      <c r="T55" s="30">
        <f>'[1]trim1_ 2023'!T55+[1]trim2_2023!T55+[1]trim3_2023!T55+[1]trim4_2023!T55</f>
        <v>27253.260000000002</v>
      </c>
      <c r="U55" s="30">
        <f t="shared" si="1"/>
        <v>2823864.36</v>
      </c>
      <c r="V55" s="44">
        <f>SUM(V8:V54)</f>
        <v>100</v>
      </c>
      <c r="W55" s="30">
        <f>'[1]trim1_ 2023'!W55+[1]trim2_2023!W55+[1]trim3_2023!W55+[1]trim4_2023!W55</f>
        <v>2886934.84</v>
      </c>
      <c r="X55" s="30">
        <f t="shared" si="2"/>
        <v>50823350.680000007</v>
      </c>
    </row>
    <row r="56" spans="1:24" s="51" customFormat="1">
      <c r="A56" s="46"/>
      <c r="B56" s="46"/>
      <c r="C56" s="46"/>
      <c r="D56" s="46"/>
      <c r="E56" s="47"/>
      <c r="F56" s="48"/>
      <c r="G56" s="49"/>
      <c r="H56" s="49"/>
      <c r="I56" s="49"/>
      <c r="J56" s="49"/>
      <c r="K56" s="49"/>
      <c r="L56" s="14"/>
      <c r="M56" s="49"/>
      <c r="N56" s="49"/>
      <c r="O56" s="49"/>
      <c r="P56" s="49"/>
      <c r="Q56" s="49"/>
      <c r="R56" s="49"/>
      <c r="S56" s="49"/>
      <c r="T56" s="49"/>
      <c r="U56" s="49"/>
      <c r="V56" s="50"/>
      <c r="W56" s="49"/>
      <c r="X56" s="49"/>
    </row>
  </sheetData>
  <mergeCells count="3">
    <mergeCell ref="D3:E5"/>
    <mergeCell ref="A6:F6"/>
    <mergeCell ref="A55:D55"/>
  </mergeCells>
  <hyperlinks>
    <hyperlink ref="C35" r:id="rId1" display="rafarm_93@yahoo.com"/>
    <hyperlink ref="C47" r:id="rId2" display="office@farmaciiledona.ro"/>
    <hyperlink ref="C46" r:id="rId3" display="sasviro@gmail.com"/>
    <hyperlink ref="C45" r:id="rId4" display="resita@sibpharmamed.ro"/>
    <hyperlink ref="C44" r:id="rId5" display="rafarm_93@yahoo.com"/>
    <hyperlink ref="C41" r:id="rId6" display="IS_23@ropharma.ro"/>
    <hyperlink ref="C40" r:id="rId7" display="farmacia.traian@yahoo.com"/>
    <hyperlink ref="C33" r:id="rId8" display="rafarm_93@yahoo.com"/>
    <hyperlink ref="C32" r:id="rId9" display="farmacia.traian@yahoo.com"/>
    <hyperlink ref="C31" r:id="rId10" display="stoleruandreea@yahoo.com"/>
    <hyperlink ref="C29" r:id="rId11" display="stoleruandreea@yahoo.com"/>
    <hyperlink ref="C25" r:id="rId12" display="rafarm_93@yahoo.com"/>
    <hyperlink ref="C21" r:id="rId13" display="farmacialaza@yahoo.com"/>
    <hyperlink ref="C20" r:id="rId14" display="farmaciafarmab@yahoo.com"/>
    <hyperlink ref="C19" r:id="rId15" display="farmaciafarmab2@yahoo.com"/>
    <hyperlink ref="C17" r:id="rId16" display="oficinasolesti@yahoo.com"/>
    <hyperlink ref="C16" r:id="rId17" display="resita@sibpharmamed.ro"/>
    <hyperlink ref="C15" r:id="rId18" display="farmaciafarmab2@yahoo.com"/>
    <hyperlink ref="C14" r:id="rId19" display="resita@sibpharmamed.ro"/>
    <hyperlink ref="C9" r:id="rId20" display="rafarm_93@yahoo.com"/>
    <hyperlink ref="C8" r:id="rId21" display="stoleruandreea@yahoo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CONSUM MEDICAMENTE AN 2023</vt:lpstr>
      <vt:lpstr>PNS AN 2023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maricica.ha2024</dc:creator>
  <cp:lastModifiedBy>mihaela.ni2024</cp:lastModifiedBy>
  <dcterms:created xsi:type="dcterms:W3CDTF">2024-04-08T07:35:38Z</dcterms:created>
  <dcterms:modified xsi:type="dcterms:W3CDTF">2024-04-08T09:38:30Z</dcterms:modified>
</cp:coreProperties>
</file>