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8455" windowHeight="12255"/>
  </bookViews>
  <sheets>
    <sheet name="spitale contractat realizat dec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70" i="1"/>
  <c r="J570"/>
  <c r="I570"/>
  <c r="H570"/>
  <c r="G570"/>
  <c r="E570"/>
  <c r="D570"/>
  <c r="L569"/>
  <c r="J569"/>
  <c r="I569"/>
  <c r="H569"/>
  <c r="G569"/>
  <c r="E569"/>
  <c r="D569"/>
  <c r="L568"/>
  <c r="J568"/>
  <c r="I568"/>
  <c r="H568"/>
  <c r="G568"/>
  <c r="E568"/>
  <c r="D568"/>
  <c r="L566"/>
  <c r="J566"/>
  <c r="I566"/>
  <c r="H566"/>
  <c r="G566"/>
  <c r="E566"/>
  <c r="D566"/>
  <c r="L565"/>
  <c r="J565"/>
  <c r="I565"/>
  <c r="H565"/>
  <c r="G565"/>
  <c r="E565"/>
  <c r="D565"/>
  <c r="L564"/>
  <c r="J564"/>
  <c r="I564"/>
  <c r="H564"/>
  <c r="G564"/>
  <c r="E564"/>
  <c r="D564"/>
  <c r="L562"/>
  <c r="J562"/>
  <c r="I562"/>
  <c r="H562"/>
  <c r="G562"/>
  <c r="E562"/>
  <c r="D562"/>
  <c r="L561"/>
  <c r="J561"/>
  <c r="I561"/>
  <c r="H561"/>
  <c r="G561"/>
  <c r="E561"/>
  <c r="D561"/>
  <c r="L560"/>
  <c r="J560"/>
  <c r="I560"/>
  <c r="H560"/>
  <c r="G560"/>
  <c r="E560"/>
  <c r="D560"/>
  <c r="L554"/>
  <c r="J554"/>
  <c r="I554"/>
  <c r="H554"/>
  <c r="G554"/>
  <c r="E554"/>
  <c r="D554"/>
  <c r="L553"/>
  <c r="J553"/>
  <c r="I553"/>
  <c r="H553"/>
  <c r="G553"/>
  <c r="E553"/>
  <c r="D553"/>
  <c r="L552"/>
  <c r="J552"/>
  <c r="I552"/>
  <c r="H552"/>
  <c r="G552"/>
  <c r="L550"/>
  <c r="J550"/>
  <c r="I550"/>
  <c r="H550"/>
  <c r="G550"/>
  <c r="E550"/>
  <c r="D550"/>
  <c r="L549"/>
  <c r="J549"/>
  <c r="I549"/>
  <c r="H549"/>
  <c r="G549"/>
  <c r="E549"/>
  <c r="D549"/>
  <c r="L548"/>
  <c r="J548"/>
  <c r="I548"/>
  <c r="H548"/>
  <c r="G548"/>
  <c r="D548"/>
  <c r="L546"/>
  <c r="J546"/>
  <c r="I546"/>
  <c r="H546"/>
  <c r="G546"/>
  <c r="D546"/>
  <c r="L545"/>
  <c r="J545"/>
  <c r="I545"/>
  <c r="H545"/>
  <c r="G545"/>
  <c r="E545"/>
  <c r="D545"/>
  <c r="L544"/>
  <c r="J544"/>
  <c r="I544"/>
  <c r="H544"/>
  <c r="G544"/>
  <c r="E544"/>
  <c r="L541"/>
  <c r="J541"/>
  <c r="I541"/>
  <c r="H541"/>
  <c r="G541"/>
  <c r="E541"/>
  <c r="D541"/>
  <c r="L540"/>
  <c r="G540"/>
  <c r="D540"/>
  <c r="H533"/>
  <c r="J530"/>
  <c r="I530"/>
  <c r="H530"/>
  <c r="G530"/>
  <c r="E530"/>
  <c r="J529"/>
  <c r="I529"/>
  <c r="H529"/>
  <c r="E529"/>
  <c r="D529"/>
  <c r="J528"/>
  <c r="I528"/>
  <c r="H528"/>
  <c r="L526"/>
  <c r="J526"/>
  <c r="I526"/>
  <c r="H526"/>
  <c r="G526"/>
  <c r="E526"/>
  <c r="D526"/>
  <c r="L525"/>
  <c r="J525"/>
  <c r="I525"/>
  <c r="H525"/>
  <c r="G525"/>
  <c r="E525"/>
  <c r="D525"/>
  <c r="J524"/>
  <c r="I524"/>
  <c r="H524"/>
  <c r="L522"/>
  <c r="J522"/>
  <c r="I522"/>
  <c r="H522"/>
  <c r="G522"/>
  <c r="E522"/>
  <c r="D522"/>
  <c r="L521"/>
  <c r="J521"/>
  <c r="I521"/>
  <c r="H521"/>
  <c r="G521"/>
  <c r="E521"/>
  <c r="D521"/>
  <c r="J520"/>
  <c r="I520"/>
  <c r="H520"/>
  <c r="H518"/>
  <c r="H517"/>
  <c r="G517"/>
  <c r="E517"/>
  <c r="D517"/>
  <c r="H516"/>
  <c r="G516"/>
  <c r="E516"/>
  <c r="D516"/>
  <c r="L511"/>
  <c r="J511"/>
  <c r="I511"/>
  <c r="H511"/>
  <c r="G511"/>
  <c r="E511"/>
  <c r="D511"/>
  <c r="L510"/>
  <c r="J510"/>
  <c r="I510"/>
  <c r="H510"/>
  <c r="G510"/>
  <c r="E510"/>
  <c r="D510"/>
  <c r="L509"/>
  <c r="J509"/>
  <c r="I509"/>
  <c r="H509"/>
  <c r="L507"/>
  <c r="J507"/>
  <c r="I507"/>
  <c r="H507"/>
  <c r="G507"/>
  <c r="E507"/>
  <c r="D507"/>
  <c r="L506"/>
  <c r="J506"/>
  <c r="I506"/>
  <c r="H506"/>
  <c r="G506"/>
  <c r="E506"/>
  <c r="D506"/>
  <c r="L505"/>
  <c r="J505"/>
  <c r="I505"/>
  <c r="H505"/>
  <c r="L503"/>
  <c r="J503"/>
  <c r="I503"/>
  <c r="H503"/>
  <c r="G503"/>
  <c r="E503"/>
  <c r="D503"/>
  <c r="L502"/>
  <c r="J502"/>
  <c r="I502"/>
  <c r="H502"/>
  <c r="G502"/>
  <c r="E502"/>
  <c r="D502"/>
  <c r="J501"/>
  <c r="I501"/>
  <c r="H501"/>
  <c r="K493"/>
  <c r="F493"/>
  <c r="E493"/>
  <c r="L492"/>
  <c r="J492"/>
  <c r="I492"/>
  <c r="H492"/>
  <c r="G492"/>
  <c r="E492"/>
  <c r="D492"/>
  <c r="L491"/>
  <c r="J491"/>
  <c r="I491"/>
  <c r="H491"/>
  <c r="G491"/>
  <c r="E491"/>
  <c r="D491"/>
  <c r="L490"/>
  <c r="J490"/>
  <c r="I490"/>
  <c r="H490"/>
  <c r="G490"/>
  <c r="E490"/>
  <c r="D490"/>
  <c r="L489"/>
  <c r="J489"/>
  <c r="I489"/>
  <c r="H489"/>
  <c r="G489"/>
  <c r="D489"/>
  <c r="K488"/>
  <c r="F488"/>
  <c r="K487"/>
  <c r="F487"/>
  <c r="K486"/>
  <c r="F486"/>
  <c r="L485"/>
  <c r="J485"/>
  <c r="I485"/>
  <c r="H485"/>
  <c r="G485"/>
  <c r="D485"/>
  <c r="K484"/>
  <c r="F484"/>
  <c r="K483"/>
  <c r="F483"/>
  <c r="K482"/>
  <c r="F482"/>
  <c r="L481"/>
  <c r="L493" s="1"/>
  <c r="J481"/>
  <c r="J493" s="1"/>
  <c r="I481"/>
  <c r="I493" s="1"/>
  <c r="H481"/>
  <c r="H493" s="1"/>
  <c r="G481"/>
  <c r="G493" s="1"/>
  <c r="D481"/>
  <c r="D493" s="1"/>
  <c r="K480"/>
  <c r="K492" s="1"/>
  <c r="F480"/>
  <c r="F492" s="1"/>
  <c r="K479"/>
  <c r="K491" s="1"/>
  <c r="F479"/>
  <c r="F491" s="1"/>
  <c r="K478"/>
  <c r="K490" s="1"/>
  <c r="F478"/>
  <c r="F490" s="1"/>
  <c r="J476"/>
  <c r="I476"/>
  <c r="H476"/>
  <c r="H497" s="1"/>
  <c r="G476"/>
  <c r="E476"/>
  <c r="L475"/>
  <c r="J475"/>
  <c r="J496" s="1"/>
  <c r="I475"/>
  <c r="I496" s="1"/>
  <c r="H475"/>
  <c r="G475"/>
  <c r="E475"/>
  <c r="E496" s="1"/>
  <c r="D475"/>
  <c r="D496" s="1"/>
  <c r="L474"/>
  <c r="J474"/>
  <c r="I474"/>
  <c r="I495" s="1"/>
  <c r="H474"/>
  <c r="H495" s="1"/>
  <c r="G474"/>
  <c r="E474"/>
  <c r="D474"/>
  <c r="D495" s="1"/>
  <c r="L473"/>
  <c r="L477" s="1"/>
  <c r="J473"/>
  <c r="J477" s="1"/>
  <c r="I473"/>
  <c r="H473"/>
  <c r="H477" s="1"/>
  <c r="G473"/>
  <c r="G477" s="1"/>
  <c r="E473"/>
  <c r="D473"/>
  <c r="D477" s="1"/>
  <c r="L472"/>
  <c r="H472"/>
  <c r="G472"/>
  <c r="D472"/>
  <c r="K471"/>
  <c r="F471"/>
  <c r="K470"/>
  <c r="F470"/>
  <c r="K469"/>
  <c r="F469"/>
  <c r="L468"/>
  <c r="J468"/>
  <c r="I468"/>
  <c r="H468"/>
  <c r="G468"/>
  <c r="E468"/>
  <c r="D468"/>
  <c r="K467"/>
  <c r="F467"/>
  <c r="K466"/>
  <c r="F466"/>
  <c r="K465"/>
  <c r="K468" s="1"/>
  <c r="F465"/>
  <c r="F468" s="1"/>
  <c r="L464"/>
  <c r="L476" s="1"/>
  <c r="L497" s="1"/>
  <c r="J464"/>
  <c r="I464"/>
  <c r="H464"/>
  <c r="G464"/>
  <c r="E464"/>
  <c r="D464"/>
  <c r="K463"/>
  <c r="F463"/>
  <c r="F475" s="1"/>
  <c r="F496" s="1"/>
  <c r="K462"/>
  <c r="F462"/>
  <c r="K461"/>
  <c r="K464" s="1"/>
  <c r="F461"/>
  <c r="F473" s="1"/>
  <c r="F494" s="1"/>
  <c r="J457"/>
  <c r="J540" s="1"/>
  <c r="I457"/>
  <c r="I540" s="1"/>
  <c r="E457"/>
  <c r="E540" s="1"/>
  <c r="L451"/>
  <c r="L455" s="1"/>
  <c r="J451"/>
  <c r="J455" s="1"/>
  <c r="I451"/>
  <c r="H451"/>
  <c r="G451"/>
  <c r="G452" s="1"/>
  <c r="E451"/>
  <c r="D451"/>
  <c r="L450"/>
  <c r="J450"/>
  <c r="J454" s="1"/>
  <c r="I450"/>
  <c r="I454" s="1"/>
  <c r="G450"/>
  <c r="E450"/>
  <c r="E454" s="1"/>
  <c r="D450"/>
  <c r="F450" s="1"/>
  <c r="L449"/>
  <c r="J449"/>
  <c r="I449"/>
  <c r="I452" s="1"/>
  <c r="H449"/>
  <c r="H452" s="1"/>
  <c r="G449"/>
  <c r="E449"/>
  <c r="D449"/>
  <c r="D452" s="1"/>
  <c r="L448"/>
  <c r="J448"/>
  <c r="I448"/>
  <c r="H448"/>
  <c r="G448"/>
  <c r="E448"/>
  <c r="D448"/>
  <c r="K447"/>
  <c r="F447"/>
  <c r="K446"/>
  <c r="F446"/>
  <c r="K445"/>
  <c r="K448" s="1"/>
  <c r="F445"/>
  <c r="F448" s="1"/>
  <c r="L444"/>
  <c r="J444"/>
  <c r="I444"/>
  <c r="H444"/>
  <c r="G444"/>
  <c r="E444"/>
  <c r="D444"/>
  <c r="K443"/>
  <c r="F443"/>
  <c r="K442"/>
  <c r="F442"/>
  <c r="K441"/>
  <c r="K444" s="1"/>
  <c r="F441"/>
  <c r="F444" s="1"/>
  <c r="L440"/>
  <c r="J440"/>
  <c r="I440"/>
  <c r="H440"/>
  <c r="G440"/>
  <c r="E440"/>
  <c r="D440"/>
  <c r="K439"/>
  <c r="F439"/>
  <c r="K438"/>
  <c r="F438"/>
  <c r="K437"/>
  <c r="K440" s="1"/>
  <c r="F437"/>
  <c r="F440" s="1"/>
  <c r="F434"/>
  <c r="K434" s="1"/>
  <c r="K433"/>
  <c r="K457" s="1"/>
  <c r="F433"/>
  <c r="F457" s="1"/>
  <c r="L432"/>
  <c r="J432"/>
  <c r="I432"/>
  <c r="H432"/>
  <c r="G432"/>
  <c r="E432"/>
  <c r="D432"/>
  <c r="D455" s="1"/>
  <c r="L431"/>
  <c r="J431"/>
  <c r="I431"/>
  <c r="H431"/>
  <c r="H454" s="1"/>
  <c r="H499" s="1"/>
  <c r="G431"/>
  <c r="E431"/>
  <c r="D431"/>
  <c r="L430"/>
  <c r="L453" s="1"/>
  <c r="J430"/>
  <c r="J453" s="1"/>
  <c r="I430"/>
  <c r="I453" s="1"/>
  <c r="H430"/>
  <c r="G430"/>
  <c r="G453" s="1"/>
  <c r="E430"/>
  <c r="E453" s="1"/>
  <c r="D430"/>
  <c r="D453" s="1"/>
  <c r="L429"/>
  <c r="J429"/>
  <c r="J436" s="1"/>
  <c r="I429"/>
  <c r="I436" s="1"/>
  <c r="H429"/>
  <c r="G429"/>
  <c r="E429"/>
  <c r="E436" s="1"/>
  <c r="D429"/>
  <c r="D436" s="1"/>
  <c r="D456" s="1"/>
  <c r="K428"/>
  <c r="F428"/>
  <c r="K427"/>
  <c r="K431" s="1"/>
  <c r="F427"/>
  <c r="F431" s="1"/>
  <c r="K426"/>
  <c r="K429" s="1"/>
  <c r="F426"/>
  <c r="F429" s="1"/>
  <c r="L425"/>
  <c r="J425"/>
  <c r="I425"/>
  <c r="H425"/>
  <c r="G425"/>
  <c r="E425"/>
  <c r="D425"/>
  <c r="K424"/>
  <c r="F424"/>
  <c r="K423"/>
  <c r="F423"/>
  <c r="K422"/>
  <c r="K425" s="1"/>
  <c r="F422"/>
  <c r="F425" s="1"/>
  <c r="L421"/>
  <c r="J421"/>
  <c r="I421"/>
  <c r="H421"/>
  <c r="G421"/>
  <c r="E421"/>
  <c r="D421"/>
  <c r="K420"/>
  <c r="F420"/>
  <c r="K419"/>
  <c r="F419"/>
  <c r="K418"/>
  <c r="K421" s="1"/>
  <c r="F418"/>
  <c r="F421" s="1"/>
  <c r="G410"/>
  <c r="L409"/>
  <c r="J409"/>
  <c r="I409"/>
  <c r="H409"/>
  <c r="G409"/>
  <c r="E409"/>
  <c r="D409"/>
  <c r="L408"/>
  <c r="J408"/>
  <c r="I408"/>
  <c r="H408"/>
  <c r="G408"/>
  <c r="E408"/>
  <c r="D408"/>
  <c r="L407"/>
  <c r="J407"/>
  <c r="I407"/>
  <c r="H407"/>
  <c r="G407"/>
  <c r="E407"/>
  <c r="D407"/>
  <c r="L406"/>
  <c r="K406"/>
  <c r="J406"/>
  <c r="I406"/>
  <c r="H406"/>
  <c r="E406"/>
  <c r="D406"/>
  <c r="K405"/>
  <c r="F405"/>
  <c r="K404"/>
  <c r="F404"/>
  <c r="K403"/>
  <c r="F403"/>
  <c r="F406" s="1"/>
  <c r="L402"/>
  <c r="J402"/>
  <c r="I402"/>
  <c r="H402"/>
  <c r="E402"/>
  <c r="D402"/>
  <c r="K401"/>
  <c r="F401"/>
  <c r="K400"/>
  <c r="F400"/>
  <c r="K399"/>
  <c r="K402" s="1"/>
  <c r="F399"/>
  <c r="F402" s="1"/>
  <c r="L398"/>
  <c r="J398"/>
  <c r="J410" s="1"/>
  <c r="I398"/>
  <c r="I410" s="1"/>
  <c r="H398"/>
  <c r="E398"/>
  <c r="E563" s="1"/>
  <c r="D398"/>
  <c r="D563" s="1"/>
  <c r="K397"/>
  <c r="K409" s="1"/>
  <c r="F397"/>
  <c r="K396"/>
  <c r="F396"/>
  <c r="F408" s="1"/>
  <c r="K395"/>
  <c r="K407" s="1"/>
  <c r="F395"/>
  <c r="L393"/>
  <c r="L413" s="1"/>
  <c r="J393"/>
  <c r="I393"/>
  <c r="I413" s="1"/>
  <c r="H393"/>
  <c r="H413" s="1"/>
  <c r="G393"/>
  <c r="G413" s="1"/>
  <c r="D393"/>
  <c r="L392"/>
  <c r="L412" s="1"/>
  <c r="J392"/>
  <c r="J412" s="1"/>
  <c r="I392"/>
  <c r="H392"/>
  <c r="G392"/>
  <c r="G412" s="1"/>
  <c r="G416" s="1"/>
  <c r="E392"/>
  <c r="E412" s="1"/>
  <c r="D392"/>
  <c r="L391"/>
  <c r="J391"/>
  <c r="J411" s="1"/>
  <c r="I391"/>
  <c r="I411" s="1"/>
  <c r="H391"/>
  <c r="G391"/>
  <c r="D391"/>
  <c r="D411" s="1"/>
  <c r="L390"/>
  <c r="J390"/>
  <c r="I390"/>
  <c r="H390"/>
  <c r="K389"/>
  <c r="F389"/>
  <c r="K388"/>
  <c r="F388"/>
  <c r="L386"/>
  <c r="J386"/>
  <c r="I386"/>
  <c r="H386"/>
  <c r="G386"/>
  <c r="D386"/>
  <c r="K385"/>
  <c r="F385"/>
  <c r="K384"/>
  <c r="F384"/>
  <c r="L382"/>
  <c r="J382"/>
  <c r="J394" s="1"/>
  <c r="J414" s="1"/>
  <c r="I382"/>
  <c r="I394" s="1"/>
  <c r="H382"/>
  <c r="G382"/>
  <c r="D382"/>
  <c r="K380"/>
  <c r="F380"/>
  <c r="K379"/>
  <c r="F379"/>
  <c r="K376"/>
  <c r="K375"/>
  <c r="L369"/>
  <c r="J369"/>
  <c r="J373" s="1"/>
  <c r="I369"/>
  <c r="H369"/>
  <c r="G369"/>
  <c r="E369"/>
  <c r="D369"/>
  <c r="L368"/>
  <c r="J368"/>
  <c r="I368"/>
  <c r="I372" s="1"/>
  <c r="G368"/>
  <c r="G372" s="1"/>
  <c r="E368"/>
  <c r="D368"/>
  <c r="F368" s="1"/>
  <c r="L367"/>
  <c r="L370" s="1"/>
  <c r="J367"/>
  <c r="I367"/>
  <c r="H367"/>
  <c r="H370" s="1"/>
  <c r="E367"/>
  <c r="E370" s="1"/>
  <c r="D367"/>
  <c r="D370" s="1"/>
  <c r="L366"/>
  <c r="J366"/>
  <c r="I366"/>
  <c r="H366"/>
  <c r="E366"/>
  <c r="D366"/>
  <c r="K365"/>
  <c r="F365"/>
  <c r="F366" s="1"/>
  <c r="G364"/>
  <c r="K364" s="1"/>
  <c r="F364"/>
  <c r="K363"/>
  <c r="G363"/>
  <c r="G366" s="1"/>
  <c r="F363"/>
  <c r="L362"/>
  <c r="J362"/>
  <c r="I362"/>
  <c r="H362"/>
  <c r="E362"/>
  <c r="D362"/>
  <c r="K361"/>
  <c r="F361"/>
  <c r="F362" s="1"/>
  <c r="K360"/>
  <c r="F360"/>
  <c r="G359"/>
  <c r="G524" s="1"/>
  <c r="F359"/>
  <c r="F367" s="1"/>
  <c r="L358"/>
  <c r="J358"/>
  <c r="I358"/>
  <c r="H358"/>
  <c r="E358"/>
  <c r="D358"/>
  <c r="K357"/>
  <c r="F357"/>
  <c r="K356"/>
  <c r="F356"/>
  <c r="K355"/>
  <c r="K358" s="1"/>
  <c r="G355"/>
  <c r="G358" s="1"/>
  <c r="F355"/>
  <c r="K352"/>
  <c r="K351"/>
  <c r="L350"/>
  <c r="J350"/>
  <c r="I350"/>
  <c r="H350"/>
  <c r="G350"/>
  <c r="G353" s="1"/>
  <c r="E350"/>
  <c r="D350"/>
  <c r="D373" s="1"/>
  <c r="L349"/>
  <c r="J349"/>
  <c r="I349"/>
  <c r="H349"/>
  <c r="H372" s="1"/>
  <c r="G349"/>
  <c r="E349"/>
  <c r="E372" s="1"/>
  <c r="D349"/>
  <c r="D372" s="1"/>
  <c r="L348"/>
  <c r="L371" s="1"/>
  <c r="J348"/>
  <c r="J371" s="1"/>
  <c r="I348"/>
  <c r="I371" s="1"/>
  <c r="H348"/>
  <c r="H371" s="1"/>
  <c r="E348"/>
  <c r="E371" s="1"/>
  <c r="D348"/>
  <c r="D371" s="1"/>
  <c r="L347"/>
  <c r="J347"/>
  <c r="I347"/>
  <c r="I354" s="1"/>
  <c r="H347"/>
  <c r="H354" s="1"/>
  <c r="G347"/>
  <c r="E347"/>
  <c r="D347"/>
  <c r="D354" s="1"/>
  <c r="D374" s="1"/>
  <c r="K346"/>
  <c r="K350" s="1"/>
  <c r="F346"/>
  <c r="K345"/>
  <c r="F345"/>
  <c r="F349" s="1"/>
  <c r="K344"/>
  <c r="K347" s="1"/>
  <c r="F344"/>
  <c r="F347" s="1"/>
  <c r="L343"/>
  <c r="J343"/>
  <c r="I343"/>
  <c r="H343"/>
  <c r="G343"/>
  <c r="E343"/>
  <c r="D343"/>
  <c r="K342"/>
  <c r="F342"/>
  <c r="K341"/>
  <c r="F341"/>
  <c r="K340"/>
  <c r="K343" s="1"/>
  <c r="F340"/>
  <c r="L339"/>
  <c r="J339"/>
  <c r="I339"/>
  <c r="H339"/>
  <c r="E339"/>
  <c r="D339"/>
  <c r="K338"/>
  <c r="F338"/>
  <c r="K337"/>
  <c r="F337"/>
  <c r="G336"/>
  <c r="G348" s="1"/>
  <c r="F336"/>
  <c r="F339" s="1"/>
  <c r="K328"/>
  <c r="F328"/>
  <c r="E328"/>
  <c r="D328"/>
  <c r="L327"/>
  <c r="J327"/>
  <c r="I327"/>
  <c r="H327"/>
  <c r="G327"/>
  <c r="E327"/>
  <c r="D327"/>
  <c r="L326"/>
  <c r="J326"/>
  <c r="I326"/>
  <c r="H326"/>
  <c r="G326"/>
  <c r="E326"/>
  <c r="D326"/>
  <c r="L325"/>
  <c r="J325"/>
  <c r="I325"/>
  <c r="H325"/>
  <c r="G325"/>
  <c r="E325"/>
  <c r="D325"/>
  <c r="L324"/>
  <c r="J324"/>
  <c r="I324"/>
  <c r="H324"/>
  <c r="G324"/>
  <c r="K323"/>
  <c r="F323"/>
  <c r="K322"/>
  <c r="F322"/>
  <c r="K321"/>
  <c r="F321"/>
  <c r="L320"/>
  <c r="J320"/>
  <c r="I320"/>
  <c r="H320"/>
  <c r="G320"/>
  <c r="K319"/>
  <c r="F319"/>
  <c r="K318"/>
  <c r="F318"/>
  <c r="K317"/>
  <c r="F317"/>
  <c r="J316"/>
  <c r="I316"/>
  <c r="I328" s="1"/>
  <c r="H316"/>
  <c r="G316"/>
  <c r="G563" s="1"/>
  <c r="K315"/>
  <c r="F315"/>
  <c r="F327" s="1"/>
  <c r="K314"/>
  <c r="F314"/>
  <c r="K313"/>
  <c r="F313"/>
  <c r="L311"/>
  <c r="J311"/>
  <c r="I311"/>
  <c r="I332" s="1"/>
  <c r="H311"/>
  <c r="H332" s="1"/>
  <c r="G311"/>
  <c r="E311"/>
  <c r="D311"/>
  <c r="D332" s="1"/>
  <c r="L310"/>
  <c r="L331" s="1"/>
  <c r="J310"/>
  <c r="J331" s="1"/>
  <c r="I310"/>
  <c r="I331" s="1"/>
  <c r="H310"/>
  <c r="H331" s="1"/>
  <c r="G310"/>
  <c r="E310"/>
  <c r="E331" s="1"/>
  <c r="D310"/>
  <c r="D331" s="1"/>
  <c r="L309"/>
  <c r="J309"/>
  <c r="J330" s="1"/>
  <c r="J334" s="1"/>
  <c r="I309"/>
  <c r="I330" s="1"/>
  <c r="I334" s="1"/>
  <c r="H309"/>
  <c r="G309"/>
  <c r="G330" s="1"/>
  <c r="G334" s="1"/>
  <c r="E309"/>
  <c r="E330" s="1"/>
  <c r="E334" s="1"/>
  <c r="D309"/>
  <c r="L308"/>
  <c r="L329" s="1"/>
  <c r="J308"/>
  <c r="J329" s="1"/>
  <c r="I308"/>
  <c r="H308"/>
  <c r="H329" s="1"/>
  <c r="G308"/>
  <c r="G329" s="1"/>
  <c r="E308"/>
  <c r="E329" s="1"/>
  <c r="D308"/>
  <c r="D329" s="1"/>
  <c r="J307"/>
  <c r="I307"/>
  <c r="H307"/>
  <c r="G307"/>
  <c r="G555" s="1"/>
  <c r="K306"/>
  <c r="F306"/>
  <c r="K305"/>
  <c r="F305"/>
  <c r="K304"/>
  <c r="D304"/>
  <c r="F304" s="1"/>
  <c r="L303"/>
  <c r="L312" s="1"/>
  <c r="J303"/>
  <c r="I303"/>
  <c r="H303"/>
  <c r="G303"/>
  <c r="E303"/>
  <c r="D303"/>
  <c r="K302"/>
  <c r="F302"/>
  <c r="K301"/>
  <c r="F301"/>
  <c r="K300"/>
  <c r="K303" s="1"/>
  <c r="F300"/>
  <c r="F303" s="1"/>
  <c r="L299"/>
  <c r="J299"/>
  <c r="I299"/>
  <c r="I312" s="1"/>
  <c r="H299"/>
  <c r="G299"/>
  <c r="E299"/>
  <c r="D299"/>
  <c r="K298"/>
  <c r="K311" s="1"/>
  <c r="F298"/>
  <c r="K297"/>
  <c r="F297"/>
  <c r="K296"/>
  <c r="K308" s="1"/>
  <c r="F296"/>
  <c r="F293"/>
  <c r="F292"/>
  <c r="K292" s="1"/>
  <c r="J286"/>
  <c r="I286"/>
  <c r="H286"/>
  <c r="G286"/>
  <c r="G290" s="1"/>
  <c r="G294" s="1"/>
  <c r="E286"/>
  <c r="D286"/>
  <c r="J285"/>
  <c r="J289" s="1"/>
  <c r="I285"/>
  <c r="G285"/>
  <c r="E285"/>
  <c r="D285"/>
  <c r="F285" s="1"/>
  <c r="J284"/>
  <c r="I284"/>
  <c r="H284"/>
  <c r="G284"/>
  <c r="J283"/>
  <c r="J287" s="1"/>
  <c r="I283"/>
  <c r="H283"/>
  <c r="G283"/>
  <c r="G287" s="1"/>
  <c r="L282"/>
  <c r="L530" s="1"/>
  <c r="K282"/>
  <c r="F282"/>
  <c r="L281"/>
  <c r="L285" s="1"/>
  <c r="K281"/>
  <c r="F281"/>
  <c r="L280"/>
  <c r="E280"/>
  <c r="E283" s="1"/>
  <c r="E287" s="1"/>
  <c r="D280"/>
  <c r="J279"/>
  <c r="I279"/>
  <c r="H279"/>
  <c r="G279"/>
  <c r="E279"/>
  <c r="K278"/>
  <c r="F278"/>
  <c r="F279" s="1"/>
  <c r="K277"/>
  <c r="F277"/>
  <c r="L276"/>
  <c r="L279" s="1"/>
  <c r="K276"/>
  <c r="K279" s="1"/>
  <c r="F276"/>
  <c r="D276"/>
  <c r="D279" s="1"/>
  <c r="J275"/>
  <c r="I275"/>
  <c r="H275"/>
  <c r="G275"/>
  <c r="E275"/>
  <c r="K274"/>
  <c r="F274"/>
  <c r="K273"/>
  <c r="F273"/>
  <c r="L272"/>
  <c r="L275" s="1"/>
  <c r="D272"/>
  <c r="K272" s="1"/>
  <c r="L269"/>
  <c r="L517" s="1"/>
  <c r="F269"/>
  <c r="K269" s="1"/>
  <c r="F268"/>
  <c r="K268" s="1"/>
  <c r="L267"/>
  <c r="J267"/>
  <c r="I267"/>
  <c r="H267"/>
  <c r="G267"/>
  <c r="E267"/>
  <c r="E270" s="1"/>
  <c r="E290" s="1"/>
  <c r="E294" s="1"/>
  <c r="E335" s="1"/>
  <c r="D267"/>
  <c r="D270" s="1"/>
  <c r="L266"/>
  <c r="J266"/>
  <c r="I266"/>
  <c r="H266"/>
  <c r="H289" s="1"/>
  <c r="G266"/>
  <c r="E266"/>
  <c r="E289" s="1"/>
  <c r="D266"/>
  <c r="D289" s="1"/>
  <c r="J265"/>
  <c r="J288" s="1"/>
  <c r="I265"/>
  <c r="I288" s="1"/>
  <c r="H265"/>
  <c r="H513" s="1"/>
  <c r="G265"/>
  <c r="G271" s="1"/>
  <c r="G291" s="1"/>
  <c r="L264"/>
  <c r="J264"/>
  <c r="I264"/>
  <c r="H264"/>
  <c r="G264"/>
  <c r="K263"/>
  <c r="F263"/>
  <c r="F267" s="1"/>
  <c r="K262"/>
  <c r="K266" s="1"/>
  <c r="F262"/>
  <c r="E261"/>
  <c r="E264" s="1"/>
  <c r="D261"/>
  <c r="L260"/>
  <c r="J260"/>
  <c r="I260"/>
  <c r="H260"/>
  <c r="G260"/>
  <c r="E260"/>
  <c r="D260"/>
  <c r="K259"/>
  <c r="F259"/>
  <c r="K258"/>
  <c r="F258"/>
  <c r="K257"/>
  <c r="K260" s="1"/>
  <c r="D257"/>
  <c r="F257" s="1"/>
  <c r="F260" s="1"/>
  <c r="J256"/>
  <c r="I256"/>
  <c r="H256"/>
  <c r="G256"/>
  <c r="E256"/>
  <c r="K255"/>
  <c r="F255"/>
  <c r="K254"/>
  <c r="F254"/>
  <c r="L253"/>
  <c r="L265" s="1"/>
  <c r="D253"/>
  <c r="D256" s="1"/>
  <c r="K245"/>
  <c r="G245"/>
  <c r="F245"/>
  <c r="E245"/>
  <c r="D245"/>
  <c r="L244"/>
  <c r="J244"/>
  <c r="I244"/>
  <c r="H244"/>
  <c r="G244"/>
  <c r="E244"/>
  <c r="D244"/>
  <c r="L243"/>
  <c r="J243"/>
  <c r="J247" s="1"/>
  <c r="J251" s="1"/>
  <c r="I243"/>
  <c r="H243"/>
  <c r="G243"/>
  <c r="E243"/>
  <c r="D243"/>
  <c r="L242"/>
  <c r="J242"/>
  <c r="I242"/>
  <c r="H242"/>
  <c r="G242"/>
  <c r="E242"/>
  <c r="D242"/>
  <c r="L241"/>
  <c r="J241"/>
  <c r="I241"/>
  <c r="H241"/>
  <c r="K240"/>
  <c r="F240"/>
  <c r="K239"/>
  <c r="F239"/>
  <c r="K238"/>
  <c r="F238"/>
  <c r="L237"/>
  <c r="J237"/>
  <c r="I237"/>
  <c r="H237"/>
  <c r="K236"/>
  <c r="F236"/>
  <c r="K235"/>
  <c r="F235"/>
  <c r="K234"/>
  <c r="F234"/>
  <c r="L233"/>
  <c r="J233"/>
  <c r="I233"/>
  <c r="I245" s="1"/>
  <c r="H233"/>
  <c r="K232"/>
  <c r="F232"/>
  <c r="K231"/>
  <c r="K243" s="1"/>
  <c r="F231"/>
  <c r="K230"/>
  <c r="F230"/>
  <c r="L228"/>
  <c r="L249" s="1"/>
  <c r="J228"/>
  <c r="I228"/>
  <c r="H228"/>
  <c r="G228"/>
  <c r="G249" s="1"/>
  <c r="E228"/>
  <c r="E249" s="1"/>
  <c r="D228"/>
  <c r="L227"/>
  <c r="J227"/>
  <c r="J248" s="1"/>
  <c r="I227"/>
  <c r="H227"/>
  <c r="G227"/>
  <c r="E227"/>
  <c r="D227"/>
  <c r="D248" s="1"/>
  <c r="L226"/>
  <c r="J226"/>
  <c r="I226"/>
  <c r="I247" s="1"/>
  <c r="I251" s="1"/>
  <c r="H226"/>
  <c r="H247" s="1"/>
  <c r="H251" s="1"/>
  <c r="G226"/>
  <c r="E226"/>
  <c r="D226"/>
  <c r="D247" s="1"/>
  <c r="D251" s="1"/>
  <c r="L225"/>
  <c r="L246" s="1"/>
  <c r="J225"/>
  <c r="I225"/>
  <c r="H225"/>
  <c r="H246" s="1"/>
  <c r="G225"/>
  <c r="E225"/>
  <c r="J224"/>
  <c r="I224"/>
  <c r="H224"/>
  <c r="K223"/>
  <c r="F223"/>
  <c r="K222"/>
  <c r="F222"/>
  <c r="D221"/>
  <c r="D552" s="1"/>
  <c r="L220"/>
  <c r="J220"/>
  <c r="I220"/>
  <c r="H220"/>
  <c r="G220"/>
  <c r="E220"/>
  <c r="E229" s="1"/>
  <c r="D220"/>
  <c r="K219"/>
  <c r="F219"/>
  <c r="K218"/>
  <c r="F218"/>
  <c r="K217"/>
  <c r="K220" s="1"/>
  <c r="F217"/>
  <c r="F220" s="1"/>
  <c r="L216"/>
  <c r="J216"/>
  <c r="I216"/>
  <c r="H216"/>
  <c r="H229" s="1"/>
  <c r="G216"/>
  <c r="E216"/>
  <c r="D216"/>
  <c r="D229" s="1"/>
  <c r="K215"/>
  <c r="K227" s="1"/>
  <c r="F215"/>
  <c r="K214"/>
  <c r="F214"/>
  <c r="K213"/>
  <c r="K216" s="1"/>
  <c r="F213"/>
  <c r="F216" s="1"/>
  <c r="D213"/>
  <c r="D544" s="1"/>
  <c r="F210"/>
  <c r="K210" s="1"/>
  <c r="F209"/>
  <c r="H206"/>
  <c r="L203"/>
  <c r="L207" s="1"/>
  <c r="L211" s="1"/>
  <c r="J203"/>
  <c r="I203"/>
  <c r="H203"/>
  <c r="H534" s="1"/>
  <c r="G203"/>
  <c r="E203"/>
  <c r="L202"/>
  <c r="L206" s="1"/>
  <c r="J202"/>
  <c r="K202" s="1"/>
  <c r="I202"/>
  <c r="G202"/>
  <c r="G206" s="1"/>
  <c r="E202"/>
  <c r="E206" s="1"/>
  <c r="D202"/>
  <c r="D206" s="1"/>
  <c r="J201"/>
  <c r="I201"/>
  <c r="H201"/>
  <c r="H532" s="1"/>
  <c r="J200"/>
  <c r="I200"/>
  <c r="I204" s="1"/>
  <c r="H200"/>
  <c r="H204" s="1"/>
  <c r="G200"/>
  <c r="D199"/>
  <c r="D530" s="1"/>
  <c r="K198"/>
  <c r="F198"/>
  <c r="L197"/>
  <c r="L200" s="1"/>
  <c r="E197"/>
  <c r="D197"/>
  <c r="F197" s="1"/>
  <c r="J196"/>
  <c r="I196"/>
  <c r="H196"/>
  <c r="G196"/>
  <c r="D196"/>
  <c r="K195"/>
  <c r="F195"/>
  <c r="K194"/>
  <c r="F194"/>
  <c r="L193"/>
  <c r="E193"/>
  <c r="K193" s="1"/>
  <c r="K196" s="1"/>
  <c r="L192"/>
  <c r="J192"/>
  <c r="I192"/>
  <c r="H192"/>
  <c r="E192"/>
  <c r="D192"/>
  <c r="K191"/>
  <c r="F191"/>
  <c r="K190"/>
  <c r="F190"/>
  <c r="L189"/>
  <c r="G189"/>
  <c r="G192" s="1"/>
  <c r="F189"/>
  <c r="F192" s="1"/>
  <c r="E189"/>
  <c r="D189"/>
  <c r="H188"/>
  <c r="G187"/>
  <c r="G207" s="1"/>
  <c r="G211" s="1"/>
  <c r="F186"/>
  <c r="K186" s="1"/>
  <c r="F185"/>
  <c r="J184"/>
  <c r="J187" s="1"/>
  <c r="I184"/>
  <c r="I187" s="1"/>
  <c r="I207" s="1"/>
  <c r="I211" s="1"/>
  <c r="H184"/>
  <c r="G184"/>
  <c r="E184"/>
  <c r="E187" s="1"/>
  <c r="D184"/>
  <c r="D187" s="1"/>
  <c r="J183"/>
  <c r="J185" s="1"/>
  <c r="I183"/>
  <c r="H183"/>
  <c r="G183"/>
  <c r="E183"/>
  <c r="D183"/>
  <c r="J182"/>
  <c r="J188" s="1"/>
  <c r="I182"/>
  <c r="I205" s="1"/>
  <c r="L181"/>
  <c r="J181"/>
  <c r="I181"/>
  <c r="H181"/>
  <c r="G181"/>
  <c r="D181"/>
  <c r="K180"/>
  <c r="F180"/>
  <c r="K179"/>
  <c r="F179"/>
  <c r="K178"/>
  <c r="F178"/>
  <c r="F181" s="1"/>
  <c r="E178"/>
  <c r="E181" s="1"/>
  <c r="L177"/>
  <c r="J177"/>
  <c r="I177"/>
  <c r="H177"/>
  <c r="K176"/>
  <c r="F176"/>
  <c r="K175"/>
  <c r="F175"/>
  <c r="G174"/>
  <c r="G177" s="1"/>
  <c r="E174"/>
  <c r="E177" s="1"/>
  <c r="D174"/>
  <c r="J173"/>
  <c r="I173"/>
  <c r="H173"/>
  <c r="D173"/>
  <c r="K172"/>
  <c r="F172"/>
  <c r="K171"/>
  <c r="F171"/>
  <c r="F183" s="1"/>
  <c r="L170"/>
  <c r="L182" s="1"/>
  <c r="G170"/>
  <c r="G173" s="1"/>
  <c r="E170"/>
  <c r="E173" s="1"/>
  <c r="D170"/>
  <c r="F170" s="1"/>
  <c r="F173" s="1"/>
  <c r="D165"/>
  <c r="L161"/>
  <c r="J161"/>
  <c r="I161"/>
  <c r="H161"/>
  <c r="H165" s="1"/>
  <c r="G161"/>
  <c r="E161"/>
  <c r="D161"/>
  <c r="L160"/>
  <c r="J160"/>
  <c r="I160"/>
  <c r="H160"/>
  <c r="G160"/>
  <c r="E160"/>
  <c r="D160"/>
  <c r="L159"/>
  <c r="J159"/>
  <c r="I159"/>
  <c r="H159"/>
  <c r="G159"/>
  <c r="E159"/>
  <c r="D159"/>
  <c r="L158"/>
  <c r="J158"/>
  <c r="I158"/>
  <c r="H158"/>
  <c r="G158"/>
  <c r="E158"/>
  <c r="E571" s="1"/>
  <c r="D158"/>
  <c r="D571" s="1"/>
  <c r="K157"/>
  <c r="F157"/>
  <c r="K156"/>
  <c r="F156"/>
  <c r="K155"/>
  <c r="K158" s="1"/>
  <c r="K571" s="1"/>
  <c r="F155"/>
  <c r="F158" s="1"/>
  <c r="L154"/>
  <c r="L162" s="1"/>
  <c r="J154"/>
  <c r="I154"/>
  <c r="H154"/>
  <c r="G154"/>
  <c r="E154"/>
  <c r="E567" s="1"/>
  <c r="D154"/>
  <c r="D567" s="1"/>
  <c r="K153"/>
  <c r="F153"/>
  <c r="K152"/>
  <c r="F152"/>
  <c r="K151"/>
  <c r="F151"/>
  <c r="F154" s="1"/>
  <c r="J150"/>
  <c r="J563" s="1"/>
  <c r="I150"/>
  <c r="I563" s="1"/>
  <c r="H150"/>
  <c r="K149"/>
  <c r="F149"/>
  <c r="F161" s="1"/>
  <c r="K148"/>
  <c r="F148"/>
  <c r="K147"/>
  <c r="F147"/>
  <c r="F159" s="1"/>
  <c r="L145"/>
  <c r="L166" s="1"/>
  <c r="J145"/>
  <c r="I145"/>
  <c r="H145"/>
  <c r="G145"/>
  <c r="G166" s="1"/>
  <c r="E145"/>
  <c r="E166" s="1"/>
  <c r="D145"/>
  <c r="D166" s="1"/>
  <c r="L144"/>
  <c r="L165" s="1"/>
  <c r="J144"/>
  <c r="J165" s="1"/>
  <c r="I144"/>
  <c r="I165" s="1"/>
  <c r="H144"/>
  <c r="H141" s="1"/>
  <c r="G144"/>
  <c r="G165" s="1"/>
  <c r="E144"/>
  <c r="E165" s="1"/>
  <c r="D144"/>
  <c r="L143"/>
  <c r="L164" s="1"/>
  <c r="L168" s="1"/>
  <c r="J143"/>
  <c r="J164" s="1"/>
  <c r="J168" s="1"/>
  <c r="I143"/>
  <c r="I164" s="1"/>
  <c r="I168" s="1"/>
  <c r="H143"/>
  <c r="H164" s="1"/>
  <c r="H168" s="1"/>
  <c r="G143"/>
  <c r="G164" s="1"/>
  <c r="G168" s="1"/>
  <c r="E143"/>
  <c r="E164" s="1"/>
  <c r="E168" s="1"/>
  <c r="D143"/>
  <c r="D164" s="1"/>
  <c r="D168" s="1"/>
  <c r="L142"/>
  <c r="L163" s="1"/>
  <c r="J142"/>
  <c r="J163" s="1"/>
  <c r="I142"/>
  <c r="I163" s="1"/>
  <c r="H142"/>
  <c r="H163" s="1"/>
  <c r="G142"/>
  <c r="G163" s="1"/>
  <c r="E142"/>
  <c r="E163" s="1"/>
  <c r="D142"/>
  <c r="D163" s="1"/>
  <c r="K140"/>
  <c r="F140"/>
  <c r="K139"/>
  <c r="F139"/>
  <c r="K138"/>
  <c r="F138"/>
  <c r="J137"/>
  <c r="I137"/>
  <c r="H137"/>
  <c r="G137"/>
  <c r="E137"/>
  <c r="D137"/>
  <c r="K136"/>
  <c r="F136"/>
  <c r="K135"/>
  <c r="F135"/>
  <c r="K134"/>
  <c r="K137" s="1"/>
  <c r="F134"/>
  <c r="F137" s="1"/>
  <c r="L133"/>
  <c r="L547" s="1"/>
  <c r="J133"/>
  <c r="I133"/>
  <c r="I146" s="1"/>
  <c r="H133"/>
  <c r="H146" s="1"/>
  <c r="G133"/>
  <c r="E133"/>
  <c r="D133"/>
  <c r="D146" s="1"/>
  <c r="K132"/>
  <c r="K144" s="1"/>
  <c r="F132"/>
  <c r="F144" s="1"/>
  <c r="F165" s="1"/>
  <c r="K131"/>
  <c r="F131"/>
  <c r="F143" s="1"/>
  <c r="K130"/>
  <c r="K142" s="1"/>
  <c r="F130"/>
  <c r="F127"/>
  <c r="K127" s="1"/>
  <c r="F126"/>
  <c r="K126" s="1"/>
  <c r="H124"/>
  <c r="H128" s="1"/>
  <c r="H169" s="1"/>
  <c r="H123"/>
  <c r="H122"/>
  <c r="H167" s="1"/>
  <c r="I121"/>
  <c r="H121"/>
  <c r="L120"/>
  <c r="J120"/>
  <c r="K120" s="1"/>
  <c r="I120"/>
  <c r="G120"/>
  <c r="E120"/>
  <c r="D120"/>
  <c r="F120" s="1"/>
  <c r="J119"/>
  <c r="I119"/>
  <c r="E119"/>
  <c r="E123" s="1"/>
  <c r="D119"/>
  <c r="D123" s="1"/>
  <c r="J118"/>
  <c r="I118"/>
  <c r="J117"/>
  <c r="I117"/>
  <c r="H117"/>
  <c r="K116"/>
  <c r="F116"/>
  <c r="L115"/>
  <c r="L529" s="1"/>
  <c r="G115"/>
  <c r="G529" s="1"/>
  <c r="F115"/>
  <c r="L114"/>
  <c r="L118" s="1"/>
  <c r="G114"/>
  <c r="G117" s="1"/>
  <c r="E114"/>
  <c r="E117" s="1"/>
  <c r="D114"/>
  <c r="D117" s="1"/>
  <c r="J113"/>
  <c r="I113"/>
  <c r="H113"/>
  <c r="G113"/>
  <c r="K112"/>
  <c r="F112"/>
  <c r="K111"/>
  <c r="F111"/>
  <c r="L110"/>
  <c r="L113" s="1"/>
  <c r="E110"/>
  <c r="D110"/>
  <c r="D524" s="1"/>
  <c r="L109"/>
  <c r="J109"/>
  <c r="I109"/>
  <c r="H109"/>
  <c r="E109"/>
  <c r="K108"/>
  <c r="F108"/>
  <c r="K107"/>
  <c r="F107"/>
  <c r="L106"/>
  <c r="G106"/>
  <c r="E106"/>
  <c r="D106"/>
  <c r="D109" s="1"/>
  <c r="H105"/>
  <c r="H125" s="1"/>
  <c r="E104"/>
  <c r="E124" s="1"/>
  <c r="E128" s="1"/>
  <c r="E169" s="1"/>
  <c r="F103"/>
  <c r="K103" s="1"/>
  <c r="K102"/>
  <c r="F102"/>
  <c r="L101"/>
  <c r="L104" s="1"/>
  <c r="J101"/>
  <c r="J104" s="1"/>
  <c r="I101"/>
  <c r="I104" s="1"/>
  <c r="I124" s="1"/>
  <c r="I128" s="1"/>
  <c r="I169" s="1"/>
  <c r="G101"/>
  <c r="G104" s="1"/>
  <c r="G124" s="1"/>
  <c r="G128" s="1"/>
  <c r="E101"/>
  <c r="D101"/>
  <c r="D104" s="1"/>
  <c r="D124" s="1"/>
  <c r="D128" s="1"/>
  <c r="D169" s="1"/>
  <c r="L100"/>
  <c r="J100"/>
  <c r="I100"/>
  <c r="G100"/>
  <c r="E100"/>
  <c r="D100"/>
  <c r="J99"/>
  <c r="I99"/>
  <c r="I122" s="1"/>
  <c r="L98"/>
  <c r="J98"/>
  <c r="I98"/>
  <c r="H98"/>
  <c r="G98"/>
  <c r="K97"/>
  <c r="F97"/>
  <c r="K96"/>
  <c r="F96"/>
  <c r="G95"/>
  <c r="E95"/>
  <c r="K95" s="1"/>
  <c r="D95"/>
  <c r="D509" s="1"/>
  <c r="L94"/>
  <c r="J94"/>
  <c r="I94"/>
  <c r="H94"/>
  <c r="K93"/>
  <c r="F93"/>
  <c r="F101" s="1"/>
  <c r="F104" s="1"/>
  <c r="F124" s="1"/>
  <c r="K92"/>
  <c r="F92"/>
  <c r="G91"/>
  <c r="F91"/>
  <c r="E91"/>
  <c r="E94" s="1"/>
  <c r="D91"/>
  <c r="D94" s="1"/>
  <c r="J90"/>
  <c r="I90"/>
  <c r="H90"/>
  <c r="D90"/>
  <c r="K89"/>
  <c r="F89"/>
  <c r="K88"/>
  <c r="F88"/>
  <c r="L87"/>
  <c r="L99" s="1"/>
  <c r="L122" s="1"/>
  <c r="G87"/>
  <c r="G90" s="1"/>
  <c r="E87"/>
  <c r="E90" s="1"/>
  <c r="H83"/>
  <c r="D83"/>
  <c r="L78"/>
  <c r="J78"/>
  <c r="J574" s="1"/>
  <c r="I78"/>
  <c r="I574" s="1"/>
  <c r="H78"/>
  <c r="G78"/>
  <c r="E78"/>
  <c r="E574" s="1"/>
  <c r="D78"/>
  <c r="D574" s="1"/>
  <c r="L77"/>
  <c r="J77"/>
  <c r="I77"/>
  <c r="I573" s="1"/>
  <c r="H77"/>
  <c r="H573" s="1"/>
  <c r="G77"/>
  <c r="E77"/>
  <c r="D77"/>
  <c r="D573" s="1"/>
  <c r="L76"/>
  <c r="L572" s="1"/>
  <c r="J76"/>
  <c r="I76"/>
  <c r="H76"/>
  <c r="H572" s="1"/>
  <c r="G76"/>
  <c r="G572" s="1"/>
  <c r="E76"/>
  <c r="D76"/>
  <c r="L75"/>
  <c r="L571" s="1"/>
  <c r="J75"/>
  <c r="J571" s="1"/>
  <c r="I75"/>
  <c r="H75"/>
  <c r="K74"/>
  <c r="F74"/>
  <c r="F570" s="1"/>
  <c r="K73"/>
  <c r="K569" s="1"/>
  <c r="F73"/>
  <c r="K72"/>
  <c r="F72"/>
  <c r="F568" s="1"/>
  <c r="L71"/>
  <c r="L567" s="1"/>
  <c r="J71"/>
  <c r="I71"/>
  <c r="H71"/>
  <c r="H567" s="1"/>
  <c r="K70"/>
  <c r="K566" s="1"/>
  <c r="F70"/>
  <c r="K69"/>
  <c r="F69"/>
  <c r="F565" s="1"/>
  <c r="K68"/>
  <c r="K564" s="1"/>
  <c r="F68"/>
  <c r="K66"/>
  <c r="K562" s="1"/>
  <c r="F66"/>
  <c r="F562" s="1"/>
  <c r="K65"/>
  <c r="K561" s="1"/>
  <c r="F65"/>
  <c r="K64"/>
  <c r="K560" s="1"/>
  <c r="F64"/>
  <c r="F560" s="1"/>
  <c r="J62"/>
  <c r="J559" s="1"/>
  <c r="I62"/>
  <c r="I559" s="1"/>
  <c r="H62"/>
  <c r="G62"/>
  <c r="E62"/>
  <c r="E83" s="1"/>
  <c r="D62"/>
  <c r="L61"/>
  <c r="J61"/>
  <c r="J558" s="1"/>
  <c r="I61"/>
  <c r="I558" s="1"/>
  <c r="H61"/>
  <c r="H558" s="1"/>
  <c r="G61"/>
  <c r="E61"/>
  <c r="D61"/>
  <c r="D558" s="1"/>
  <c r="L60"/>
  <c r="J60"/>
  <c r="I60"/>
  <c r="I557" s="1"/>
  <c r="H60"/>
  <c r="H557" s="1"/>
  <c r="G60"/>
  <c r="E60"/>
  <c r="D60"/>
  <c r="D557" s="1"/>
  <c r="L59"/>
  <c r="L556" s="1"/>
  <c r="J59"/>
  <c r="I59"/>
  <c r="H59"/>
  <c r="H556" s="1"/>
  <c r="G59"/>
  <c r="G556" s="1"/>
  <c r="E59"/>
  <c r="D59"/>
  <c r="D80" s="1"/>
  <c r="I58"/>
  <c r="H58"/>
  <c r="K57"/>
  <c r="K554" s="1"/>
  <c r="F57"/>
  <c r="K56"/>
  <c r="K553" s="1"/>
  <c r="F56"/>
  <c r="F553" s="1"/>
  <c r="K55"/>
  <c r="F55"/>
  <c r="L54"/>
  <c r="L551" s="1"/>
  <c r="J54"/>
  <c r="J551" s="1"/>
  <c r="I54"/>
  <c r="I551" s="1"/>
  <c r="H54"/>
  <c r="H551" s="1"/>
  <c r="G54"/>
  <c r="G551" s="1"/>
  <c r="E54"/>
  <c r="D54"/>
  <c r="D551" s="1"/>
  <c r="K53"/>
  <c r="K550" s="1"/>
  <c r="F53"/>
  <c r="F550" s="1"/>
  <c r="K52"/>
  <c r="K549" s="1"/>
  <c r="F52"/>
  <c r="F549" s="1"/>
  <c r="K51"/>
  <c r="F51"/>
  <c r="J50"/>
  <c r="J547" s="1"/>
  <c r="I50"/>
  <c r="I547" s="1"/>
  <c r="H50"/>
  <c r="G50"/>
  <c r="G547" s="1"/>
  <c r="E50"/>
  <c r="D50"/>
  <c r="D547" s="1"/>
  <c r="K49"/>
  <c r="F49"/>
  <c r="K48"/>
  <c r="K545" s="1"/>
  <c r="F48"/>
  <c r="F545" s="1"/>
  <c r="K47"/>
  <c r="F47"/>
  <c r="F544" s="1"/>
  <c r="F44"/>
  <c r="F43"/>
  <c r="H41"/>
  <c r="H40"/>
  <c r="H39"/>
  <c r="I38"/>
  <c r="H38"/>
  <c r="L37"/>
  <c r="J37"/>
  <c r="J534" s="1"/>
  <c r="I37"/>
  <c r="I534" s="1"/>
  <c r="G37"/>
  <c r="E37"/>
  <c r="E534" s="1"/>
  <c r="D37"/>
  <c r="F37" s="1"/>
  <c r="L36"/>
  <c r="J36"/>
  <c r="J533" s="1"/>
  <c r="I36"/>
  <c r="I533" s="1"/>
  <c r="G36"/>
  <c r="E36"/>
  <c r="D36"/>
  <c r="J35"/>
  <c r="I35"/>
  <c r="I532" s="1"/>
  <c r="J34"/>
  <c r="I34"/>
  <c r="H34"/>
  <c r="G34"/>
  <c r="G531" s="1"/>
  <c r="K33"/>
  <c r="F33"/>
  <c r="K32"/>
  <c r="F32"/>
  <c r="F529" s="1"/>
  <c r="L31"/>
  <c r="G31"/>
  <c r="E31"/>
  <c r="D31"/>
  <c r="J30"/>
  <c r="J527" s="1"/>
  <c r="I30"/>
  <c r="I527" s="1"/>
  <c r="H30"/>
  <c r="G30"/>
  <c r="E30"/>
  <c r="D30"/>
  <c r="K29"/>
  <c r="F29"/>
  <c r="F526" s="1"/>
  <c r="K28"/>
  <c r="K525" s="1"/>
  <c r="F28"/>
  <c r="L27"/>
  <c r="K27"/>
  <c r="F27"/>
  <c r="E27"/>
  <c r="E524" s="1"/>
  <c r="J26"/>
  <c r="I26"/>
  <c r="I523" s="1"/>
  <c r="H26"/>
  <c r="H523" s="1"/>
  <c r="K25"/>
  <c r="F25"/>
  <c r="F522" s="1"/>
  <c r="K24"/>
  <c r="K521" s="1"/>
  <c r="F24"/>
  <c r="L23"/>
  <c r="G23"/>
  <c r="G520" s="1"/>
  <c r="E23"/>
  <c r="D23"/>
  <c r="H22"/>
  <c r="E21"/>
  <c r="K20"/>
  <c r="F20"/>
  <c r="F19"/>
  <c r="L18"/>
  <c r="L515" s="1"/>
  <c r="J18"/>
  <c r="I18"/>
  <c r="H18"/>
  <c r="G18"/>
  <c r="G515" s="1"/>
  <c r="E18"/>
  <c r="E515" s="1"/>
  <c r="D18"/>
  <c r="L17"/>
  <c r="J17"/>
  <c r="J514" s="1"/>
  <c r="I17"/>
  <c r="I514" s="1"/>
  <c r="H17"/>
  <c r="H514" s="1"/>
  <c r="G17"/>
  <c r="E17"/>
  <c r="E514" s="1"/>
  <c r="D17"/>
  <c r="D514" s="1"/>
  <c r="J16"/>
  <c r="I16"/>
  <c r="L15"/>
  <c r="L512" s="1"/>
  <c r="J15"/>
  <c r="J512" s="1"/>
  <c r="I15"/>
  <c r="H15"/>
  <c r="E15"/>
  <c r="D15"/>
  <c r="K14"/>
  <c r="F14"/>
  <c r="K13"/>
  <c r="F13"/>
  <c r="F510" s="1"/>
  <c r="G12"/>
  <c r="G15" s="1"/>
  <c r="G512" s="1"/>
  <c r="F12"/>
  <c r="E12"/>
  <c r="L11"/>
  <c r="L508" s="1"/>
  <c r="J11"/>
  <c r="J508" s="1"/>
  <c r="I11"/>
  <c r="H11"/>
  <c r="K10"/>
  <c r="F10"/>
  <c r="F507" s="1"/>
  <c r="K9"/>
  <c r="K506" s="1"/>
  <c r="F9"/>
  <c r="G8"/>
  <c r="G505" s="1"/>
  <c r="E8"/>
  <c r="D8"/>
  <c r="J7"/>
  <c r="J504" s="1"/>
  <c r="I7"/>
  <c r="I504" s="1"/>
  <c r="H7"/>
  <c r="H504" s="1"/>
  <c r="K6"/>
  <c r="F6"/>
  <c r="F503" s="1"/>
  <c r="K5"/>
  <c r="K502" s="1"/>
  <c r="F5"/>
  <c r="L4"/>
  <c r="L7" s="1"/>
  <c r="G4"/>
  <c r="E4"/>
  <c r="E501" s="1"/>
  <c r="D4"/>
  <c r="J124" l="1"/>
  <c r="J128" s="1"/>
  <c r="J169" s="1"/>
  <c r="J102"/>
  <c r="J123" s="1"/>
  <c r="L528"/>
  <c r="D533"/>
  <c r="I571"/>
  <c r="J572"/>
  <c r="H574"/>
  <c r="K100"/>
  <c r="E182"/>
  <c r="K503"/>
  <c r="K8"/>
  <c r="K507"/>
  <c r="K12"/>
  <c r="K511"/>
  <c r="H512"/>
  <c r="G514"/>
  <c r="L514"/>
  <c r="H515"/>
  <c r="L520"/>
  <c r="K522"/>
  <c r="J523"/>
  <c r="K526"/>
  <c r="H527"/>
  <c r="H531"/>
  <c r="F36"/>
  <c r="K36"/>
  <c r="K37"/>
  <c r="F540"/>
  <c r="K544"/>
  <c r="H547"/>
  <c r="F554"/>
  <c r="I556"/>
  <c r="E557"/>
  <c r="J557"/>
  <c r="G558"/>
  <c r="L558"/>
  <c r="K565"/>
  <c r="I567"/>
  <c r="K568"/>
  <c r="K570"/>
  <c r="L90"/>
  <c r="L504" s="1"/>
  <c r="G99"/>
  <c r="K101"/>
  <c r="K104" s="1"/>
  <c r="K124" s="1"/>
  <c r="J122"/>
  <c r="E118"/>
  <c r="F567"/>
  <c r="G567"/>
  <c r="L173"/>
  <c r="L188" s="1"/>
  <c r="E207"/>
  <c r="E211" s="1"/>
  <c r="J207"/>
  <c r="J211" s="1"/>
  <c r="J252" s="1"/>
  <c r="H208"/>
  <c r="E201"/>
  <c r="E200"/>
  <c r="F202"/>
  <c r="F226"/>
  <c r="I246"/>
  <c r="E247"/>
  <c r="E251" s="1"/>
  <c r="G248"/>
  <c r="L248"/>
  <c r="F242"/>
  <c r="F244"/>
  <c r="J245"/>
  <c r="F243"/>
  <c r="H245"/>
  <c r="H249" s="1"/>
  <c r="G246"/>
  <c r="I248"/>
  <c r="L256"/>
  <c r="K261"/>
  <c r="K264" s="1"/>
  <c r="K267"/>
  <c r="L270"/>
  <c r="L284"/>
  <c r="F286"/>
  <c r="H290"/>
  <c r="H294" s="1"/>
  <c r="H335" s="1"/>
  <c r="H312"/>
  <c r="K325"/>
  <c r="K327"/>
  <c r="J328"/>
  <c r="F348"/>
  <c r="K349"/>
  <c r="E354"/>
  <c r="E374" s="1"/>
  <c r="J354"/>
  <c r="E373"/>
  <c r="K359"/>
  <c r="K362" s="1"/>
  <c r="J372"/>
  <c r="L373"/>
  <c r="L417" s="1"/>
  <c r="G394"/>
  <c r="G411"/>
  <c r="L411"/>
  <c r="H412"/>
  <c r="D413"/>
  <c r="J413"/>
  <c r="F436"/>
  <c r="F432"/>
  <c r="G436"/>
  <c r="G456" s="1"/>
  <c r="L436"/>
  <c r="H453"/>
  <c r="D454"/>
  <c r="E455"/>
  <c r="L454"/>
  <c r="H455"/>
  <c r="K475"/>
  <c r="F476"/>
  <c r="F497" s="1"/>
  <c r="I494"/>
  <c r="E495"/>
  <c r="E499" s="1"/>
  <c r="J495"/>
  <c r="G496"/>
  <c r="L496"/>
  <c r="I497"/>
  <c r="F145"/>
  <c r="F166" s="1"/>
  <c r="K184"/>
  <c r="I252"/>
  <c r="G252"/>
  <c r="D200"/>
  <c r="D204" s="1"/>
  <c r="L252"/>
  <c r="K329"/>
  <c r="K332"/>
  <c r="L415"/>
  <c r="H416"/>
  <c r="G362"/>
  <c r="G527" s="1"/>
  <c r="H394"/>
  <c r="G559"/>
  <c r="I508"/>
  <c r="J515"/>
  <c r="J531"/>
  <c r="F541"/>
  <c r="H555"/>
  <c r="G573"/>
  <c r="J204"/>
  <c r="J208" s="1"/>
  <c r="K197"/>
  <c r="D201"/>
  <c r="F229"/>
  <c r="F227"/>
  <c r="F248" s="1"/>
  <c r="G229"/>
  <c r="L229"/>
  <c r="K226"/>
  <c r="K247" s="1"/>
  <c r="J249"/>
  <c r="L288"/>
  <c r="F261"/>
  <c r="E265"/>
  <c r="K275"/>
  <c r="H287"/>
  <c r="D284"/>
  <c r="I289"/>
  <c r="J290"/>
  <c r="F308"/>
  <c r="F310"/>
  <c r="F331" s="1"/>
  <c r="G312"/>
  <c r="G332"/>
  <c r="L332"/>
  <c r="K326"/>
  <c r="H328"/>
  <c r="L328"/>
  <c r="K366"/>
  <c r="F369"/>
  <c r="F370" s="1"/>
  <c r="I373"/>
  <c r="K392"/>
  <c r="L394"/>
  <c r="F407"/>
  <c r="F409"/>
  <c r="H410"/>
  <c r="L410"/>
  <c r="L452"/>
  <c r="I499"/>
  <c r="K474"/>
  <c r="K495" s="1"/>
  <c r="E477"/>
  <c r="F477" s="1"/>
  <c r="K477" s="1"/>
  <c r="J472"/>
  <c r="G35"/>
  <c r="E16"/>
  <c r="F15"/>
  <c r="K517"/>
  <c r="E572"/>
  <c r="L573"/>
  <c r="L105"/>
  <c r="J121"/>
  <c r="F142"/>
  <c r="F163" s="1"/>
  <c r="G146"/>
  <c r="K160"/>
  <c r="F184"/>
  <c r="F187" s="1"/>
  <c r="J206"/>
  <c r="D501"/>
  <c r="F502"/>
  <c r="F506"/>
  <c r="H508"/>
  <c r="E509"/>
  <c r="I512"/>
  <c r="F517"/>
  <c r="D520"/>
  <c r="F521"/>
  <c r="G26"/>
  <c r="F525"/>
  <c r="G528"/>
  <c r="I531"/>
  <c r="G534"/>
  <c r="D40"/>
  <c r="K43"/>
  <c r="E80"/>
  <c r="J556"/>
  <c r="G557"/>
  <c r="L557"/>
  <c r="F561"/>
  <c r="F564"/>
  <c r="F566"/>
  <c r="J567"/>
  <c r="F569"/>
  <c r="H571"/>
  <c r="D572"/>
  <c r="I572"/>
  <c r="E573"/>
  <c r="J573"/>
  <c r="G574"/>
  <c r="L574"/>
  <c r="F87"/>
  <c r="F90" s="1"/>
  <c r="F100"/>
  <c r="D98"/>
  <c r="G169"/>
  <c r="K106"/>
  <c r="K109" s="1"/>
  <c r="K110"/>
  <c r="K113" s="1"/>
  <c r="F114"/>
  <c r="F117" s="1"/>
  <c r="K143"/>
  <c r="E146"/>
  <c r="J146"/>
  <c r="F160"/>
  <c r="F164" s="1"/>
  <c r="F168" s="1"/>
  <c r="H563"/>
  <c r="K159"/>
  <c r="K163" s="1"/>
  <c r="K161"/>
  <c r="K165" s="1"/>
  <c r="F571"/>
  <c r="G571"/>
  <c r="D182"/>
  <c r="K183"/>
  <c r="I185"/>
  <c r="I206" s="1"/>
  <c r="F206"/>
  <c r="L201"/>
  <c r="J229"/>
  <c r="I229"/>
  <c r="K221"/>
  <c r="E246"/>
  <c r="J246"/>
  <c r="G247"/>
  <c r="G251" s="1"/>
  <c r="L247"/>
  <c r="L251" s="1"/>
  <c r="H248"/>
  <c r="I249"/>
  <c r="K242"/>
  <c r="K244"/>
  <c r="K248" s="1"/>
  <c r="L563"/>
  <c r="E248"/>
  <c r="F266"/>
  <c r="L271"/>
  <c r="H271"/>
  <c r="H519" s="1"/>
  <c r="K286"/>
  <c r="I287"/>
  <c r="G289"/>
  <c r="I290"/>
  <c r="I294" s="1"/>
  <c r="I335" s="1"/>
  <c r="K309"/>
  <c r="K330" s="1"/>
  <c r="E312"/>
  <c r="J312"/>
  <c r="F309"/>
  <c r="D312"/>
  <c r="E332"/>
  <c r="J332"/>
  <c r="F326"/>
  <c r="F325"/>
  <c r="F350"/>
  <c r="L354"/>
  <c r="L374" s="1"/>
  <c r="E416"/>
  <c r="F358"/>
  <c r="I370"/>
  <c r="I374" s="1"/>
  <c r="L372"/>
  <c r="L416" s="1"/>
  <c r="H373"/>
  <c r="H417" s="1"/>
  <c r="F392"/>
  <c r="F412" s="1"/>
  <c r="H411"/>
  <c r="D412"/>
  <c r="I412"/>
  <c r="I416" s="1"/>
  <c r="K408"/>
  <c r="K398"/>
  <c r="K432"/>
  <c r="H436"/>
  <c r="H456" s="1"/>
  <c r="E452"/>
  <c r="E456" s="1"/>
  <c r="K449"/>
  <c r="G454"/>
  <c r="F451"/>
  <c r="I455"/>
  <c r="F474"/>
  <c r="F495" s="1"/>
  <c r="D476"/>
  <c r="D497" s="1"/>
  <c r="K476"/>
  <c r="K497" s="1"/>
  <c r="E494"/>
  <c r="G495"/>
  <c r="L495"/>
  <c r="H496"/>
  <c r="E497"/>
  <c r="J497"/>
  <c r="E22"/>
  <c r="D515"/>
  <c r="D21"/>
  <c r="I515"/>
  <c r="F516"/>
  <c r="F40"/>
  <c r="E41"/>
  <c r="E45" s="1"/>
  <c r="E528"/>
  <c r="E34"/>
  <c r="E531" s="1"/>
  <c r="L185"/>
  <c r="L205"/>
  <c r="L333"/>
  <c r="F264"/>
  <c r="J333"/>
  <c r="D290"/>
  <c r="F270"/>
  <c r="K270" s="1"/>
  <c r="J294"/>
  <c r="J335" s="1"/>
  <c r="K4"/>
  <c r="K16" s="1"/>
  <c r="K15"/>
  <c r="L34"/>
  <c r="G501"/>
  <c r="G7"/>
  <c r="G509"/>
  <c r="G16"/>
  <c r="F511"/>
  <c r="F18"/>
  <c r="F515" s="1"/>
  <c r="D528"/>
  <c r="D35"/>
  <c r="G38"/>
  <c r="D205"/>
  <c r="D188"/>
  <c r="D208" s="1"/>
  <c r="E7"/>
  <c r="E504" s="1"/>
  <c r="G11"/>
  <c r="K11"/>
  <c r="F23"/>
  <c r="D26"/>
  <c r="K31"/>
  <c r="L35"/>
  <c r="K164"/>
  <c r="K168" s="1"/>
  <c r="G204"/>
  <c r="H291"/>
  <c r="E505"/>
  <c r="E11"/>
  <c r="E508" s="1"/>
  <c r="K510"/>
  <c r="K17"/>
  <c r="K514" s="1"/>
  <c r="J513"/>
  <c r="J39"/>
  <c r="E520"/>
  <c r="E26"/>
  <c r="E523" s="1"/>
  <c r="L524"/>
  <c r="L30"/>
  <c r="G105"/>
  <c r="J129"/>
  <c r="J167"/>
  <c r="L102"/>
  <c r="L124"/>
  <c r="L128" s="1"/>
  <c r="L169" s="1"/>
  <c r="F4"/>
  <c r="D7"/>
  <c r="D504" s="1"/>
  <c r="D16"/>
  <c r="F17"/>
  <c r="F514" s="1"/>
  <c r="K18"/>
  <c r="K19"/>
  <c r="J20"/>
  <c r="G21"/>
  <c r="L26"/>
  <c r="L523" s="1"/>
  <c r="K30"/>
  <c r="K527" s="1"/>
  <c r="L501"/>
  <c r="L16"/>
  <c r="D505"/>
  <c r="F8"/>
  <c r="I513"/>
  <c r="I39"/>
  <c r="J532"/>
  <c r="J38"/>
  <c r="E533"/>
  <c r="E40"/>
  <c r="L167"/>
  <c r="K98"/>
  <c r="I167"/>
  <c r="I129"/>
  <c r="I250"/>
  <c r="I212"/>
  <c r="D11"/>
  <c r="I20"/>
  <c r="I21" s="1"/>
  <c r="L21"/>
  <c r="K23"/>
  <c r="F30"/>
  <c r="F31"/>
  <c r="D34"/>
  <c r="E35"/>
  <c r="E39" s="1"/>
  <c r="F128"/>
  <c r="K187"/>
  <c r="K229"/>
  <c r="F289"/>
  <c r="K289"/>
  <c r="F371"/>
  <c r="D415"/>
  <c r="J415"/>
  <c r="J378"/>
  <c r="E498"/>
  <c r="K453"/>
  <c r="J459"/>
  <c r="J460" s="1"/>
  <c r="J500"/>
  <c r="H535"/>
  <c r="H42"/>
  <c r="K44"/>
  <c r="K50"/>
  <c r="J58"/>
  <c r="K59"/>
  <c r="F60"/>
  <c r="L62"/>
  <c r="G63"/>
  <c r="K77"/>
  <c r="K573" s="1"/>
  <c r="F78"/>
  <c r="F574" s="1"/>
  <c r="J79"/>
  <c r="J80"/>
  <c r="E81"/>
  <c r="I81"/>
  <c r="D82"/>
  <c r="D578" s="1"/>
  <c r="H82"/>
  <c r="H578" s="1"/>
  <c r="L82"/>
  <c r="L578" s="1"/>
  <c r="L579" s="1"/>
  <c r="G83"/>
  <c r="K87"/>
  <c r="K90" s="1"/>
  <c r="E99"/>
  <c r="E513" s="1"/>
  <c r="I102"/>
  <c r="I123" s="1"/>
  <c r="J105"/>
  <c r="J125" s="1"/>
  <c r="G109"/>
  <c r="G121" s="1"/>
  <c r="F110"/>
  <c r="F113" s="1"/>
  <c r="E113"/>
  <c r="E527" s="1"/>
  <c r="K114"/>
  <c r="K117" s="1"/>
  <c r="K115"/>
  <c r="K529" s="1"/>
  <c r="L117"/>
  <c r="L121" s="1"/>
  <c r="L125" s="1"/>
  <c r="G118"/>
  <c r="G119"/>
  <c r="G123" s="1"/>
  <c r="L119"/>
  <c r="F133"/>
  <c r="F146" s="1"/>
  <c r="I141"/>
  <c r="K145"/>
  <c r="K166" s="1"/>
  <c r="K170"/>
  <c r="K173" s="1"/>
  <c r="D177"/>
  <c r="G182"/>
  <c r="K185"/>
  <c r="K206" s="1"/>
  <c r="E188"/>
  <c r="I188"/>
  <c r="I208" s="1"/>
  <c r="K189"/>
  <c r="K192" s="1"/>
  <c r="F193"/>
  <c r="F196" s="1"/>
  <c r="E196"/>
  <c r="E204" s="1"/>
  <c r="F199"/>
  <c r="F203" s="1"/>
  <c r="F207" s="1"/>
  <c r="D203"/>
  <c r="D534" s="1"/>
  <c r="J205"/>
  <c r="H207"/>
  <c r="H211" s="1"/>
  <c r="H252" s="1"/>
  <c r="F221"/>
  <c r="F225" s="1"/>
  <c r="F246" s="1"/>
  <c r="K225"/>
  <c r="K246" s="1"/>
  <c r="K253"/>
  <c r="K256" s="1"/>
  <c r="D265"/>
  <c r="J271"/>
  <c r="J291" s="1"/>
  <c r="F272"/>
  <c r="F275" s="1"/>
  <c r="K280"/>
  <c r="K283" s="1"/>
  <c r="K287" s="1"/>
  <c r="D283"/>
  <c r="L283"/>
  <c r="L287" s="1"/>
  <c r="L291" s="1"/>
  <c r="K285"/>
  <c r="H288"/>
  <c r="H333" s="1"/>
  <c r="I329"/>
  <c r="I333" s="1"/>
  <c r="D330"/>
  <c r="D334" s="1"/>
  <c r="H330"/>
  <c r="H334" s="1"/>
  <c r="L330"/>
  <c r="L334" s="1"/>
  <c r="G331"/>
  <c r="G335" s="1"/>
  <c r="K310"/>
  <c r="K331" s="1"/>
  <c r="F311"/>
  <c r="F332" s="1"/>
  <c r="H374"/>
  <c r="I417"/>
  <c r="I414"/>
  <c r="K412"/>
  <c r="I456"/>
  <c r="G497"/>
  <c r="G354"/>
  <c r="I415"/>
  <c r="I378"/>
  <c r="K353"/>
  <c r="G373"/>
  <c r="G377" s="1"/>
  <c r="F453"/>
  <c r="I498"/>
  <c r="I500"/>
  <c r="I459"/>
  <c r="I460" s="1"/>
  <c r="G533"/>
  <c r="L533"/>
  <c r="H538"/>
  <c r="L41"/>
  <c r="F50"/>
  <c r="F59"/>
  <c r="K62"/>
  <c r="J63"/>
  <c r="K76"/>
  <c r="K572" s="1"/>
  <c r="F77"/>
  <c r="F573" s="1"/>
  <c r="I79"/>
  <c r="I83" s="1"/>
  <c r="I80"/>
  <c r="D81"/>
  <c r="D85" s="1"/>
  <c r="H81"/>
  <c r="H85" s="1"/>
  <c r="L81"/>
  <c r="G82"/>
  <c r="J83"/>
  <c r="K91"/>
  <c r="K94" s="1"/>
  <c r="G94"/>
  <c r="F95"/>
  <c r="E98"/>
  <c r="E512" s="1"/>
  <c r="D99"/>
  <c r="I105"/>
  <c r="I125" s="1"/>
  <c r="D113"/>
  <c r="D527" s="1"/>
  <c r="F119"/>
  <c r="F533" s="1"/>
  <c r="H129"/>
  <c r="J162"/>
  <c r="J166" s="1"/>
  <c r="K174"/>
  <c r="K177" s="1"/>
  <c r="K181"/>
  <c r="L196"/>
  <c r="L204" s="1"/>
  <c r="L208" s="1"/>
  <c r="K209"/>
  <c r="K251" s="1"/>
  <c r="K228"/>
  <c r="K249" s="1"/>
  <c r="F253"/>
  <c r="F256" s="1"/>
  <c r="D264"/>
  <c r="D512" s="1"/>
  <c r="K265"/>
  <c r="K271" s="1"/>
  <c r="K291" s="1"/>
  <c r="E271"/>
  <c r="E291" s="1"/>
  <c r="I271"/>
  <c r="I291" s="1"/>
  <c r="D275"/>
  <c r="F280"/>
  <c r="G288"/>
  <c r="G333" s="1"/>
  <c r="K299"/>
  <c r="K312" s="1"/>
  <c r="K416"/>
  <c r="K410"/>
  <c r="K436"/>
  <c r="G537"/>
  <c r="H415"/>
  <c r="H378"/>
  <c r="D416"/>
  <c r="F372"/>
  <c r="F416" s="1"/>
  <c r="E381"/>
  <c r="J416"/>
  <c r="K372"/>
  <c r="D499"/>
  <c r="F454"/>
  <c r="F499" s="1"/>
  <c r="E500"/>
  <c r="E459"/>
  <c r="E460" s="1"/>
  <c r="H500"/>
  <c r="H459"/>
  <c r="H460" s="1"/>
  <c r="K496"/>
  <c r="K472"/>
  <c r="H537"/>
  <c r="K54"/>
  <c r="K61"/>
  <c r="F62"/>
  <c r="E63"/>
  <c r="I63"/>
  <c r="F76"/>
  <c r="F572" s="1"/>
  <c r="H80"/>
  <c r="L80"/>
  <c r="G81"/>
  <c r="J82"/>
  <c r="J578" s="1"/>
  <c r="F94"/>
  <c r="L146"/>
  <c r="I162"/>
  <c r="I166" s="1"/>
  <c r="G201"/>
  <c r="K201" s="1"/>
  <c r="H205"/>
  <c r="F228"/>
  <c r="F249" s="1"/>
  <c r="K575"/>
  <c r="D249"/>
  <c r="E284"/>
  <c r="K284" s="1"/>
  <c r="L286"/>
  <c r="L290" s="1"/>
  <c r="L294" s="1"/>
  <c r="L335" s="1"/>
  <c r="F299"/>
  <c r="F312" s="1"/>
  <c r="G328"/>
  <c r="G575" s="1"/>
  <c r="E537"/>
  <c r="D417"/>
  <c r="F373"/>
  <c r="J417"/>
  <c r="K373"/>
  <c r="L460"/>
  <c r="D500"/>
  <c r="F455"/>
  <c r="J499"/>
  <c r="K454"/>
  <c r="K499" s="1"/>
  <c r="L500"/>
  <c r="L459"/>
  <c r="I535"/>
  <c r="G40"/>
  <c r="H45"/>
  <c r="F54"/>
  <c r="K60"/>
  <c r="F61"/>
  <c r="D63"/>
  <c r="H63"/>
  <c r="L63"/>
  <c r="K78"/>
  <c r="K574" s="1"/>
  <c r="L79"/>
  <c r="L575" s="1"/>
  <c r="G80"/>
  <c r="J81"/>
  <c r="E82"/>
  <c r="I82"/>
  <c r="I578" s="1"/>
  <c r="F106"/>
  <c r="F109" s="1"/>
  <c r="D118"/>
  <c r="K118" s="1"/>
  <c r="K133"/>
  <c r="K146" s="1"/>
  <c r="J141"/>
  <c r="K154"/>
  <c r="K567" s="1"/>
  <c r="H162"/>
  <c r="H575" s="1"/>
  <c r="F174"/>
  <c r="F177" s="1"/>
  <c r="K199"/>
  <c r="K203" s="1"/>
  <c r="K534" s="1"/>
  <c r="D225"/>
  <c r="D246" s="1"/>
  <c r="L268"/>
  <c r="L289" s="1"/>
  <c r="K334"/>
  <c r="D537"/>
  <c r="K369"/>
  <c r="J370"/>
  <c r="J374" s="1"/>
  <c r="E387"/>
  <c r="E410"/>
  <c r="E575" s="1"/>
  <c r="K451"/>
  <c r="K452" s="1"/>
  <c r="J452"/>
  <c r="J456" s="1"/>
  <c r="G455"/>
  <c r="K455" s="1"/>
  <c r="F464"/>
  <c r="I477"/>
  <c r="D494"/>
  <c r="D498" s="1"/>
  <c r="H494"/>
  <c r="H498" s="1"/>
  <c r="L494"/>
  <c r="L498" s="1"/>
  <c r="K563"/>
  <c r="K336"/>
  <c r="K339" s="1"/>
  <c r="G339"/>
  <c r="G367"/>
  <c r="G370" s="1"/>
  <c r="K368"/>
  <c r="D390"/>
  <c r="D410"/>
  <c r="D575" s="1"/>
  <c r="K430"/>
  <c r="E435"/>
  <c r="F435" s="1"/>
  <c r="K435" s="1"/>
  <c r="K450"/>
  <c r="I472"/>
  <c r="I555" s="1"/>
  <c r="G494"/>
  <c r="G498" s="1"/>
  <c r="F398"/>
  <c r="G414"/>
  <c r="F430"/>
  <c r="F449"/>
  <c r="F452" s="1"/>
  <c r="F456" s="1"/>
  <c r="K473"/>
  <c r="K494" s="1"/>
  <c r="J494"/>
  <c r="J498" s="1"/>
  <c r="F343"/>
  <c r="F354" s="1"/>
  <c r="H539" l="1"/>
  <c r="L414"/>
  <c r="K524"/>
  <c r="L456"/>
  <c r="F247"/>
  <c r="F251" s="1"/>
  <c r="G532"/>
  <c r="L499"/>
  <c r="G578"/>
  <c r="I576"/>
  <c r="F16"/>
  <c r="G499"/>
  <c r="H414"/>
  <c r="E252"/>
  <c r="K509"/>
  <c r="E205"/>
  <c r="F374"/>
  <c r="D576"/>
  <c r="F330"/>
  <c r="F334" s="1"/>
  <c r="F329"/>
  <c r="H559"/>
  <c r="K500"/>
  <c r="K459"/>
  <c r="E84"/>
  <c r="E46"/>
  <c r="I518"/>
  <c r="I41"/>
  <c r="I22"/>
  <c r="F83"/>
  <c r="F283"/>
  <c r="F287" s="1"/>
  <c r="F284"/>
  <c r="F99"/>
  <c r="F105" s="1"/>
  <c r="F98"/>
  <c r="F512" s="1"/>
  <c r="F63"/>
  <c r="F498"/>
  <c r="L559"/>
  <c r="L83"/>
  <c r="K80"/>
  <c r="K63"/>
  <c r="F528"/>
  <c r="F35"/>
  <c r="F34"/>
  <c r="L518"/>
  <c r="L19"/>
  <c r="G518"/>
  <c r="G538" s="1"/>
  <c r="G41"/>
  <c r="G45" s="1"/>
  <c r="L250"/>
  <c r="L212"/>
  <c r="E542"/>
  <c r="E86"/>
  <c r="I579"/>
  <c r="H576"/>
  <c r="F182"/>
  <c r="F188" s="1"/>
  <c r="L534"/>
  <c r="K367"/>
  <c r="K370" s="1"/>
  <c r="J575"/>
  <c r="K207"/>
  <c r="K211" s="1"/>
  <c r="K252" s="1"/>
  <c r="D121"/>
  <c r="K99"/>
  <c r="K105" s="1"/>
  <c r="E121"/>
  <c r="G122"/>
  <c r="F201"/>
  <c r="D523"/>
  <c r="G508"/>
  <c r="G504"/>
  <c r="K200"/>
  <c r="K204" s="1"/>
  <c r="L531"/>
  <c r="L295"/>
  <c r="H542"/>
  <c r="H582" s="1"/>
  <c r="H86"/>
  <c r="F459"/>
  <c r="F460" s="1"/>
  <c r="F500"/>
  <c r="D577"/>
  <c r="D581"/>
  <c r="J250"/>
  <c r="J212"/>
  <c r="E122"/>
  <c r="E105"/>
  <c r="E125" s="1"/>
  <c r="F557"/>
  <c r="F81"/>
  <c r="F169"/>
  <c r="K128"/>
  <c r="K169" s="1"/>
  <c r="K520"/>
  <c r="K26"/>
  <c r="K523" s="1"/>
  <c r="I536"/>
  <c r="I84"/>
  <c r="I580" s="1"/>
  <c r="L513"/>
  <c r="L39"/>
  <c r="L22"/>
  <c r="K515"/>
  <c r="K21"/>
  <c r="K518" s="1"/>
  <c r="K528"/>
  <c r="K34"/>
  <c r="K531" s="1"/>
  <c r="D250"/>
  <c r="F205"/>
  <c r="F250" s="1"/>
  <c r="K501"/>
  <c r="K7"/>
  <c r="K504" s="1"/>
  <c r="D294"/>
  <c r="F290"/>
  <c r="K348"/>
  <c r="D556"/>
  <c r="L576"/>
  <c r="K540"/>
  <c r="F118"/>
  <c r="J579"/>
  <c r="E208"/>
  <c r="J576"/>
  <c r="D207"/>
  <c r="D211" s="1"/>
  <c r="D531"/>
  <c r="F534"/>
  <c r="F509"/>
  <c r="L123"/>
  <c r="G125"/>
  <c r="F123"/>
  <c r="K508"/>
  <c r="E288"/>
  <c r="K119"/>
  <c r="F524"/>
  <c r="F537"/>
  <c r="D394"/>
  <c r="D555"/>
  <c r="K557"/>
  <c r="K81"/>
  <c r="H250"/>
  <c r="H212"/>
  <c r="G577"/>
  <c r="G85"/>
  <c r="G581" s="1"/>
  <c r="E393"/>
  <c r="F381"/>
  <c r="K381"/>
  <c r="E546"/>
  <c r="E383"/>
  <c r="E382"/>
  <c r="D122"/>
  <c r="D105"/>
  <c r="D125" s="1"/>
  <c r="H577"/>
  <c r="H581"/>
  <c r="F80"/>
  <c r="L538"/>
  <c r="L45"/>
  <c r="G374"/>
  <c r="K354"/>
  <c r="K374" s="1"/>
  <c r="E577"/>
  <c r="E85"/>
  <c r="E581" s="1"/>
  <c r="E532"/>
  <c r="E38"/>
  <c r="K35"/>
  <c r="K516"/>
  <c r="K40"/>
  <c r="K22"/>
  <c r="D532"/>
  <c r="D38"/>
  <c r="G513"/>
  <c r="G39"/>
  <c r="G22"/>
  <c r="D518"/>
  <c r="D538" s="1"/>
  <c r="D41"/>
  <c r="D45" s="1"/>
  <c r="F21"/>
  <c r="F22" s="1"/>
  <c r="E519"/>
  <c r="E539" s="1"/>
  <c r="E42"/>
  <c r="G576"/>
  <c r="H46"/>
  <c r="K456"/>
  <c r="H166"/>
  <c r="H579" s="1"/>
  <c r="G523"/>
  <c r="D508"/>
  <c r="H84"/>
  <c r="H580" s="1"/>
  <c r="F530"/>
  <c r="K505"/>
  <c r="F265"/>
  <c r="F271" s="1"/>
  <c r="F291" s="1"/>
  <c r="K293" s="1"/>
  <c r="K541" s="1"/>
  <c r="F410"/>
  <c r="F575" s="1"/>
  <c r="F563"/>
  <c r="G500"/>
  <c r="G459"/>
  <c r="G460" s="1"/>
  <c r="E552"/>
  <c r="F387"/>
  <c r="K387"/>
  <c r="K552" s="1"/>
  <c r="E390"/>
  <c r="E555" s="1"/>
  <c r="J577"/>
  <c r="J85"/>
  <c r="J581" s="1"/>
  <c r="F82"/>
  <c r="K82"/>
  <c r="L577"/>
  <c r="L85"/>
  <c r="K83"/>
  <c r="G417"/>
  <c r="K377"/>
  <c r="D271"/>
  <c r="D288"/>
  <c r="G205"/>
  <c r="G188"/>
  <c r="G208" s="1"/>
  <c r="I577"/>
  <c r="I85"/>
  <c r="I581" s="1"/>
  <c r="K460"/>
  <c r="K498"/>
  <c r="I517"/>
  <c r="I19"/>
  <c r="F505"/>
  <c r="F11"/>
  <c r="F508" s="1"/>
  <c r="J517"/>
  <c r="J21"/>
  <c r="J19" s="1"/>
  <c r="D513"/>
  <c r="D39"/>
  <c r="D22"/>
  <c r="F501"/>
  <c r="F7"/>
  <c r="F504" s="1"/>
  <c r="J536"/>
  <c r="J84"/>
  <c r="J580" s="1"/>
  <c r="K39"/>
  <c r="L532"/>
  <c r="L38"/>
  <c r="F520"/>
  <c r="F26"/>
  <c r="F523" s="1"/>
  <c r="H536"/>
  <c r="I575"/>
  <c r="G371"/>
  <c r="D287"/>
  <c r="F200"/>
  <c r="F204" s="1"/>
  <c r="G579"/>
  <c r="J555"/>
  <c r="K182"/>
  <c r="K188" s="1"/>
  <c r="K208" s="1"/>
  <c r="F527"/>
  <c r="L129"/>
  <c r="J535"/>
  <c r="L527"/>
  <c r="K530"/>
  <c r="K512"/>
  <c r="K290"/>
  <c r="E518"/>
  <c r="E538" s="1"/>
  <c r="E212" l="1"/>
  <c r="E250"/>
  <c r="K288"/>
  <c r="K333" s="1"/>
  <c r="K121"/>
  <c r="F519"/>
  <c r="F539" s="1"/>
  <c r="J516"/>
  <c r="J40"/>
  <c r="J537" s="1"/>
  <c r="D519"/>
  <c r="D539" s="1"/>
  <c r="D42"/>
  <c r="I516"/>
  <c r="I40"/>
  <c r="I537" s="1"/>
  <c r="D333"/>
  <c r="D295"/>
  <c r="F288"/>
  <c r="F333" s="1"/>
  <c r="G519"/>
  <c r="G539" s="1"/>
  <c r="G42"/>
  <c r="L542"/>
  <c r="L582" s="1"/>
  <c r="L86"/>
  <c r="E547"/>
  <c r="F382"/>
  <c r="F393"/>
  <c r="F546"/>
  <c r="K123"/>
  <c r="K533"/>
  <c r="L536"/>
  <c r="L84"/>
  <c r="L580" s="1"/>
  <c r="L46"/>
  <c r="L543" s="1"/>
  <c r="E167"/>
  <c r="E129"/>
  <c r="L516"/>
  <c r="L40"/>
  <c r="L537" s="1"/>
  <c r="F390"/>
  <c r="F555" s="1"/>
  <c r="K125"/>
  <c r="J518"/>
  <c r="J41"/>
  <c r="J22"/>
  <c r="G250"/>
  <c r="G212"/>
  <c r="D167"/>
  <c r="D129"/>
  <c r="F122"/>
  <c r="K393"/>
  <c r="K546"/>
  <c r="K382"/>
  <c r="L519"/>
  <c r="L539" s="1"/>
  <c r="L42"/>
  <c r="F532"/>
  <c r="F38"/>
  <c r="F42" s="1"/>
  <c r="I538"/>
  <c r="I45"/>
  <c r="L581"/>
  <c r="K537"/>
  <c r="F513"/>
  <c r="G415"/>
  <c r="G378"/>
  <c r="K371"/>
  <c r="K84"/>
  <c r="D542"/>
  <c r="D582" s="1"/>
  <c r="F45"/>
  <c r="D86"/>
  <c r="K577"/>
  <c r="K85"/>
  <c r="K581" s="1"/>
  <c r="G129"/>
  <c r="G167"/>
  <c r="K122"/>
  <c r="G542"/>
  <c r="G582" s="1"/>
  <c r="G86"/>
  <c r="I519"/>
  <c r="I539" s="1"/>
  <c r="I42"/>
  <c r="K513"/>
  <c r="F208"/>
  <c r="F531"/>
  <c r="E536"/>
  <c r="D536"/>
  <c r="D84"/>
  <c r="D580" s="1"/>
  <c r="D46"/>
  <c r="F39"/>
  <c r="F518"/>
  <c r="F538" s="1"/>
  <c r="F41"/>
  <c r="G536"/>
  <c r="G84"/>
  <c r="G46"/>
  <c r="K519"/>
  <c r="K539" s="1"/>
  <c r="K532"/>
  <c r="K38"/>
  <c r="K42" s="1"/>
  <c r="E548"/>
  <c r="F383"/>
  <c r="K383"/>
  <c r="E391"/>
  <c r="E386"/>
  <c r="E551" s="1"/>
  <c r="E413"/>
  <c r="E558"/>
  <c r="D414"/>
  <c r="D579" s="1"/>
  <c r="D559"/>
  <c r="E333"/>
  <c r="E295"/>
  <c r="D252"/>
  <c r="F211"/>
  <c r="F252" s="1"/>
  <c r="D335"/>
  <c r="F294"/>
  <c r="F577"/>
  <c r="F85"/>
  <c r="F581" s="1"/>
  <c r="D291"/>
  <c r="D212"/>
  <c r="F212" s="1"/>
  <c r="K205"/>
  <c r="K536" s="1"/>
  <c r="F121"/>
  <c r="F125" s="1"/>
  <c r="F552"/>
  <c r="G580" l="1"/>
  <c r="D543"/>
  <c r="E417"/>
  <c r="E578"/>
  <c r="E582" s="1"/>
  <c r="F386"/>
  <c r="F551" s="1"/>
  <c r="F548"/>
  <c r="F391"/>
  <c r="K378"/>
  <c r="J538"/>
  <c r="K41"/>
  <c r="J45"/>
  <c r="F335"/>
  <c r="K294"/>
  <c r="K335" s="1"/>
  <c r="K386"/>
  <c r="K551" s="1"/>
  <c r="K548"/>
  <c r="K391"/>
  <c r="F536"/>
  <c r="F84"/>
  <c r="F46"/>
  <c r="F542"/>
  <c r="F86"/>
  <c r="K394"/>
  <c r="K559" s="1"/>
  <c r="K547"/>
  <c r="J519"/>
  <c r="J539" s="1"/>
  <c r="J42"/>
  <c r="F394"/>
  <c r="F547"/>
  <c r="F295"/>
  <c r="E411"/>
  <c r="E556"/>
  <c r="F129"/>
  <c r="F167"/>
  <c r="F413"/>
  <c r="F558"/>
  <c r="E543"/>
  <c r="K250"/>
  <c r="K212"/>
  <c r="K129"/>
  <c r="K167"/>
  <c r="I542"/>
  <c r="I582" s="1"/>
  <c r="I86"/>
  <c r="I46"/>
  <c r="K413"/>
  <c r="K558"/>
  <c r="E394"/>
  <c r="K417" l="1"/>
  <c r="K414"/>
  <c r="K579" s="1"/>
  <c r="K578"/>
  <c r="F417"/>
  <c r="F578"/>
  <c r="E415"/>
  <c r="E580" s="1"/>
  <c r="E576"/>
  <c r="F414"/>
  <c r="F579" s="1"/>
  <c r="F559"/>
  <c r="K538"/>
  <c r="K45"/>
  <c r="F411"/>
  <c r="F556"/>
  <c r="J542"/>
  <c r="J582" s="1"/>
  <c r="J86"/>
  <c r="J46"/>
  <c r="F543"/>
  <c r="E414"/>
  <c r="E579" s="1"/>
  <c r="E559"/>
  <c r="K411"/>
  <c r="K556"/>
  <c r="G295"/>
  <c r="H295" s="1"/>
  <c r="F582"/>
  <c r="J295" l="1"/>
  <c r="J543" s="1"/>
  <c r="H543"/>
  <c r="K542"/>
  <c r="K582" s="1"/>
  <c r="K86"/>
  <c r="K46"/>
  <c r="F415"/>
  <c r="F580" s="1"/>
  <c r="F576"/>
  <c r="I295"/>
  <c r="G543"/>
  <c r="K576"/>
  <c r="K415"/>
  <c r="K580" s="1"/>
  <c r="K295" l="1"/>
  <c r="K543" s="1"/>
  <c r="I543"/>
</calcChain>
</file>

<file path=xl/comments1.xml><?xml version="1.0" encoding="utf-8"?>
<comments xmlns="http://schemas.openxmlformats.org/spreadsheetml/2006/main">
  <authors>
    <author>maricica</author>
  </authors>
  <commentList>
    <comment ref="J27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110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193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76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359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441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524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</commentList>
</comments>
</file>

<file path=xl/sharedStrings.xml><?xml version="1.0" encoding="utf-8"?>
<sst xmlns="http://schemas.openxmlformats.org/spreadsheetml/2006/main" count="733" uniqueCount="57">
  <si>
    <t>UNITATEA SPITALICEASCA</t>
  </si>
  <si>
    <t>PERIOADA</t>
  </si>
  <si>
    <t>DRG</t>
  </si>
  <si>
    <t>CRONICI</t>
  </si>
  <si>
    <t>Total  DRG+ CRONICI</t>
  </si>
  <si>
    <t>SPIT. ZI</t>
  </si>
  <si>
    <t>ATI
1%</t>
  </si>
  <si>
    <t>dif.cheltuieli efective decembrie 2021</t>
  </si>
  <si>
    <t>dif.cheltuieli efective peste val. ctr. 2022</t>
  </si>
  <si>
    <t>TOTAL CONTRACT 2023</t>
  </si>
  <si>
    <t>SPITALUL JUDETEAN DE URGENTA VASLUI</t>
  </si>
  <si>
    <t>IAN</t>
  </si>
  <si>
    <t>CONTRACTAT</t>
  </si>
  <si>
    <t>REALIZAT</t>
  </si>
  <si>
    <t>Decont SIUI</t>
  </si>
  <si>
    <t>DISPONIBIL</t>
  </si>
  <si>
    <t>FEB</t>
  </si>
  <si>
    <t>DIPONIBIL</t>
  </si>
  <si>
    <t>MAR</t>
  </si>
  <si>
    <t>TRIM I</t>
  </si>
  <si>
    <t>REALIZ REGUL,</t>
  </si>
  <si>
    <t>DECONT REGULARIZARE</t>
  </si>
  <si>
    <t>TOTAL DECONT</t>
  </si>
  <si>
    <t>disponibil</t>
  </si>
  <si>
    <t>APR</t>
  </si>
  <si>
    <t>MAI</t>
  </si>
  <si>
    <t>IUNIE</t>
  </si>
  <si>
    <t>TRIM II</t>
  </si>
  <si>
    <t>SEM I</t>
  </si>
  <si>
    <t>IULIE</t>
  </si>
  <si>
    <t>AUGUST</t>
  </si>
  <si>
    <t>SEPTEMBRIE</t>
  </si>
  <si>
    <t>TRIM III</t>
  </si>
  <si>
    <t>DECONTAT</t>
  </si>
  <si>
    <t>OCTOMBRIE</t>
  </si>
  <si>
    <t>NOIEMBRIE</t>
  </si>
  <si>
    <t>DECEMBRIE</t>
  </si>
  <si>
    <t>TRIM IV</t>
  </si>
  <si>
    <t>DISPONIDIL</t>
  </si>
  <si>
    <t>SEM II</t>
  </si>
  <si>
    <t>TOTAL AN 2023</t>
  </si>
  <si>
    <t>SPITALUL MUNICIPAL ELENA BELDIMAN</t>
  </si>
  <si>
    <t>REALIZAT REG</t>
  </si>
  <si>
    <t>DECONT REG</t>
  </si>
  <si>
    <t>SPITALUL MUNICIPAL DIMITRIE CASTROIAN HUSI</t>
  </si>
  <si>
    <t>REALIZ REG.</t>
  </si>
  <si>
    <t>SPITALUL DE PSIHIATRIE MURGENI</t>
  </si>
  <si>
    <t>REALIZ. REG</t>
  </si>
  <si>
    <t xml:space="preserve">SPITALIS </t>
  </si>
  <si>
    <t>RELIZAT REG</t>
  </si>
  <si>
    <t>SC RECUMED SRL VASLUI</t>
  </si>
  <si>
    <t>TOTAL SPITALE</t>
  </si>
  <si>
    <t>decontat</t>
  </si>
  <si>
    <t>CA</t>
  </si>
  <si>
    <t>ALOCATIE HRANA 2023</t>
  </si>
  <si>
    <t>CONTRACTAT- REALIZAT- DECONTAT AN 2023</t>
  </si>
  <si>
    <t>INDICATORI SPITALE  2023 (IANUARIE-AUGUST 2023)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</si>
</sst>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</font>
    <font>
      <i/>
      <sz val="6"/>
      <name val="Arial"/>
      <family val="2"/>
    </font>
    <font>
      <i/>
      <sz val="8"/>
      <color indexed="10"/>
      <name val="Arial"/>
      <family val="2"/>
      <charset val="238"/>
    </font>
    <font>
      <b/>
      <i/>
      <sz val="7"/>
      <color theme="1" tint="4.9989318521683403E-2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b/>
      <sz val="7"/>
      <color theme="1" tint="4.9989318521683403E-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theme="1" tint="4.9989318521683403E-2"/>
      <name val="Arial"/>
      <family val="2"/>
      <charset val="238"/>
    </font>
    <font>
      <sz val="5"/>
      <name val="Arial"/>
      <family val="2"/>
    </font>
    <font>
      <sz val="8"/>
      <name val="Times New Roman"/>
      <family val="1"/>
      <charset val="238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  <charset val="238"/>
    </font>
    <font>
      <b/>
      <sz val="7"/>
      <name val="Arial"/>
      <family val="2"/>
    </font>
    <font>
      <sz val="5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4" fillId="0" borderId="0"/>
  </cellStyleXfs>
  <cellXfs count="127">
    <xf numFmtId="0" fontId="0" fillId="0" borderId="0" xfId="0"/>
    <xf numFmtId="0" fontId="3" fillId="0" borderId="0" xfId="0" applyFont="1"/>
    <xf numFmtId="4" fontId="0" fillId="0" borderId="0" xfId="0" applyNumberFormat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6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10" fillId="0" borderId="1" xfId="0" applyNumberFormat="1" applyFont="1" applyBorder="1"/>
    <xf numFmtId="4" fontId="12" fillId="6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7" borderId="0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4" fontId="4" fillId="8" borderId="1" xfId="0" applyNumberFormat="1" applyFont="1" applyFill="1" applyBorder="1"/>
    <xf numFmtId="4" fontId="4" fillId="8" borderId="1" xfId="0" applyNumberFormat="1" applyFont="1" applyFill="1" applyBorder="1" applyAlignment="1">
      <alignment horizontal="right"/>
    </xf>
    <xf numFmtId="4" fontId="4" fillId="9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4" fontId="16" fillId="0" borderId="1" xfId="0" applyNumberFormat="1" applyFont="1" applyBorder="1"/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4" fontId="17" fillId="0" borderId="1" xfId="0" applyNumberFormat="1" applyFont="1" applyFill="1" applyBorder="1" applyAlignment="1">
      <alignment horizontal="right"/>
    </xf>
    <xf numFmtId="4" fontId="17" fillId="0" borderId="1" xfId="0" applyNumberFormat="1" applyFont="1" applyBorder="1"/>
    <xf numFmtId="4" fontId="19" fillId="10" borderId="1" xfId="0" applyNumberFormat="1" applyFont="1" applyFill="1" applyBorder="1"/>
    <xf numFmtId="4" fontId="19" fillId="10" borderId="1" xfId="0" applyNumberFormat="1" applyFont="1" applyFill="1" applyBorder="1" applyAlignment="1">
      <alignment horizontal="right"/>
    </xf>
    <xf numFmtId="4" fontId="20" fillId="10" borderId="1" xfId="0" applyNumberFormat="1" applyFont="1" applyFill="1" applyBorder="1"/>
    <xf numFmtId="4" fontId="21" fillId="6" borderId="1" xfId="0" applyNumberFormat="1" applyFont="1" applyFill="1" applyBorder="1"/>
    <xf numFmtId="4" fontId="12" fillId="6" borderId="1" xfId="0" applyNumberFormat="1" applyFont="1" applyFill="1" applyBorder="1"/>
    <xf numFmtId="4" fontId="4" fillId="7" borderId="1" xfId="0" applyNumberFormat="1" applyFont="1" applyFill="1" applyBorder="1"/>
    <xf numFmtId="4" fontId="4" fillId="7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/>
    <xf numFmtId="4" fontId="17" fillId="0" borderId="1" xfId="0" applyNumberFormat="1" applyFont="1" applyBorder="1" applyAlignment="1">
      <alignment horizontal="right"/>
    </xf>
    <xf numFmtId="4" fontId="21" fillId="9" borderId="1" xfId="0" applyNumberFormat="1" applyFont="1" applyFill="1" applyBorder="1"/>
    <xf numFmtId="4" fontId="12" fillId="9" borderId="1" xfId="0" applyNumberFormat="1" applyFont="1" applyFill="1" applyBorder="1"/>
    <xf numFmtId="4" fontId="6" fillId="7" borderId="1" xfId="0" applyNumberFormat="1" applyFont="1" applyFill="1" applyBorder="1"/>
    <xf numFmtId="4" fontId="7" fillId="7" borderId="1" xfId="0" applyNumberFormat="1" applyFont="1" applyFill="1" applyBorder="1" applyAlignment="1">
      <alignment horizontal="right"/>
    </xf>
    <xf numFmtId="4" fontId="7" fillId="7" borderId="1" xfId="0" applyNumberFormat="1" applyFont="1" applyFill="1" applyBorder="1"/>
    <xf numFmtId="4" fontId="19" fillId="12" borderId="1" xfId="0" applyNumberFormat="1" applyFont="1" applyFill="1" applyBorder="1"/>
    <xf numFmtId="4" fontId="19" fillId="12" borderId="1" xfId="0" applyNumberFormat="1" applyFont="1" applyFill="1" applyBorder="1" applyAlignment="1">
      <alignment horizontal="right"/>
    </xf>
    <xf numFmtId="4" fontId="20" fillId="12" borderId="1" xfId="0" applyNumberFormat="1" applyFont="1" applyFill="1" applyBorder="1"/>
    <xf numFmtId="0" fontId="14" fillId="0" borderId="0" xfId="0" applyFont="1"/>
    <xf numFmtId="4" fontId="21" fillId="8" borderId="1" xfId="0" applyNumberFormat="1" applyFont="1" applyFill="1" applyBorder="1"/>
    <xf numFmtId="4" fontId="12" fillId="8" borderId="1" xfId="0" applyNumberFormat="1" applyFont="1" applyFill="1" applyBorder="1"/>
    <xf numFmtId="0" fontId="0" fillId="0" borderId="1" xfId="0" applyBorder="1"/>
    <xf numFmtId="4" fontId="4" fillId="13" borderId="1" xfId="0" applyNumberFormat="1" applyFont="1" applyFill="1" applyBorder="1"/>
    <xf numFmtId="4" fontId="4" fillId="13" borderId="1" xfId="0" applyNumberFormat="1" applyFont="1" applyFill="1" applyBorder="1" applyAlignment="1">
      <alignment horizontal="right"/>
    </xf>
    <xf numFmtId="4" fontId="10" fillId="8" borderId="1" xfId="0" applyNumberFormat="1" applyFont="1" applyFill="1" applyBorder="1"/>
    <xf numFmtId="4" fontId="19" fillId="14" borderId="1" xfId="0" applyNumberFormat="1" applyFont="1" applyFill="1" applyBorder="1"/>
    <xf numFmtId="4" fontId="19" fillId="14" borderId="1" xfId="0" applyNumberFormat="1" applyFont="1" applyFill="1" applyBorder="1" applyAlignment="1">
      <alignment horizontal="right"/>
    </xf>
    <xf numFmtId="4" fontId="20" fillId="14" borderId="1" xfId="0" applyNumberFormat="1" applyFont="1" applyFill="1" applyBorder="1"/>
    <xf numFmtId="4" fontId="25" fillId="12" borderId="1" xfId="0" applyNumberFormat="1" applyFont="1" applyFill="1" applyBorder="1"/>
    <xf numFmtId="4" fontId="25" fillId="12" borderId="1" xfId="0" applyNumberFormat="1" applyFont="1" applyFill="1" applyBorder="1" applyAlignment="1">
      <alignment horizontal="right"/>
    </xf>
    <xf numFmtId="4" fontId="26" fillId="12" borderId="1" xfId="0" applyNumberFormat="1" applyFont="1" applyFill="1" applyBorder="1"/>
    <xf numFmtId="4" fontId="17" fillId="4" borderId="1" xfId="0" applyNumberFormat="1" applyFont="1" applyFill="1" applyBorder="1" applyAlignment="1">
      <alignment horizontal="right"/>
    </xf>
    <xf numFmtId="4" fontId="17" fillId="8" borderId="1" xfId="0" applyNumberFormat="1" applyFont="1" applyFill="1" applyBorder="1" applyAlignment="1">
      <alignment horizontal="right"/>
    </xf>
    <xf numFmtId="4" fontId="7" fillId="14" borderId="1" xfId="0" applyNumberFormat="1" applyFont="1" applyFill="1" applyBorder="1"/>
    <xf numFmtId="4" fontId="7" fillId="14" borderId="1" xfId="0" applyNumberFormat="1" applyFont="1" applyFill="1" applyBorder="1" applyAlignment="1">
      <alignment horizontal="right"/>
    </xf>
    <xf numFmtId="4" fontId="6" fillId="14" borderId="1" xfId="0" applyNumberFormat="1" applyFont="1" applyFill="1" applyBorder="1"/>
    <xf numFmtId="0" fontId="7" fillId="0" borderId="0" xfId="0" applyFont="1"/>
    <xf numFmtId="43" fontId="22" fillId="0" borderId="0" xfId="1" applyNumberFormat="1" applyFont="1" applyAlignment="1">
      <alignment horizontal="right"/>
    </xf>
    <xf numFmtId="2" fontId="4" fillId="0" borderId="0" xfId="2" applyNumberFormat="1" applyFont="1"/>
    <xf numFmtId="43" fontId="27" fillId="0" borderId="0" xfId="1" applyNumberFormat="1" applyFont="1" applyAlignment="1">
      <alignment horizontal="right"/>
    </xf>
    <xf numFmtId="0" fontId="28" fillId="0" borderId="0" xfId="0" applyFont="1"/>
    <xf numFmtId="43" fontId="29" fillId="0" borderId="0" xfId="1" applyFont="1"/>
    <xf numFmtId="43" fontId="30" fillId="0" borderId="0" xfId="0" applyNumberFormat="1" applyFont="1"/>
    <xf numFmtId="43" fontId="28" fillId="0" borderId="0" xfId="1" applyFont="1"/>
    <xf numFmtId="0" fontId="7" fillId="0" borderId="0" xfId="0" applyFont="1" applyAlignment="1">
      <alignment horizontal="left"/>
    </xf>
    <xf numFmtId="43" fontId="28" fillId="0" borderId="0" xfId="0" applyNumberFormat="1" applyFont="1"/>
    <xf numFmtId="9" fontId="7" fillId="0" borderId="0" xfId="0" applyNumberFormat="1" applyFont="1" applyAlignment="1">
      <alignment horizontal="left"/>
    </xf>
    <xf numFmtId="4" fontId="7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7" borderId="1" xfId="2" applyFont="1" applyFill="1" applyBorder="1"/>
    <xf numFmtId="2" fontId="4" fillId="7" borderId="1" xfId="2" applyNumberFormat="1" applyFont="1" applyFill="1" applyBorder="1"/>
    <xf numFmtId="2" fontId="4" fillId="7" borderId="1" xfId="3" applyNumberFormat="1" applyFont="1" applyFill="1" applyBorder="1"/>
    <xf numFmtId="43" fontId="23" fillId="7" borderId="1" xfId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right"/>
    </xf>
    <xf numFmtId="4" fontId="17" fillId="7" borderId="1" xfId="0" applyNumberFormat="1" applyFont="1" applyFill="1" applyBorder="1" applyAlignment="1">
      <alignment horizontal="right"/>
    </xf>
    <xf numFmtId="4" fontId="12" fillId="7" borderId="1" xfId="0" applyNumberFormat="1" applyFont="1" applyFill="1" applyBorder="1" applyAlignment="1">
      <alignment horizontal="right"/>
    </xf>
    <xf numFmtId="4" fontId="33" fillId="7" borderId="1" xfId="0" applyNumberFormat="1" applyFont="1" applyFill="1" applyBorder="1"/>
    <xf numFmtId="4" fontId="29" fillId="7" borderId="1" xfId="0" applyNumberFormat="1" applyFont="1" applyFill="1" applyBorder="1"/>
    <xf numFmtId="4" fontId="19" fillId="7" borderId="1" xfId="0" applyNumberFormat="1" applyFont="1" applyFill="1" applyBorder="1" applyAlignment="1">
      <alignment horizontal="right"/>
    </xf>
    <xf numFmtId="4" fontId="11" fillId="13" borderId="1" xfId="0" applyNumberFormat="1" applyFont="1" applyFill="1" applyBorder="1"/>
    <xf numFmtId="4" fontId="13" fillId="13" borderId="1" xfId="0" applyNumberFormat="1" applyFont="1" applyFill="1" applyBorder="1"/>
    <xf numFmtId="4" fontId="17" fillId="7" borderId="1" xfId="0" applyNumberFormat="1" applyFont="1" applyFill="1" applyBorder="1"/>
    <xf numFmtId="4" fontId="8" fillId="7" borderId="1" xfId="0" applyNumberFormat="1" applyFont="1" applyFill="1" applyBorder="1"/>
    <xf numFmtId="4" fontId="21" fillId="7" borderId="1" xfId="0" applyNumberFormat="1" applyFont="1" applyFill="1" applyBorder="1"/>
    <xf numFmtId="4" fontId="12" fillId="7" borderId="1" xfId="0" applyNumberFormat="1" applyFont="1" applyFill="1" applyBorder="1"/>
    <xf numFmtId="4" fontId="6" fillId="8" borderId="1" xfId="0" applyNumberFormat="1" applyFont="1" applyFill="1" applyBorder="1"/>
    <xf numFmtId="4" fontId="16" fillId="7" borderId="1" xfId="0" applyNumberFormat="1" applyFont="1" applyFill="1" applyBorder="1"/>
    <xf numFmtId="4" fontId="19" fillId="7" borderId="1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14" fillId="3" borderId="1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textRotation="255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8" fillId="10" borderId="1" xfId="0" applyFont="1" applyFill="1" applyBorder="1" applyAlignment="1">
      <alignment vertical="center" textRotation="45" wrapText="1"/>
    </xf>
    <xf numFmtId="0" fontId="4" fillId="6" borderId="1" xfId="0" applyFont="1" applyFill="1" applyBorder="1" applyAlignment="1">
      <alignment horizontal="center" vertical="center" textRotation="255" wrapText="1"/>
    </xf>
    <xf numFmtId="0" fontId="14" fillId="6" borderId="1" xfId="0" applyFont="1" applyFill="1" applyBorder="1" applyAlignment="1">
      <alignment horizontal="center" vertical="center" textRotation="255" wrapText="1"/>
    </xf>
    <xf numFmtId="0" fontId="0" fillId="6" borderId="1" xfId="0" applyFill="1" applyBorder="1" applyAlignment="1">
      <alignment textRotation="255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textRotation="255" wrapText="1"/>
    </xf>
    <xf numFmtId="0" fontId="14" fillId="11" borderId="1" xfId="0" applyFont="1" applyFill="1" applyBorder="1" applyAlignment="1">
      <alignment horizontal="center" vertical="center" textRotation="255" wrapText="1"/>
    </xf>
    <xf numFmtId="0" fontId="0" fillId="11" borderId="1" xfId="0" applyFill="1" applyBorder="1" applyAlignment="1">
      <alignment textRotation="255"/>
    </xf>
    <xf numFmtId="2" fontId="3" fillId="7" borderId="1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vertical="center" textRotation="45" wrapText="1"/>
    </xf>
    <xf numFmtId="0" fontId="0" fillId="6" borderId="1" xfId="0" applyFill="1" applyBorder="1" applyAlignment="1">
      <alignment textRotation="255" wrapText="1"/>
    </xf>
    <xf numFmtId="0" fontId="18" fillId="14" borderId="1" xfId="0" applyFont="1" applyFill="1" applyBorder="1" applyAlignment="1">
      <alignment vertical="center" textRotation="45" wrapText="1"/>
    </xf>
    <xf numFmtId="0" fontId="4" fillId="15" borderId="1" xfId="0" applyFont="1" applyFill="1" applyBorder="1" applyAlignment="1">
      <alignment horizontal="center" vertical="center" textRotation="255" wrapText="1"/>
    </xf>
    <xf numFmtId="0" fontId="14" fillId="15" borderId="1" xfId="0" applyFont="1" applyFill="1" applyBorder="1" applyAlignment="1">
      <alignment horizontal="center" vertical="center" textRotation="255" wrapText="1"/>
    </xf>
    <xf numFmtId="0" fontId="0" fillId="15" borderId="1" xfId="0" applyFill="1" applyBorder="1" applyAlignment="1">
      <alignment textRotation="255"/>
    </xf>
    <xf numFmtId="0" fontId="24" fillId="12" borderId="1" xfId="0" applyFont="1" applyFill="1" applyBorder="1" applyAlignment="1">
      <alignment vertical="center" textRotation="45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8"/>
  <sheetViews>
    <sheetView tabSelected="1" topLeftCell="A559" zoomScale="120" zoomScaleNormal="120" workbookViewId="0">
      <selection activeCell="Q581" sqref="Q581"/>
    </sheetView>
  </sheetViews>
  <sheetFormatPr defaultRowHeight="15"/>
  <cols>
    <col min="1" max="1" width="12.85546875" customWidth="1"/>
    <col min="2" max="2" width="9.42578125" style="1" customWidth="1"/>
    <col min="3" max="3" width="13.42578125" customWidth="1"/>
    <col min="4" max="4" width="13.28515625" customWidth="1"/>
    <col min="5" max="5" width="11" customWidth="1"/>
    <col min="6" max="6" width="12.85546875" customWidth="1"/>
    <col min="7" max="7" width="12.140625" customWidth="1"/>
    <col min="8" max="8" width="10.42578125" customWidth="1"/>
    <col min="9" max="9" width="0.140625" hidden="1" customWidth="1"/>
    <col min="10" max="10" width="9.140625" hidden="1" customWidth="1"/>
    <col min="11" max="11" width="12" customWidth="1"/>
    <col min="12" max="12" width="10.28515625" customWidth="1"/>
    <col min="13" max="13" width="13.85546875" customWidth="1"/>
    <col min="14" max="14" width="13.7109375" bestFit="1" customWidth="1"/>
    <col min="15" max="15" width="16.42578125" bestFit="1" customWidth="1"/>
    <col min="16" max="16" width="17.85546875" customWidth="1"/>
    <col min="17" max="17" width="14.5703125" customWidth="1"/>
    <col min="18" max="18" width="13.42578125" bestFit="1" customWidth="1"/>
  </cols>
  <sheetData>
    <row r="1" spans="1:18">
      <c r="A1" s="125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8">
      <c r="A2" s="125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8" ht="79.5" customHeight="1">
      <c r="A3" s="72" t="s">
        <v>0</v>
      </c>
      <c r="B3" s="73" t="s">
        <v>1</v>
      </c>
      <c r="C3" s="74"/>
      <c r="D3" s="75" t="s">
        <v>2</v>
      </c>
      <c r="E3" s="75" t="s">
        <v>3</v>
      </c>
      <c r="F3" s="72" t="s">
        <v>4</v>
      </c>
      <c r="G3" s="76" t="s">
        <v>5</v>
      </c>
      <c r="H3" s="72" t="s">
        <v>6</v>
      </c>
      <c r="I3" s="72" t="s">
        <v>7</v>
      </c>
      <c r="J3" s="72" t="s">
        <v>8</v>
      </c>
      <c r="K3" s="72" t="s">
        <v>9</v>
      </c>
      <c r="L3" s="75" t="s">
        <v>54</v>
      </c>
    </row>
    <row r="4" spans="1:18">
      <c r="A4" s="99" t="s">
        <v>10</v>
      </c>
      <c r="B4" s="98" t="s">
        <v>11</v>
      </c>
      <c r="C4" s="30" t="s">
        <v>12</v>
      </c>
      <c r="D4" s="31">
        <f>4703821.58-470899.63</f>
        <v>4232921.95</v>
      </c>
      <c r="E4" s="31">
        <f>559899.63-220170.51</f>
        <v>339729.12</v>
      </c>
      <c r="F4" s="31">
        <f>D4+E4</f>
        <v>4572651.07</v>
      </c>
      <c r="G4" s="31">
        <f>380536.05-94574.78</f>
        <v>285961.27</v>
      </c>
      <c r="H4" s="31">
        <v>0</v>
      </c>
      <c r="I4" s="31">
        <v>0</v>
      </c>
      <c r="J4" s="31">
        <v>0</v>
      </c>
      <c r="K4" s="31">
        <f>J4+I4+H4+G4+E4+D4</f>
        <v>4858612.34</v>
      </c>
      <c r="L4" s="31">
        <f>275486+36980</f>
        <v>312466</v>
      </c>
      <c r="M4" s="2"/>
    </row>
    <row r="5" spans="1:18">
      <c r="A5" s="99"/>
      <c r="B5" s="98"/>
      <c r="C5" s="30" t="s">
        <v>13</v>
      </c>
      <c r="D5" s="31">
        <v>4232055.01</v>
      </c>
      <c r="E5" s="31">
        <v>339729.12</v>
      </c>
      <c r="F5" s="31">
        <f>D5+E5</f>
        <v>4571784.13</v>
      </c>
      <c r="G5" s="31">
        <v>285961.27</v>
      </c>
      <c r="H5" s="31">
        <v>0</v>
      </c>
      <c r="I5" s="31">
        <v>0</v>
      </c>
      <c r="J5" s="31">
        <v>0</v>
      </c>
      <c r="K5" s="31">
        <f>J5+I5+H5+G5+E5+D5</f>
        <v>4857745.3999999994</v>
      </c>
      <c r="L5" s="31">
        <v>312466</v>
      </c>
      <c r="M5" s="2"/>
    </row>
    <row r="6" spans="1:18">
      <c r="A6" s="99"/>
      <c r="B6" s="98"/>
      <c r="C6" s="32" t="s">
        <v>14</v>
      </c>
      <c r="D6" s="31">
        <v>4232055.01</v>
      </c>
      <c r="E6" s="31">
        <v>339729.12</v>
      </c>
      <c r="F6" s="31">
        <f>D6+E6</f>
        <v>4571784.13</v>
      </c>
      <c r="G6" s="31">
        <v>285961.27</v>
      </c>
      <c r="H6" s="31">
        <v>0</v>
      </c>
      <c r="I6" s="31">
        <v>0</v>
      </c>
      <c r="J6" s="31">
        <v>0</v>
      </c>
      <c r="K6" s="31">
        <f>J6+I6+H6+G6+E6+D6</f>
        <v>4857745.3999999994</v>
      </c>
      <c r="L6" s="31">
        <v>312466</v>
      </c>
      <c r="M6" s="2"/>
    </row>
    <row r="7" spans="1:18">
      <c r="A7" s="99"/>
      <c r="B7" s="98"/>
      <c r="C7" s="30" t="s">
        <v>15</v>
      </c>
      <c r="D7" s="31">
        <f>D4-D6</f>
        <v>866.94000000040978</v>
      </c>
      <c r="E7" s="31">
        <f t="shared" ref="E7:L7" si="0">E4-E6</f>
        <v>0</v>
      </c>
      <c r="F7" s="31">
        <f t="shared" si="0"/>
        <v>866.94000000040978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866.94000000040978</v>
      </c>
      <c r="L7" s="31">
        <f t="shared" si="0"/>
        <v>0</v>
      </c>
      <c r="N7" s="2"/>
      <c r="O7" s="2"/>
      <c r="P7" s="2"/>
      <c r="Q7" s="2"/>
      <c r="R7" s="2"/>
    </row>
    <row r="8" spans="1:18">
      <c r="A8" s="99"/>
      <c r="B8" s="98" t="s">
        <v>16</v>
      </c>
      <c r="C8" s="30" t="s">
        <v>12</v>
      </c>
      <c r="D8" s="31">
        <f>4703821.58-243211.9-1873.9</f>
        <v>4458735.7799999993</v>
      </c>
      <c r="E8" s="31">
        <f>559899.63-146777.44</f>
        <v>413122.19</v>
      </c>
      <c r="F8" s="31">
        <f>D8+E8</f>
        <v>4871857.97</v>
      </c>
      <c r="G8" s="31">
        <f>402011.29-91822.55</f>
        <v>310188.74</v>
      </c>
      <c r="H8" s="31">
        <v>0</v>
      </c>
      <c r="I8" s="31">
        <v>0</v>
      </c>
      <c r="J8" s="31">
        <v>0</v>
      </c>
      <c r="K8" s="31">
        <f>J8+I8+H8+G8+E8+D8</f>
        <v>5182046.709999999</v>
      </c>
      <c r="L8" s="31">
        <v>302830</v>
      </c>
      <c r="N8" s="2"/>
      <c r="O8" s="2"/>
      <c r="P8" s="2"/>
      <c r="Q8" s="2"/>
      <c r="R8" s="2"/>
    </row>
    <row r="9" spans="1:18">
      <c r="A9" s="99"/>
      <c r="B9" s="98"/>
      <c r="C9" s="30" t="s">
        <v>13</v>
      </c>
      <c r="D9" s="31">
        <v>4224925.8600000003</v>
      </c>
      <c r="E9" s="31">
        <v>413122.19</v>
      </c>
      <c r="F9" s="31">
        <f>D9+E9</f>
        <v>4638048.0500000007</v>
      </c>
      <c r="G9" s="31">
        <v>310188.74</v>
      </c>
      <c r="H9" s="31">
        <v>0</v>
      </c>
      <c r="I9" s="31">
        <v>0</v>
      </c>
      <c r="J9" s="31">
        <v>0</v>
      </c>
      <c r="K9" s="31">
        <f>J9+I9+H9+G9+E9+D9</f>
        <v>4948236.79</v>
      </c>
      <c r="L9" s="31">
        <v>302830</v>
      </c>
    </row>
    <row r="10" spans="1:18">
      <c r="A10" s="99"/>
      <c r="B10" s="98"/>
      <c r="C10" s="32" t="s">
        <v>14</v>
      </c>
      <c r="D10" s="31">
        <v>4224925.8600000003</v>
      </c>
      <c r="E10" s="31">
        <v>413122.19</v>
      </c>
      <c r="F10" s="31">
        <f>D10+E10</f>
        <v>4638048.0500000007</v>
      </c>
      <c r="G10" s="31">
        <v>310188.74</v>
      </c>
      <c r="H10" s="31">
        <v>0</v>
      </c>
      <c r="I10" s="31">
        <v>0</v>
      </c>
      <c r="J10" s="31">
        <v>0</v>
      </c>
      <c r="K10" s="31">
        <f>J10+I10+H10+G10+E10+D10</f>
        <v>4948236.79</v>
      </c>
      <c r="L10" s="31">
        <v>302830</v>
      </c>
      <c r="M10" s="2"/>
    </row>
    <row r="11" spans="1:18">
      <c r="A11" s="99"/>
      <c r="B11" s="98"/>
      <c r="C11" s="30" t="s">
        <v>17</v>
      </c>
      <c r="D11" s="31">
        <f>D8-D10</f>
        <v>233809.91999999899</v>
      </c>
      <c r="E11" s="31">
        <f t="shared" ref="E11:J11" si="1">E8-E10</f>
        <v>0</v>
      </c>
      <c r="F11" s="31">
        <f t="shared" si="1"/>
        <v>233809.91999999899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>K8-K10</f>
        <v>233809.91999999899</v>
      </c>
      <c r="L11" s="31">
        <f>L8-L10</f>
        <v>0</v>
      </c>
    </row>
    <row r="12" spans="1:18">
      <c r="A12" s="99"/>
      <c r="B12" s="98" t="s">
        <v>18</v>
      </c>
      <c r="C12" s="30" t="s">
        <v>12</v>
      </c>
      <c r="D12" s="31">
        <v>4703821.58</v>
      </c>
      <c r="E12" s="31">
        <f>559899.63-75686.33</f>
        <v>484213.3</v>
      </c>
      <c r="F12" s="31">
        <f>D12+E12</f>
        <v>5188034.88</v>
      </c>
      <c r="G12" s="31">
        <f>402011.29-1207.11</f>
        <v>400804.18</v>
      </c>
      <c r="H12" s="31">
        <v>0</v>
      </c>
      <c r="I12" s="31">
        <v>0</v>
      </c>
      <c r="J12" s="31">
        <v>0</v>
      </c>
      <c r="K12" s="31">
        <f>J12+I12+H12+G12+E12+D12</f>
        <v>5588839.0600000005</v>
      </c>
      <c r="L12" s="31">
        <v>354321</v>
      </c>
    </row>
    <row r="13" spans="1:18">
      <c r="A13" s="99"/>
      <c r="B13" s="98"/>
      <c r="C13" s="30" t="s">
        <v>13</v>
      </c>
      <c r="D13" s="31">
        <v>4918613.26</v>
      </c>
      <c r="E13" s="31">
        <v>489553.01</v>
      </c>
      <c r="F13" s="31">
        <f>D13+E13</f>
        <v>5408166.2699999996</v>
      </c>
      <c r="G13" s="31">
        <v>399843.79</v>
      </c>
      <c r="H13" s="31">
        <v>0</v>
      </c>
      <c r="I13" s="31">
        <v>0</v>
      </c>
      <c r="J13" s="31">
        <v>0</v>
      </c>
      <c r="K13" s="31">
        <f>J13+I13+H13+G13+E13+D13</f>
        <v>5808010.0599999996</v>
      </c>
      <c r="L13" s="31">
        <v>354321</v>
      </c>
    </row>
    <row r="14" spans="1:18">
      <c r="A14" s="99"/>
      <c r="B14" s="98"/>
      <c r="C14" s="32" t="s">
        <v>14</v>
      </c>
      <c r="D14" s="31">
        <v>4703817.83</v>
      </c>
      <c r="E14" s="31">
        <v>489553.01</v>
      </c>
      <c r="F14" s="31">
        <f>D14+E14</f>
        <v>5193370.84</v>
      </c>
      <c r="G14" s="31">
        <v>399843.79</v>
      </c>
      <c r="H14" s="31">
        <v>0</v>
      </c>
      <c r="I14" s="31">
        <v>0</v>
      </c>
      <c r="J14" s="31">
        <v>0</v>
      </c>
      <c r="K14" s="31">
        <f>J14+I14+H14+G14+E14+D14</f>
        <v>5593214.6299999999</v>
      </c>
      <c r="L14" s="31">
        <v>354321</v>
      </c>
      <c r="M14" s="2"/>
    </row>
    <row r="15" spans="1:18">
      <c r="A15" s="99"/>
      <c r="B15" s="98"/>
      <c r="C15" s="30" t="s">
        <v>17</v>
      </c>
      <c r="D15" s="31">
        <f>D12-D14</f>
        <v>3.75</v>
      </c>
      <c r="E15" s="31">
        <f t="shared" ref="E15:J15" si="2">E12-E14</f>
        <v>-5339.710000000021</v>
      </c>
      <c r="F15" s="31">
        <f t="shared" si="2"/>
        <v>-5335.9599999999627</v>
      </c>
      <c r="G15" s="31">
        <f t="shared" si="2"/>
        <v>960.39000000001397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>K12-K14</f>
        <v>-4375.5699999993667</v>
      </c>
      <c r="L15" s="31">
        <f>L12-L14</f>
        <v>0</v>
      </c>
    </row>
    <row r="16" spans="1:18">
      <c r="A16" s="99"/>
      <c r="B16" s="102" t="s">
        <v>19</v>
      </c>
      <c r="C16" s="30" t="s">
        <v>12</v>
      </c>
      <c r="D16" s="31">
        <f>D12+D8+D4</f>
        <v>13395479.309999999</v>
      </c>
      <c r="E16" s="31">
        <f>E12+E8+E4</f>
        <v>1237064.6099999999</v>
      </c>
      <c r="F16" s="31">
        <f t="shared" ref="F16:L17" si="3">F12+F8+F4</f>
        <v>14632543.92</v>
      </c>
      <c r="G16" s="31">
        <f t="shared" si="3"/>
        <v>996954.19</v>
      </c>
      <c r="H16" s="31">
        <v>223286.33</v>
      </c>
      <c r="I16" s="31">
        <f t="shared" si="3"/>
        <v>0</v>
      </c>
      <c r="J16" s="31">
        <f t="shared" si="3"/>
        <v>0</v>
      </c>
      <c r="K16" s="31">
        <f t="shared" si="3"/>
        <v>15629498.109999999</v>
      </c>
      <c r="L16" s="31">
        <f>L12+L8+L4+16984</f>
        <v>986601</v>
      </c>
      <c r="M16" s="2"/>
    </row>
    <row r="17" spans="1:14">
      <c r="A17" s="99"/>
      <c r="B17" s="102"/>
      <c r="C17" s="30" t="s">
        <v>13</v>
      </c>
      <c r="D17" s="31">
        <f t="shared" ref="D17:J18" si="4">D13+D9+D5</f>
        <v>13375594.130000001</v>
      </c>
      <c r="E17" s="31">
        <f t="shared" si="4"/>
        <v>1242404.3199999998</v>
      </c>
      <c r="F17" s="31">
        <f t="shared" si="3"/>
        <v>14617998.449999999</v>
      </c>
      <c r="G17" s="31">
        <f t="shared" si="3"/>
        <v>995993.8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1">
        <f>K13+K9+K5</f>
        <v>15613992.25</v>
      </c>
      <c r="L17" s="31">
        <f t="shared" si="3"/>
        <v>969617</v>
      </c>
    </row>
    <row r="18" spans="1:14">
      <c r="A18" s="99"/>
      <c r="B18" s="102"/>
      <c r="C18" s="32" t="s">
        <v>14</v>
      </c>
      <c r="D18" s="31">
        <f t="shared" si="4"/>
        <v>13160798.700000001</v>
      </c>
      <c r="E18" s="31">
        <f t="shared" si="4"/>
        <v>1242404.3199999998</v>
      </c>
      <c r="F18" s="31">
        <f t="shared" si="4"/>
        <v>14403203.02</v>
      </c>
      <c r="G18" s="31">
        <f t="shared" si="4"/>
        <v>995993.8</v>
      </c>
      <c r="H18" s="31">
        <f t="shared" si="4"/>
        <v>0</v>
      </c>
      <c r="I18" s="31">
        <f t="shared" si="4"/>
        <v>0</v>
      </c>
      <c r="J18" s="31">
        <f t="shared" si="4"/>
        <v>0</v>
      </c>
      <c r="K18" s="31">
        <f>K14+K10+K6</f>
        <v>15399196.82</v>
      </c>
      <c r="L18" s="31">
        <f>L14+L10+L6</f>
        <v>969617</v>
      </c>
    </row>
    <row r="19" spans="1:14">
      <c r="A19" s="99"/>
      <c r="B19" s="102"/>
      <c r="C19" s="85" t="s">
        <v>20</v>
      </c>
      <c r="D19" s="31">
        <v>13395479.310000001</v>
      </c>
      <c r="E19" s="31">
        <v>1237064.6100000001</v>
      </c>
      <c r="F19" s="31">
        <f>D19+E19</f>
        <v>14632543.92</v>
      </c>
      <c r="G19" s="31">
        <v>996954.19</v>
      </c>
      <c r="H19" s="31">
        <v>223286.33</v>
      </c>
      <c r="I19" s="31">
        <f>I20+I21</f>
        <v>0</v>
      </c>
      <c r="J19" s="31">
        <f>J20+J21</f>
        <v>0</v>
      </c>
      <c r="K19" s="31">
        <f>F19+G19</f>
        <v>15629498.109999999</v>
      </c>
      <c r="L19" s="31">
        <f>L21</f>
        <v>986601</v>
      </c>
      <c r="M19" s="2"/>
    </row>
    <row r="20" spans="1:14">
      <c r="A20" s="99"/>
      <c r="B20" s="102"/>
      <c r="C20" s="85" t="s">
        <v>21</v>
      </c>
      <c r="D20" s="31">
        <v>234680.61</v>
      </c>
      <c r="E20" s="31">
        <v>-5339.71</v>
      </c>
      <c r="F20" s="31">
        <f>D20+E20</f>
        <v>229340.9</v>
      </c>
      <c r="G20" s="31">
        <v>960.39</v>
      </c>
      <c r="H20" s="31">
        <v>223286.33</v>
      </c>
      <c r="I20" s="31">
        <f>I17-I18</f>
        <v>0</v>
      </c>
      <c r="J20" s="31">
        <f>J17-J18</f>
        <v>0</v>
      </c>
      <c r="K20" s="31">
        <f>F20+G20</f>
        <v>230301.29</v>
      </c>
      <c r="L20" s="31">
        <v>16984</v>
      </c>
      <c r="M20" s="2"/>
    </row>
    <row r="21" spans="1:14">
      <c r="A21" s="99"/>
      <c r="B21" s="102"/>
      <c r="C21" s="86" t="s">
        <v>22</v>
      </c>
      <c r="D21" s="31">
        <f>D18+D20</f>
        <v>13395479.310000001</v>
      </c>
      <c r="E21" s="31">
        <f>E18+E20</f>
        <v>1237064.6099999999</v>
      </c>
      <c r="F21" s="31">
        <f>D21+E21</f>
        <v>14632543.92</v>
      </c>
      <c r="G21" s="31">
        <f>G18+G20</f>
        <v>996954.19000000006</v>
      </c>
      <c r="H21" s="31">
        <v>223286.33</v>
      </c>
      <c r="I21" s="31">
        <f>I18+I20</f>
        <v>0</v>
      </c>
      <c r="J21" s="31">
        <f>J18+J20</f>
        <v>0</v>
      </c>
      <c r="K21" s="31">
        <f>K18+K20</f>
        <v>15629498.109999999</v>
      </c>
      <c r="L21" s="31">
        <f>L18+L20</f>
        <v>986601</v>
      </c>
      <c r="M21" s="13"/>
      <c r="N21" s="12"/>
    </row>
    <row r="22" spans="1:14">
      <c r="A22" s="99"/>
      <c r="B22" s="98"/>
      <c r="C22" s="86" t="s">
        <v>23</v>
      </c>
      <c r="D22" s="31">
        <f>D16-D21</f>
        <v>0</v>
      </c>
      <c r="E22" s="31">
        <f t="shared" ref="E22:L22" si="5">E16-E21</f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13"/>
    </row>
    <row r="23" spans="1:14">
      <c r="A23" s="100"/>
      <c r="B23" s="103" t="s">
        <v>24</v>
      </c>
      <c r="C23" s="30" t="s">
        <v>12</v>
      </c>
      <c r="D23" s="31">
        <f>4703821.58-783970.26</f>
        <v>3919851.3200000003</v>
      </c>
      <c r="E23" s="31">
        <f>559899.63-112604.71</f>
        <v>447294.92</v>
      </c>
      <c r="F23" s="31">
        <f>D23+E23</f>
        <v>4367146.24</v>
      </c>
      <c r="G23" s="31">
        <f>402011.29-118924.25</f>
        <v>283087.03999999998</v>
      </c>
      <c r="H23" s="31">
        <v>0</v>
      </c>
      <c r="I23" s="31">
        <v>0</v>
      </c>
      <c r="J23" s="31">
        <v>0</v>
      </c>
      <c r="K23" s="31">
        <f>J23+I23+H23+G23+E23+D23</f>
        <v>4650233.28</v>
      </c>
      <c r="L23" s="31">
        <f>279547.71+28349-17454.71-20</f>
        <v>290422</v>
      </c>
    </row>
    <row r="24" spans="1:14">
      <c r="A24" s="100"/>
      <c r="B24" s="103"/>
      <c r="C24" s="30" t="s">
        <v>13</v>
      </c>
      <c r="D24" s="31">
        <v>3919776.91</v>
      </c>
      <c r="E24" s="31">
        <v>447294.92</v>
      </c>
      <c r="F24" s="31">
        <f>D24+E24</f>
        <v>4367071.83</v>
      </c>
      <c r="G24" s="31">
        <v>283087.03999999998</v>
      </c>
      <c r="H24" s="31">
        <v>0</v>
      </c>
      <c r="I24" s="31">
        <v>0</v>
      </c>
      <c r="J24" s="31">
        <v>0</v>
      </c>
      <c r="K24" s="31">
        <f>J24+I24+H24+G24+E24+D24</f>
        <v>4650158.87</v>
      </c>
      <c r="L24" s="31">
        <v>290422</v>
      </c>
    </row>
    <row r="25" spans="1:14">
      <c r="A25" s="100"/>
      <c r="B25" s="103"/>
      <c r="C25" s="32" t="s">
        <v>14</v>
      </c>
      <c r="D25" s="31">
        <v>3919776.91</v>
      </c>
      <c r="E25" s="31">
        <v>447294.92</v>
      </c>
      <c r="F25" s="31">
        <f>D25+E25</f>
        <v>4367071.83</v>
      </c>
      <c r="G25" s="31">
        <v>283087.03999999998</v>
      </c>
      <c r="H25" s="31">
        <v>0</v>
      </c>
      <c r="I25" s="31">
        <v>0</v>
      </c>
      <c r="J25" s="31">
        <v>0</v>
      </c>
      <c r="K25" s="31">
        <f>J25+I25+H25+G25+E25+D25</f>
        <v>4650158.87</v>
      </c>
      <c r="L25" s="31">
        <v>290422</v>
      </c>
      <c r="M25" s="2"/>
    </row>
    <row r="26" spans="1:14">
      <c r="A26" s="100"/>
      <c r="B26" s="103"/>
      <c r="C26" s="30" t="s">
        <v>15</v>
      </c>
      <c r="D26" s="31">
        <f>D23-D25</f>
        <v>74.410000000149012</v>
      </c>
      <c r="E26" s="31">
        <f t="shared" ref="E26:L26" si="6">E23-E25</f>
        <v>0</v>
      </c>
      <c r="F26" s="31">
        <f t="shared" si="6"/>
        <v>74.410000000149012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74.410000000149012</v>
      </c>
      <c r="L26" s="31">
        <f t="shared" si="6"/>
        <v>0</v>
      </c>
    </row>
    <row r="27" spans="1:14">
      <c r="A27" s="100"/>
      <c r="B27" s="103" t="s">
        <v>25</v>
      </c>
      <c r="C27" s="30" t="s">
        <v>12</v>
      </c>
      <c r="D27" s="31">
        <v>4703821.58</v>
      </c>
      <c r="E27" s="31">
        <f>559899.63-105668.98</f>
        <v>454230.65</v>
      </c>
      <c r="F27" s="31">
        <f>D27+E27</f>
        <v>5158052.2300000004</v>
      </c>
      <c r="G27" s="31">
        <v>402011.29</v>
      </c>
      <c r="H27" s="31">
        <v>0</v>
      </c>
      <c r="I27" s="31">
        <v>0</v>
      </c>
      <c r="J27" s="31">
        <v>0</v>
      </c>
      <c r="K27" s="31">
        <f>J27+I27+H27+G27+E27+D27</f>
        <v>5560063.5199999996</v>
      </c>
      <c r="L27" s="31">
        <f>297002.42+32084.58</f>
        <v>329087</v>
      </c>
    </row>
    <row r="28" spans="1:14">
      <c r="A28" s="100"/>
      <c r="B28" s="103"/>
      <c r="C28" s="30" t="s">
        <v>13</v>
      </c>
      <c r="D28" s="31">
        <v>5016441.8</v>
      </c>
      <c r="E28" s="31">
        <v>454230.65</v>
      </c>
      <c r="F28" s="31">
        <f>D28+E28</f>
        <v>5470672.4500000002</v>
      </c>
      <c r="G28" s="77">
        <v>353325.81</v>
      </c>
      <c r="H28" s="31">
        <v>0</v>
      </c>
      <c r="I28" s="31">
        <v>0</v>
      </c>
      <c r="J28" s="31">
        <v>0</v>
      </c>
      <c r="K28" s="31">
        <f>J28+I28+H28+G28+E28+D28</f>
        <v>5823998.2599999998</v>
      </c>
      <c r="L28" s="79">
        <v>329087</v>
      </c>
    </row>
    <row r="29" spans="1:14">
      <c r="A29" s="100"/>
      <c r="B29" s="103"/>
      <c r="C29" s="32" t="s">
        <v>14</v>
      </c>
      <c r="D29" s="31">
        <v>4703780.99</v>
      </c>
      <c r="E29" s="31">
        <v>454230.65</v>
      </c>
      <c r="F29" s="31">
        <f>D29+E29</f>
        <v>5158011.6400000006</v>
      </c>
      <c r="G29" s="31">
        <v>353325.81</v>
      </c>
      <c r="H29" s="31">
        <v>0</v>
      </c>
      <c r="I29" s="31">
        <v>0</v>
      </c>
      <c r="J29" s="31">
        <v>0</v>
      </c>
      <c r="K29" s="31">
        <f>J29+I29+H29+G29+E29+D29</f>
        <v>5511337.4500000002</v>
      </c>
      <c r="L29" s="31">
        <v>329087</v>
      </c>
    </row>
    <row r="30" spans="1:14">
      <c r="A30" s="100"/>
      <c r="B30" s="103"/>
      <c r="C30" s="30" t="s">
        <v>23</v>
      </c>
      <c r="D30" s="31">
        <f>D27-D29</f>
        <v>40.589999999850988</v>
      </c>
      <c r="E30" s="31">
        <f t="shared" ref="E30:L30" si="7">E27-E29</f>
        <v>0</v>
      </c>
      <c r="F30" s="31">
        <f t="shared" si="7"/>
        <v>40.589999999850988</v>
      </c>
      <c r="G30" s="31">
        <f t="shared" si="7"/>
        <v>48685.479999999981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48726.069999999367</v>
      </c>
      <c r="L30" s="31">
        <f t="shared" si="7"/>
        <v>0</v>
      </c>
    </row>
    <row r="31" spans="1:14">
      <c r="A31" s="100"/>
      <c r="B31" s="104" t="s">
        <v>26</v>
      </c>
      <c r="C31" s="30" t="s">
        <v>12</v>
      </c>
      <c r="D31" s="31">
        <f>4703821.58-74502.55</f>
        <v>4629319.03</v>
      </c>
      <c r="E31" s="31">
        <f>559899.63-102362.09</f>
        <v>457537.54000000004</v>
      </c>
      <c r="F31" s="31">
        <f>D31+E31</f>
        <v>5086856.57</v>
      </c>
      <c r="G31" s="87">
        <f>402011.29-172682.41</f>
        <v>229328.87999999998</v>
      </c>
      <c r="H31" s="31">
        <v>0</v>
      </c>
      <c r="I31" s="31">
        <v>0</v>
      </c>
      <c r="J31" s="31">
        <v>0</v>
      </c>
      <c r="K31" s="31">
        <f>J31+I31+H31+G31+E31+D31</f>
        <v>5316185.45</v>
      </c>
      <c r="L31" s="31">
        <f>294712+20801</f>
        <v>315513</v>
      </c>
    </row>
    <row r="32" spans="1:14">
      <c r="A32" s="100"/>
      <c r="B32" s="104"/>
      <c r="C32" s="30" t="s">
        <v>13</v>
      </c>
      <c r="D32" s="31">
        <v>4310961.34</v>
      </c>
      <c r="E32" s="31">
        <v>438498.88</v>
      </c>
      <c r="F32" s="31">
        <f>SUM(D32:E32)</f>
        <v>4749460.22</v>
      </c>
      <c r="G32" s="31">
        <v>283100.67</v>
      </c>
      <c r="H32" s="31">
        <v>0</v>
      </c>
      <c r="I32" s="31">
        <v>0</v>
      </c>
      <c r="J32" s="31">
        <v>0</v>
      </c>
      <c r="K32" s="31">
        <f>J32+I32+H32+G32+E32+D32</f>
        <v>5032560.8899999997</v>
      </c>
      <c r="L32" s="31">
        <v>294712</v>
      </c>
    </row>
    <row r="33" spans="1:14">
      <c r="A33" s="100"/>
      <c r="B33" s="104"/>
      <c r="C33" s="32" t="s">
        <v>14</v>
      </c>
      <c r="D33" s="31">
        <v>4310961.34</v>
      </c>
      <c r="E33" s="31">
        <v>438498.88</v>
      </c>
      <c r="F33" s="31">
        <f>SUM(D33:E33)</f>
        <v>4749460.22</v>
      </c>
      <c r="G33" s="31">
        <v>283100.67</v>
      </c>
      <c r="H33" s="31">
        <v>0</v>
      </c>
      <c r="I33" s="31">
        <v>0</v>
      </c>
      <c r="J33" s="31">
        <v>0</v>
      </c>
      <c r="K33" s="31">
        <f>J33+I33+H33+G33+E33+D33</f>
        <v>5032560.8899999997</v>
      </c>
      <c r="L33" s="31">
        <v>294712</v>
      </c>
      <c r="M33" s="2"/>
    </row>
    <row r="34" spans="1:14">
      <c r="A34" s="100"/>
      <c r="B34" s="98"/>
      <c r="C34" s="30" t="s">
        <v>23</v>
      </c>
      <c r="D34" s="31">
        <f>D31-D33</f>
        <v>318357.69000000041</v>
      </c>
      <c r="E34" s="31">
        <f t="shared" ref="E34:L34" si="8">E31-E33</f>
        <v>19038.660000000033</v>
      </c>
      <c r="F34" s="31">
        <f t="shared" si="8"/>
        <v>337396.35000000056</v>
      </c>
      <c r="G34" s="31">
        <f t="shared" si="8"/>
        <v>-53771.790000000008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283624.56000000052</v>
      </c>
      <c r="L34" s="31">
        <f t="shared" si="8"/>
        <v>20801</v>
      </c>
    </row>
    <row r="35" spans="1:14">
      <c r="A35" s="100"/>
      <c r="B35" s="105" t="s">
        <v>27</v>
      </c>
      <c r="C35" s="30" t="s">
        <v>12</v>
      </c>
      <c r="D35" s="31">
        <f t="shared" ref="D35:J35" si="9">D31+D27+D23</f>
        <v>13252991.93</v>
      </c>
      <c r="E35" s="31">
        <f t="shared" si="9"/>
        <v>1359063.11</v>
      </c>
      <c r="F35" s="31">
        <f t="shared" si="9"/>
        <v>14612055.040000001</v>
      </c>
      <c r="G35" s="31">
        <f t="shared" si="9"/>
        <v>914427.21</v>
      </c>
      <c r="H35" s="31">
        <v>302927.35999999999</v>
      </c>
      <c r="I35" s="31">
        <f t="shared" si="9"/>
        <v>0</v>
      </c>
      <c r="J35" s="31">
        <f t="shared" si="9"/>
        <v>0</v>
      </c>
      <c r="K35" s="31">
        <f>J35+I35+H35+G35+E35+D35</f>
        <v>15829409.609999999</v>
      </c>
      <c r="L35" s="31">
        <f>L31+L27+L23</f>
        <v>935022</v>
      </c>
    </row>
    <row r="36" spans="1:14">
      <c r="A36" s="100"/>
      <c r="B36" s="105"/>
      <c r="C36" s="30" t="s">
        <v>13</v>
      </c>
      <c r="D36" s="31">
        <f>D32+D28+D24</f>
        <v>13247180.050000001</v>
      </c>
      <c r="E36" s="31">
        <f>E32+E28+E24</f>
        <v>1340024.45</v>
      </c>
      <c r="F36" s="31">
        <f>D36+E36</f>
        <v>14587204.5</v>
      </c>
      <c r="G36" s="31">
        <f>G32+G28+G24</f>
        <v>919513.52</v>
      </c>
      <c r="H36" s="31">
        <v>302927.35999999999</v>
      </c>
      <c r="I36" s="31">
        <f>I32+I28+I24</f>
        <v>0</v>
      </c>
      <c r="J36" s="31">
        <f>J32+J28+J24</f>
        <v>0</v>
      </c>
      <c r="K36" s="31">
        <f>J36+I36+H36+G36+E36+D36</f>
        <v>15809645.380000001</v>
      </c>
      <c r="L36" s="31">
        <f>L32+L28+L24</f>
        <v>914221</v>
      </c>
      <c r="M36" s="2"/>
      <c r="N36" s="2"/>
    </row>
    <row r="37" spans="1:14">
      <c r="A37" s="100"/>
      <c r="B37" s="105"/>
      <c r="C37" s="32" t="s">
        <v>14</v>
      </c>
      <c r="D37" s="31">
        <f>D33+D29+D25</f>
        <v>12934519.24</v>
      </c>
      <c r="E37" s="31">
        <f>E33+E29+E25</f>
        <v>1340024.45</v>
      </c>
      <c r="F37" s="31">
        <f>D37+E37</f>
        <v>14274543.689999999</v>
      </c>
      <c r="G37" s="31">
        <f>G33+G29+G25</f>
        <v>919513.52</v>
      </c>
      <c r="H37" s="31">
        <v>302927.35999999999</v>
      </c>
      <c r="I37" s="31">
        <f>I33+I29+I25</f>
        <v>0</v>
      </c>
      <c r="J37" s="31">
        <f>J33+J29+J25</f>
        <v>0</v>
      </c>
      <c r="K37" s="31">
        <f>J37+I37+H37+G37+E37+D37</f>
        <v>15496984.57</v>
      </c>
      <c r="L37" s="31">
        <f>L33+L29+L25</f>
        <v>914221</v>
      </c>
    </row>
    <row r="38" spans="1:14">
      <c r="A38" s="100"/>
      <c r="B38" s="105"/>
      <c r="C38" s="30" t="s">
        <v>15</v>
      </c>
      <c r="D38" s="30">
        <f>D35-D37</f>
        <v>318472.68999999948</v>
      </c>
      <c r="E38" s="30">
        <f t="shared" ref="E38:L38" si="10">E35-E37</f>
        <v>19038.660000000149</v>
      </c>
      <c r="F38" s="30">
        <f t="shared" si="10"/>
        <v>337511.35000000149</v>
      </c>
      <c r="G38" s="30">
        <f t="shared" si="10"/>
        <v>-5086.3100000000559</v>
      </c>
      <c r="H38" s="30">
        <f t="shared" si="10"/>
        <v>0</v>
      </c>
      <c r="I38" s="30">
        <f t="shared" si="10"/>
        <v>0</v>
      </c>
      <c r="J38" s="30">
        <f t="shared" si="10"/>
        <v>0</v>
      </c>
      <c r="K38" s="30">
        <f t="shared" si="10"/>
        <v>332425.03999999911</v>
      </c>
      <c r="L38" s="30">
        <f t="shared" si="10"/>
        <v>20801</v>
      </c>
    </row>
    <row r="39" spans="1:14">
      <c r="A39" s="100"/>
      <c r="B39" s="102" t="s">
        <v>28</v>
      </c>
      <c r="C39" s="46" t="s">
        <v>12</v>
      </c>
      <c r="D39" s="47">
        <f>D16+D35</f>
        <v>26648471.239999998</v>
      </c>
      <c r="E39" s="47">
        <f>E16+E35</f>
        <v>2596127.7199999997</v>
      </c>
      <c r="F39" s="47">
        <f>D39+E39</f>
        <v>29244598.959999997</v>
      </c>
      <c r="G39" s="47">
        <f>G16+G35</f>
        <v>1911381.4</v>
      </c>
      <c r="H39" s="47">
        <f>H16+H35</f>
        <v>526213.68999999994</v>
      </c>
      <c r="I39" s="47">
        <f>I16+I35</f>
        <v>0</v>
      </c>
      <c r="J39" s="47">
        <f>J16+J35</f>
        <v>0</v>
      </c>
      <c r="K39" s="47">
        <f>J39+I39+H39+G39+E39+D39</f>
        <v>31682194.049999997</v>
      </c>
      <c r="L39" s="47">
        <f>L16+L35</f>
        <v>1921623</v>
      </c>
    </row>
    <row r="40" spans="1:14">
      <c r="A40" s="100"/>
      <c r="B40" s="102"/>
      <c r="C40" s="3" t="s">
        <v>13</v>
      </c>
      <c r="D40" s="4">
        <f>D19+D36</f>
        <v>26642659.359999999</v>
      </c>
      <c r="E40" s="4">
        <f>E19+E36</f>
        <v>2577089.06</v>
      </c>
      <c r="F40" s="4">
        <f t="shared" ref="F40:L40" si="11">F19+F36</f>
        <v>29219748.420000002</v>
      </c>
      <c r="G40" s="4">
        <f t="shared" si="11"/>
        <v>1916467.71</v>
      </c>
      <c r="H40" s="4">
        <f t="shared" si="11"/>
        <v>526213.68999999994</v>
      </c>
      <c r="I40" s="4">
        <f t="shared" si="11"/>
        <v>0</v>
      </c>
      <c r="J40" s="4">
        <f t="shared" si="11"/>
        <v>0</v>
      </c>
      <c r="K40" s="4">
        <f>K19+K36</f>
        <v>31439143.490000002</v>
      </c>
      <c r="L40" s="4">
        <f t="shared" si="11"/>
        <v>1900822</v>
      </c>
    </row>
    <row r="41" spans="1:14">
      <c r="A41" s="100"/>
      <c r="B41" s="102"/>
      <c r="C41" s="10" t="s">
        <v>14</v>
      </c>
      <c r="D41" s="4">
        <f>D21+D37</f>
        <v>26329998.550000001</v>
      </c>
      <c r="E41" s="4">
        <f t="shared" ref="E41:L42" si="12">E21+E37</f>
        <v>2577089.0599999996</v>
      </c>
      <c r="F41" s="4">
        <f t="shared" si="12"/>
        <v>28907087.609999999</v>
      </c>
      <c r="G41" s="4">
        <f t="shared" si="12"/>
        <v>1916467.71</v>
      </c>
      <c r="H41" s="4">
        <f t="shared" si="12"/>
        <v>526213.68999999994</v>
      </c>
      <c r="I41" s="4">
        <f t="shared" si="12"/>
        <v>0</v>
      </c>
      <c r="J41" s="4">
        <f t="shared" si="12"/>
        <v>0</v>
      </c>
      <c r="K41" s="5">
        <f>J41+I41+H41+G41+E41+D41</f>
        <v>31349769.009999998</v>
      </c>
      <c r="L41" s="31">
        <f>L37+L21</f>
        <v>1900822</v>
      </c>
    </row>
    <row r="42" spans="1:14">
      <c r="A42" s="100"/>
      <c r="B42" s="102"/>
      <c r="C42" s="3" t="s">
        <v>15</v>
      </c>
      <c r="D42" s="4">
        <f>D22+D38</f>
        <v>318472.68999999948</v>
      </c>
      <c r="E42" s="4">
        <f t="shared" si="12"/>
        <v>19038.660000000149</v>
      </c>
      <c r="F42" s="4">
        <f t="shared" si="12"/>
        <v>337511.35000000149</v>
      </c>
      <c r="G42" s="4">
        <f t="shared" si="12"/>
        <v>-5086.3100000000559</v>
      </c>
      <c r="H42" s="4">
        <f t="shared" si="12"/>
        <v>0</v>
      </c>
      <c r="I42" s="4">
        <f t="shared" si="12"/>
        <v>0</v>
      </c>
      <c r="J42" s="4">
        <f t="shared" si="12"/>
        <v>0</v>
      </c>
      <c r="K42" s="4">
        <f t="shared" si="12"/>
        <v>332425.03999999911</v>
      </c>
      <c r="L42" s="4">
        <f t="shared" si="12"/>
        <v>20801</v>
      </c>
    </row>
    <row r="43" spans="1:14">
      <c r="A43" s="100"/>
      <c r="B43" s="98"/>
      <c r="C43" s="88" t="s">
        <v>20</v>
      </c>
      <c r="D43" s="47">
        <v>26648471.239999998</v>
      </c>
      <c r="E43" s="47">
        <v>2596127.7200000002</v>
      </c>
      <c r="F43" s="47">
        <f>D43+E43</f>
        <v>29244598.959999997</v>
      </c>
      <c r="G43" s="47">
        <v>1911381.4</v>
      </c>
      <c r="H43" s="47">
        <v>526213.68999999994</v>
      </c>
      <c r="I43" s="47"/>
      <c r="J43" s="47"/>
      <c r="K43" s="47">
        <f>F43+G43+H43</f>
        <v>31682194.049999997</v>
      </c>
      <c r="L43" s="47">
        <v>1921623</v>
      </c>
    </row>
    <row r="44" spans="1:14">
      <c r="A44" s="100"/>
      <c r="B44" s="98"/>
      <c r="C44" s="88" t="s">
        <v>21</v>
      </c>
      <c r="D44" s="47">
        <v>318472.69</v>
      </c>
      <c r="E44" s="47">
        <v>19038.66</v>
      </c>
      <c r="F44" s="47">
        <f>D44+E44</f>
        <v>337511.35</v>
      </c>
      <c r="G44" s="47">
        <v>-5086.3100000000004</v>
      </c>
      <c r="H44" s="47"/>
      <c r="I44" s="47"/>
      <c r="J44" s="47"/>
      <c r="K44" s="47">
        <f>F44+G44</f>
        <v>332425.03999999998</v>
      </c>
      <c r="L44" s="47">
        <v>20801</v>
      </c>
    </row>
    <row r="45" spans="1:14">
      <c r="A45" s="100"/>
      <c r="B45" s="98"/>
      <c r="C45" s="89" t="s">
        <v>22</v>
      </c>
      <c r="D45" s="47">
        <f>D41+D44</f>
        <v>26648471.240000002</v>
      </c>
      <c r="E45" s="47">
        <f>E41+E44</f>
        <v>2596127.7199999997</v>
      </c>
      <c r="F45" s="47">
        <f>D45+E45</f>
        <v>29244598.960000001</v>
      </c>
      <c r="G45" s="47">
        <f t="shared" ref="G45:L45" si="13">G41+G44</f>
        <v>1911381.4</v>
      </c>
      <c r="H45" s="47">
        <f t="shared" si="13"/>
        <v>526213.68999999994</v>
      </c>
      <c r="I45" s="47">
        <f t="shared" si="13"/>
        <v>0</v>
      </c>
      <c r="J45" s="47">
        <f t="shared" si="13"/>
        <v>0</v>
      </c>
      <c r="K45" s="47">
        <f t="shared" si="13"/>
        <v>31682194.049999997</v>
      </c>
      <c r="L45" s="47">
        <f t="shared" si="13"/>
        <v>1921623</v>
      </c>
    </row>
    <row r="46" spans="1:14">
      <c r="A46" s="100"/>
      <c r="B46" s="98"/>
      <c r="C46" s="89" t="s">
        <v>23</v>
      </c>
      <c r="D46" s="47">
        <f t="shared" ref="D46:L46" si="14">D39-D45</f>
        <v>0</v>
      </c>
      <c r="E46" s="47">
        <f t="shared" si="14"/>
        <v>0</v>
      </c>
      <c r="F46" s="47">
        <f t="shared" si="14"/>
        <v>0</v>
      </c>
      <c r="G46" s="47">
        <f t="shared" si="14"/>
        <v>0</v>
      </c>
      <c r="H46" s="47">
        <f t="shared" si="14"/>
        <v>0</v>
      </c>
      <c r="I46" s="47">
        <f t="shared" si="14"/>
        <v>0</v>
      </c>
      <c r="J46" s="47">
        <f t="shared" si="14"/>
        <v>0</v>
      </c>
      <c r="K46" s="47">
        <f t="shared" si="14"/>
        <v>0</v>
      </c>
      <c r="L46" s="47">
        <f t="shared" si="14"/>
        <v>0</v>
      </c>
    </row>
    <row r="47" spans="1:14">
      <c r="A47" s="100"/>
      <c r="B47" s="97" t="s">
        <v>29</v>
      </c>
      <c r="C47" s="3" t="s">
        <v>12</v>
      </c>
      <c r="D47" s="5">
        <v>5187115.21</v>
      </c>
      <c r="E47" s="4">
        <v>552196.65</v>
      </c>
      <c r="F47" s="5">
        <f>SUM(D47:E47)</f>
        <v>5739311.8600000003</v>
      </c>
      <c r="G47" s="5">
        <v>500010</v>
      </c>
      <c r="H47" s="19">
        <v>0</v>
      </c>
      <c r="I47" s="19">
        <v>0</v>
      </c>
      <c r="J47" s="19">
        <v>0</v>
      </c>
      <c r="K47" s="5">
        <f>D47+E47+G47+H47+I47+J47</f>
        <v>6239321.8600000003</v>
      </c>
      <c r="L47" s="31">
        <v>280104</v>
      </c>
    </row>
    <row r="48" spans="1:14">
      <c r="A48" s="100"/>
      <c r="B48" s="97"/>
      <c r="C48" s="3" t="s">
        <v>13</v>
      </c>
      <c r="D48" s="5">
        <v>4234369.3499999996</v>
      </c>
      <c r="E48" s="4">
        <v>366933.1</v>
      </c>
      <c r="F48" s="5">
        <f>SUM(D48:E48)</f>
        <v>4601302.4499999993</v>
      </c>
      <c r="G48" s="5">
        <v>308335</v>
      </c>
      <c r="H48" s="19">
        <v>0</v>
      </c>
      <c r="I48" s="19">
        <v>0</v>
      </c>
      <c r="J48" s="19">
        <v>0</v>
      </c>
      <c r="K48" s="5">
        <f>D48+E48+G48+H48+I48+J48</f>
        <v>4909637.4499999993</v>
      </c>
      <c r="L48" s="31">
        <v>280104</v>
      </c>
    </row>
    <row r="49" spans="1:13">
      <c r="A49" s="100"/>
      <c r="B49" s="97"/>
      <c r="C49" s="3" t="s">
        <v>14</v>
      </c>
      <c r="D49" s="5">
        <v>4234369.3499999996</v>
      </c>
      <c r="E49" s="4">
        <v>366933.1</v>
      </c>
      <c r="F49" s="5">
        <f>SUM(D49:E49)</f>
        <v>4601302.4499999993</v>
      </c>
      <c r="G49" s="5">
        <v>308355</v>
      </c>
      <c r="H49" s="19">
        <v>0</v>
      </c>
      <c r="I49" s="19">
        <v>0</v>
      </c>
      <c r="J49" s="19">
        <v>0</v>
      </c>
      <c r="K49" s="5">
        <f>D49+E49+G49+H49+I49+J49</f>
        <v>4909657.4499999993</v>
      </c>
      <c r="L49" s="31">
        <v>280104</v>
      </c>
      <c r="M49" s="2"/>
    </row>
    <row r="50" spans="1:13">
      <c r="A50" s="100"/>
      <c r="B50" s="98"/>
      <c r="C50" s="20" t="s">
        <v>23</v>
      </c>
      <c r="D50" s="21">
        <f>D47-D49</f>
        <v>952745.86000000034</v>
      </c>
      <c r="E50" s="21">
        <f t="shared" ref="E50:K50" si="15">E47-E49</f>
        <v>185263.55000000005</v>
      </c>
      <c r="F50" s="21">
        <f t="shared" si="15"/>
        <v>1138009.4100000011</v>
      </c>
      <c r="G50" s="21">
        <f t="shared" si="15"/>
        <v>191655</v>
      </c>
      <c r="H50" s="21">
        <f t="shared" si="15"/>
        <v>0</v>
      </c>
      <c r="I50" s="21">
        <f t="shared" si="15"/>
        <v>0</v>
      </c>
      <c r="J50" s="21">
        <f t="shared" si="15"/>
        <v>0</v>
      </c>
      <c r="K50" s="21">
        <f t="shared" si="15"/>
        <v>1329664.4100000011</v>
      </c>
      <c r="L50" s="82">
        <v>0</v>
      </c>
    </row>
    <row r="51" spans="1:13">
      <c r="A51" s="100"/>
      <c r="B51" s="97" t="s">
        <v>30</v>
      </c>
      <c r="C51" s="3" t="s">
        <v>12</v>
      </c>
      <c r="D51" s="5">
        <v>5187115.21</v>
      </c>
      <c r="E51" s="4">
        <v>552196.65</v>
      </c>
      <c r="F51" s="5">
        <f>SUM(D51:E51)</f>
        <v>5739311.8600000003</v>
      </c>
      <c r="G51" s="5">
        <v>500010</v>
      </c>
      <c r="H51" s="19">
        <v>0</v>
      </c>
      <c r="I51" s="19">
        <v>0</v>
      </c>
      <c r="J51" s="19">
        <v>0</v>
      </c>
      <c r="K51" s="5">
        <f>J51+I51+H51+G51+E51+D51</f>
        <v>6239321.8599999994</v>
      </c>
      <c r="L51" s="31">
        <v>295647</v>
      </c>
    </row>
    <row r="52" spans="1:13">
      <c r="A52" s="100"/>
      <c r="B52" s="97"/>
      <c r="C52" s="3" t="s">
        <v>13</v>
      </c>
      <c r="D52" s="5">
        <v>4337866.5999999996</v>
      </c>
      <c r="E52" s="4">
        <v>398164.16</v>
      </c>
      <c r="F52" s="5">
        <f t="shared" ref="F52:F57" si="16">SUM(D52:E52)</f>
        <v>4736030.76</v>
      </c>
      <c r="G52" s="5">
        <v>313342</v>
      </c>
      <c r="H52" s="19">
        <v>0</v>
      </c>
      <c r="I52" s="19">
        <v>0</v>
      </c>
      <c r="J52" s="19">
        <v>0</v>
      </c>
      <c r="K52" s="5">
        <f>J52+I52+H52+G52+E52+D52</f>
        <v>5049372.76</v>
      </c>
      <c r="L52" s="31">
        <v>295647</v>
      </c>
    </row>
    <row r="53" spans="1:13">
      <c r="A53" s="100"/>
      <c r="B53" s="97"/>
      <c r="C53" s="3" t="s">
        <v>14</v>
      </c>
      <c r="D53" s="5">
        <v>4337866.5999999996</v>
      </c>
      <c r="E53" s="4">
        <v>398164.16</v>
      </c>
      <c r="F53" s="5">
        <f t="shared" si="16"/>
        <v>4736030.76</v>
      </c>
      <c r="G53" s="5">
        <v>313342</v>
      </c>
      <c r="H53" s="19">
        <v>0</v>
      </c>
      <c r="I53" s="19">
        <v>0</v>
      </c>
      <c r="J53" s="19">
        <v>0</v>
      </c>
      <c r="K53" s="5">
        <f>J53+I53+H53+G53+E53+D53</f>
        <v>5049372.76</v>
      </c>
      <c r="L53" s="31">
        <v>295647</v>
      </c>
      <c r="M53" s="2"/>
    </row>
    <row r="54" spans="1:13">
      <c r="A54" s="100"/>
      <c r="B54" s="98"/>
      <c r="C54" s="22" t="s">
        <v>23</v>
      </c>
      <c r="D54" s="21">
        <f>D51-D53</f>
        <v>849248.61000000034</v>
      </c>
      <c r="E54" s="21">
        <f t="shared" ref="E54:L54" si="17">E51-E53</f>
        <v>154032.49000000005</v>
      </c>
      <c r="F54" s="21">
        <f t="shared" si="17"/>
        <v>1003281.1000000006</v>
      </c>
      <c r="G54" s="21">
        <f t="shared" si="17"/>
        <v>186668</v>
      </c>
      <c r="H54" s="21">
        <f t="shared" si="17"/>
        <v>0</v>
      </c>
      <c r="I54" s="21">
        <f t="shared" si="17"/>
        <v>0</v>
      </c>
      <c r="J54" s="21">
        <f t="shared" si="17"/>
        <v>0</v>
      </c>
      <c r="K54" s="21">
        <f t="shared" si="17"/>
        <v>1189949.0999999996</v>
      </c>
      <c r="L54" s="82">
        <f t="shared" si="17"/>
        <v>0</v>
      </c>
    </row>
    <row r="55" spans="1:13">
      <c r="A55" s="100"/>
      <c r="B55" s="97" t="s">
        <v>31</v>
      </c>
      <c r="C55" s="3" t="s">
        <v>12</v>
      </c>
      <c r="D55" s="5">
        <v>5187115.21</v>
      </c>
      <c r="E55" s="4">
        <v>552196.65</v>
      </c>
      <c r="F55" s="5">
        <f>SUM(D55:E55)</f>
        <v>5739311.8600000003</v>
      </c>
      <c r="G55" s="5">
        <v>500010</v>
      </c>
      <c r="H55" s="19">
        <v>0</v>
      </c>
      <c r="I55" s="19">
        <v>0</v>
      </c>
      <c r="J55" s="19">
        <v>0</v>
      </c>
      <c r="K55" s="5">
        <f>J55+I55+H55+G55+E55+D55</f>
        <v>6239321.8599999994</v>
      </c>
      <c r="L55" s="31">
        <v>532889.79</v>
      </c>
    </row>
    <row r="56" spans="1:13">
      <c r="A56" s="100"/>
      <c r="B56" s="97"/>
      <c r="C56" s="3" t="s">
        <v>13</v>
      </c>
      <c r="D56" s="5">
        <v>0</v>
      </c>
      <c r="E56" s="4">
        <v>0</v>
      </c>
      <c r="F56" s="5">
        <f t="shared" si="16"/>
        <v>0</v>
      </c>
      <c r="G56" s="5">
        <v>0</v>
      </c>
      <c r="H56" s="19">
        <v>0</v>
      </c>
      <c r="I56" s="19">
        <v>0</v>
      </c>
      <c r="J56" s="19">
        <v>0</v>
      </c>
      <c r="K56" s="5">
        <f>J56+I56+H56+G56+E56+D56</f>
        <v>0</v>
      </c>
      <c r="L56" s="31">
        <v>0</v>
      </c>
    </row>
    <row r="57" spans="1:13">
      <c r="A57" s="100"/>
      <c r="B57" s="97"/>
      <c r="C57" s="3" t="s">
        <v>14</v>
      </c>
      <c r="D57" s="5">
        <v>0</v>
      </c>
      <c r="E57" s="4">
        <v>0</v>
      </c>
      <c r="F57" s="5">
        <f t="shared" si="16"/>
        <v>0</v>
      </c>
      <c r="G57" s="5">
        <v>0</v>
      </c>
      <c r="H57" s="19">
        <v>0</v>
      </c>
      <c r="I57" s="19">
        <v>0</v>
      </c>
      <c r="J57" s="19">
        <v>0</v>
      </c>
      <c r="K57" s="5">
        <f>J57+I57+H57+G57+E57+D57</f>
        <v>0</v>
      </c>
      <c r="L57" s="31">
        <v>0</v>
      </c>
    </row>
    <row r="58" spans="1:13">
      <c r="A58" s="100"/>
      <c r="B58" s="98"/>
      <c r="C58" s="22" t="s">
        <v>23</v>
      </c>
      <c r="D58" s="23">
        <v>0</v>
      </c>
      <c r="E58" s="23">
        <v>0</v>
      </c>
      <c r="F58" s="23">
        <v>0</v>
      </c>
      <c r="G58" s="23">
        <v>0</v>
      </c>
      <c r="H58" s="23">
        <f>H55-H61</f>
        <v>0</v>
      </c>
      <c r="I58" s="23">
        <f>I55-I61</f>
        <v>0</v>
      </c>
      <c r="J58" s="23">
        <f>J55-J61</f>
        <v>0</v>
      </c>
      <c r="K58" s="23">
        <v>0</v>
      </c>
      <c r="L58" s="83">
        <v>0</v>
      </c>
    </row>
    <row r="59" spans="1:13">
      <c r="A59" s="100"/>
      <c r="B59" s="97" t="s">
        <v>32</v>
      </c>
      <c r="C59" s="3" t="s">
        <v>12</v>
      </c>
      <c r="D59" s="5">
        <f>D47+D51+D55</f>
        <v>15561345.629999999</v>
      </c>
      <c r="E59" s="5">
        <f t="shared" ref="E59:L61" si="18">E47+E51+E55</f>
        <v>1656589.9500000002</v>
      </c>
      <c r="F59" s="5">
        <f t="shared" si="18"/>
        <v>17217935.580000002</v>
      </c>
      <c r="G59" s="5">
        <f t="shared" si="18"/>
        <v>1500030</v>
      </c>
      <c r="H59" s="5">
        <f t="shared" si="18"/>
        <v>0</v>
      </c>
      <c r="I59" s="5">
        <f t="shared" si="18"/>
        <v>0</v>
      </c>
      <c r="J59" s="5">
        <f t="shared" si="18"/>
        <v>0</v>
      </c>
      <c r="K59" s="5">
        <f t="shared" si="18"/>
        <v>18717965.579999998</v>
      </c>
      <c r="L59" s="31">
        <f t="shared" si="18"/>
        <v>1108640.79</v>
      </c>
    </row>
    <row r="60" spans="1:13">
      <c r="A60" s="100"/>
      <c r="B60" s="97"/>
      <c r="C60" s="3" t="s">
        <v>13</v>
      </c>
      <c r="D60" s="5">
        <f>D48+D52+D56</f>
        <v>8572235.9499999993</v>
      </c>
      <c r="E60" s="5">
        <f t="shared" si="18"/>
        <v>765097.26</v>
      </c>
      <c r="F60" s="5">
        <f t="shared" si="18"/>
        <v>9337333.209999999</v>
      </c>
      <c r="G60" s="5">
        <f t="shared" si="18"/>
        <v>621677</v>
      </c>
      <c r="H60" s="5">
        <f t="shared" si="18"/>
        <v>0</v>
      </c>
      <c r="I60" s="5">
        <f t="shared" si="18"/>
        <v>0</v>
      </c>
      <c r="J60" s="5">
        <f t="shared" si="18"/>
        <v>0</v>
      </c>
      <c r="K60" s="5">
        <f t="shared" si="18"/>
        <v>9959010.209999999</v>
      </c>
      <c r="L60" s="31">
        <f t="shared" si="18"/>
        <v>575751</v>
      </c>
    </row>
    <row r="61" spans="1:13">
      <c r="A61" s="100"/>
      <c r="B61" s="97"/>
      <c r="C61" s="3" t="s">
        <v>14</v>
      </c>
      <c r="D61" s="5">
        <f>D49+D53+D57</f>
        <v>8572235.9499999993</v>
      </c>
      <c r="E61" s="5">
        <f t="shared" si="18"/>
        <v>765097.26</v>
      </c>
      <c r="F61" s="5">
        <f t="shared" si="18"/>
        <v>9337333.209999999</v>
      </c>
      <c r="G61" s="5">
        <f t="shared" si="18"/>
        <v>621697</v>
      </c>
      <c r="H61" s="5">
        <f t="shared" si="18"/>
        <v>0</v>
      </c>
      <c r="I61" s="5">
        <f t="shared" si="18"/>
        <v>0</v>
      </c>
      <c r="J61" s="5">
        <f t="shared" si="18"/>
        <v>0</v>
      </c>
      <c r="K61" s="5">
        <f t="shared" si="18"/>
        <v>9959030.209999999</v>
      </c>
      <c r="L61" s="31">
        <f t="shared" si="18"/>
        <v>575751</v>
      </c>
    </row>
    <row r="62" spans="1:13">
      <c r="A62" s="100"/>
      <c r="B62" s="97"/>
      <c r="C62" s="3" t="s">
        <v>33</v>
      </c>
      <c r="D62" s="5">
        <f>D49+D53+D66</f>
        <v>8572235.9499999993</v>
      </c>
      <c r="E62" s="5">
        <f t="shared" ref="E62:K62" si="19">E49+E53+E66</f>
        <v>765097.26</v>
      </c>
      <c r="F62" s="5">
        <f t="shared" si="19"/>
        <v>9337333.209999999</v>
      </c>
      <c r="G62" s="5">
        <f t="shared" si="19"/>
        <v>621697</v>
      </c>
      <c r="H62" s="5">
        <f t="shared" si="19"/>
        <v>0</v>
      </c>
      <c r="I62" s="5">
        <f t="shared" si="19"/>
        <v>0</v>
      </c>
      <c r="J62" s="5">
        <f t="shared" si="19"/>
        <v>0</v>
      </c>
      <c r="K62" s="5">
        <f t="shared" si="19"/>
        <v>9959030.209999999</v>
      </c>
      <c r="L62" s="31">
        <f>L50+L54+L58</f>
        <v>0</v>
      </c>
    </row>
    <row r="63" spans="1:13">
      <c r="A63" s="100"/>
      <c r="B63" s="98"/>
      <c r="C63" s="24" t="s">
        <v>15</v>
      </c>
      <c r="D63" s="23">
        <f>D50+D54+D58</f>
        <v>1801994.4700000007</v>
      </c>
      <c r="E63" s="23">
        <f t="shared" ref="E63:L63" si="20">E50+E54+E58</f>
        <v>339296.0400000001</v>
      </c>
      <c r="F63" s="23">
        <f t="shared" si="20"/>
        <v>2141290.5100000016</v>
      </c>
      <c r="G63" s="23">
        <f t="shared" si="20"/>
        <v>378323</v>
      </c>
      <c r="H63" s="23">
        <f t="shared" si="20"/>
        <v>0</v>
      </c>
      <c r="I63" s="23">
        <f t="shared" si="20"/>
        <v>0</v>
      </c>
      <c r="J63" s="23">
        <f t="shared" si="20"/>
        <v>0</v>
      </c>
      <c r="K63" s="23">
        <f t="shared" si="20"/>
        <v>2519613.5100000007</v>
      </c>
      <c r="L63" s="83">
        <f t="shared" si="20"/>
        <v>0</v>
      </c>
    </row>
    <row r="64" spans="1:13">
      <c r="A64" s="100"/>
      <c r="B64" s="97" t="s">
        <v>34</v>
      </c>
      <c r="C64" s="30" t="s">
        <v>12</v>
      </c>
      <c r="D64" s="31">
        <v>5187115.21</v>
      </c>
      <c r="E64" s="31">
        <v>552196.65</v>
      </c>
      <c r="F64" s="31">
        <f>SUM(D64:E64)</f>
        <v>5739311.8600000003</v>
      </c>
      <c r="G64" s="31">
        <v>500010</v>
      </c>
      <c r="H64" s="30">
        <v>0</v>
      </c>
      <c r="I64" s="30">
        <v>0</v>
      </c>
      <c r="J64" s="30">
        <v>0</v>
      </c>
      <c r="K64" s="31">
        <f>D64+E64+G64+H64+I64+J64</f>
        <v>6239321.8600000003</v>
      </c>
      <c r="L64" s="31">
        <v>112555.02</v>
      </c>
    </row>
    <row r="65" spans="1:12">
      <c r="A65" s="100"/>
      <c r="B65" s="97"/>
      <c r="C65" s="30" t="s">
        <v>13</v>
      </c>
      <c r="D65" s="31">
        <v>0</v>
      </c>
      <c r="E65" s="31">
        <v>0</v>
      </c>
      <c r="F65" s="31">
        <f>SUM(D65:E65)</f>
        <v>0</v>
      </c>
      <c r="G65" s="31">
        <v>0</v>
      </c>
      <c r="H65" s="30">
        <v>0</v>
      </c>
      <c r="I65" s="30">
        <v>0</v>
      </c>
      <c r="J65" s="30">
        <v>0</v>
      </c>
      <c r="K65" s="31">
        <f>D65+E65+G65+H65+I65+J65</f>
        <v>0</v>
      </c>
      <c r="L65" s="31">
        <v>0</v>
      </c>
    </row>
    <row r="66" spans="1:12">
      <c r="A66" s="100"/>
      <c r="B66" s="97"/>
      <c r="C66" s="30" t="s">
        <v>14</v>
      </c>
      <c r="D66" s="31">
        <v>0</v>
      </c>
      <c r="E66" s="31">
        <v>0</v>
      </c>
      <c r="F66" s="31">
        <f>SUM(D66:E66)</f>
        <v>0</v>
      </c>
      <c r="G66" s="31">
        <v>0</v>
      </c>
      <c r="H66" s="30">
        <v>0</v>
      </c>
      <c r="I66" s="30">
        <v>0</v>
      </c>
      <c r="J66" s="30">
        <v>0</v>
      </c>
      <c r="K66" s="31">
        <f>D66+E66+G66+H66+I66+J66</f>
        <v>0</v>
      </c>
      <c r="L66" s="31">
        <v>0</v>
      </c>
    </row>
    <row r="67" spans="1:12">
      <c r="A67" s="100"/>
      <c r="B67" s="98"/>
      <c r="C67" s="30" t="s">
        <v>23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/>
      <c r="J67" s="31"/>
      <c r="K67" s="31">
        <v>0</v>
      </c>
      <c r="L67" s="31">
        <v>0</v>
      </c>
    </row>
    <row r="68" spans="1:12">
      <c r="A68" s="100"/>
      <c r="B68" s="97" t="s">
        <v>35</v>
      </c>
      <c r="C68" s="30" t="s">
        <v>12</v>
      </c>
      <c r="D68" s="31">
        <v>303278.95</v>
      </c>
      <c r="E68" s="31">
        <v>24473.52</v>
      </c>
      <c r="F68" s="31">
        <f>SUM(D68:E68)</f>
        <v>327752.47000000003</v>
      </c>
      <c r="G68" s="31">
        <v>1528</v>
      </c>
      <c r="H68" s="30">
        <v>0</v>
      </c>
      <c r="I68" s="30">
        <v>0</v>
      </c>
      <c r="J68" s="30">
        <v>0</v>
      </c>
      <c r="K68" s="31">
        <f>D68+E68+G68+H68+I68+J68</f>
        <v>329280.47000000003</v>
      </c>
      <c r="L68" s="31">
        <v>0</v>
      </c>
    </row>
    <row r="69" spans="1:12">
      <c r="A69" s="100"/>
      <c r="B69" s="97"/>
      <c r="C69" s="30" t="s">
        <v>13</v>
      </c>
      <c r="D69" s="31">
        <v>0</v>
      </c>
      <c r="E69" s="31">
        <v>0</v>
      </c>
      <c r="F69" s="31">
        <f>SUM(D69:E69)</f>
        <v>0</v>
      </c>
      <c r="G69" s="31">
        <v>0</v>
      </c>
      <c r="H69" s="30">
        <v>0</v>
      </c>
      <c r="I69" s="30">
        <v>0</v>
      </c>
      <c r="J69" s="30">
        <v>0</v>
      </c>
      <c r="K69" s="31">
        <f>D69+E69+G69+H69+I69+J69</f>
        <v>0</v>
      </c>
      <c r="L69" s="31">
        <v>0</v>
      </c>
    </row>
    <row r="70" spans="1:12">
      <c r="A70" s="100"/>
      <c r="B70" s="97"/>
      <c r="C70" s="30" t="s">
        <v>14</v>
      </c>
      <c r="D70" s="31">
        <v>0</v>
      </c>
      <c r="E70" s="31">
        <v>0</v>
      </c>
      <c r="F70" s="31">
        <f>SUM(D70:E70)</f>
        <v>0</v>
      </c>
      <c r="G70" s="31">
        <v>0</v>
      </c>
      <c r="H70" s="30">
        <v>0</v>
      </c>
      <c r="I70" s="30">
        <v>0</v>
      </c>
      <c r="J70" s="30">
        <v>0</v>
      </c>
      <c r="K70" s="31">
        <f>D70+E70+G70+H70+I70+J70</f>
        <v>0</v>
      </c>
      <c r="L70" s="31">
        <v>0</v>
      </c>
    </row>
    <row r="71" spans="1:12">
      <c r="A71" s="100"/>
      <c r="B71" s="98"/>
      <c r="C71" s="30" t="s">
        <v>23</v>
      </c>
      <c r="D71" s="31">
        <v>0</v>
      </c>
      <c r="E71" s="31">
        <v>0</v>
      </c>
      <c r="F71" s="31">
        <v>0</v>
      </c>
      <c r="G71" s="31">
        <v>0</v>
      </c>
      <c r="H71" s="31">
        <f>H68-H70</f>
        <v>0</v>
      </c>
      <c r="I71" s="31">
        <f>I68-I70</f>
        <v>0</v>
      </c>
      <c r="J71" s="31">
        <f>J68-J70</f>
        <v>0</v>
      </c>
      <c r="K71" s="31">
        <v>0</v>
      </c>
      <c r="L71" s="31">
        <f>L68-L70</f>
        <v>0</v>
      </c>
    </row>
    <row r="72" spans="1:12">
      <c r="A72" s="100"/>
      <c r="B72" s="97" t="s">
        <v>36</v>
      </c>
      <c r="C72" s="30" t="s">
        <v>12</v>
      </c>
      <c r="D72" s="31">
        <v>303278.95</v>
      </c>
      <c r="E72" s="31">
        <v>24473.52</v>
      </c>
      <c r="F72" s="31">
        <f>SUM(D72:E72)</f>
        <v>327752.47000000003</v>
      </c>
      <c r="G72" s="31">
        <v>1528</v>
      </c>
      <c r="H72" s="30">
        <v>0</v>
      </c>
      <c r="I72" s="30">
        <v>0</v>
      </c>
      <c r="J72" s="30">
        <v>0</v>
      </c>
      <c r="K72" s="31">
        <f>D72+E72+G72+H72+I72+J72</f>
        <v>329280.47000000003</v>
      </c>
      <c r="L72" s="31">
        <v>0</v>
      </c>
    </row>
    <row r="73" spans="1:12">
      <c r="A73" s="100"/>
      <c r="B73" s="97"/>
      <c r="C73" s="30" t="s">
        <v>13</v>
      </c>
      <c r="D73" s="31">
        <v>0</v>
      </c>
      <c r="E73" s="31">
        <v>0</v>
      </c>
      <c r="F73" s="31">
        <f>SUM(D73:E73)</f>
        <v>0</v>
      </c>
      <c r="G73" s="31">
        <v>0</v>
      </c>
      <c r="H73" s="30">
        <v>0</v>
      </c>
      <c r="I73" s="30">
        <v>0</v>
      </c>
      <c r="J73" s="30">
        <v>0</v>
      </c>
      <c r="K73" s="31">
        <f>D73+E73+G73+H73+I73+J73</f>
        <v>0</v>
      </c>
      <c r="L73" s="31">
        <v>0</v>
      </c>
    </row>
    <row r="74" spans="1:12">
      <c r="A74" s="100"/>
      <c r="B74" s="97"/>
      <c r="C74" s="30" t="s">
        <v>14</v>
      </c>
      <c r="D74" s="31">
        <v>0</v>
      </c>
      <c r="E74" s="31">
        <v>0</v>
      </c>
      <c r="F74" s="31">
        <f>SUM(D74:E74)</f>
        <v>0</v>
      </c>
      <c r="G74" s="31">
        <v>0</v>
      </c>
      <c r="H74" s="30">
        <v>0</v>
      </c>
      <c r="I74" s="30">
        <v>0</v>
      </c>
      <c r="J74" s="30">
        <v>0</v>
      </c>
      <c r="K74" s="31">
        <f>D74+E74+G74+H74+I74+J74</f>
        <v>0</v>
      </c>
      <c r="L74" s="31">
        <v>0</v>
      </c>
    </row>
    <row r="75" spans="1:12">
      <c r="A75" s="100"/>
      <c r="B75" s="98"/>
      <c r="C75" s="30" t="s">
        <v>23</v>
      </c>
      <c r="D75" s="31">
        <v>0</v>
      </c>
      <c r="E75" s="31">
        <v>0</v>
      </c>
      <c r="F75" s="31">
        <v>0</v>
      </c>
      <c r="G75" s="31">
        <v>0</v>
      </c>
      <c r="H75" s="31">
        <f>H72-H74</f>
        <v>0</v>
      </c>
      <c r="I75" s="31">
        <f>I72-I74</f>
        <v>0</v>
      </c>
      <c r="J75" s="31">
        <f>J72-J74</f>
        <v>0</v>
      </c>
      <c r="K75" s="31">
        <v>0</v>
      </c>
      <c r="L75" s="31">
        <f>L72-L74</f>
        <v>0</v>
      </c>
    </row>
    <row r="76" spans="1:12">
      <c r="A76" s="100"/>
      <c r="B76" s="106" t="s">
        <v>37</v>
      </c>
      <c r="C76" s="30" t="s">
        <v>12</v>
      </c>
      <c r="D76" s="31">
        <f>D64+D68+D72</f>
        <v>5793673.1100000003</v>
      </c>
      <c r="E76" s="31">
        <f t="shared" ref="E76:L76" si="21">E64+E68+E72</f>
        <v>601143.69000000006</v>
      </c>
      <c r="F76" s="31">
        <f t="shared" si="21"/>
        <v>6394816.7999999998</v>
      </c>
      <c r="G76" s="31">
        <f t="shared" si="21"/>
        <v>503066</v>
      </c>
      <c r="H76" s="31">
        <f t="shared" si="21"/>
        <v>0</v>
      </c>
      <c r="I76" s="31">
        <f t="shared" si="21"/>
        <v>0</v>
      </c>
      <c r="J76" s="31">
        <f t="shared" si="21"/>
        <v>0</v>
      </c>
      <c r="K76" s="31">
        <f t="shared" si="21"/>
        <v>6897882.7999999998</v>
      </c>
      <c r="L76" s="31">
        <f t="shared" si="21"/>
        <v>112555.02</v>
      </c>
    </row>
    <row r="77" spans="1:12">
      <c r="A77" s="100"/>
      <c r="B77" s="106"/>
      <c r="C77" s="30" t="s">
        <v>13</v>
      </c>
      <c r="D77" s="31">
        <f t="shared" ref="D77:L79" si="22">D65+D69+D73</f>
        <v>0</v>
      </c>
      <c r="E77" s="31">
        <f t="shared" si="22"/>
        <v>0</v>
      </c>
      <c r="F77" s="31">
        <f t="shared" si="22"/>
        <v>0</v>
      </c>
      <c r="G77" s="31">
        <f t="shared" si="22"/>
        <v>0</v>
      </c>
      <c r="H77" s="31">
        <f t="shared" si="22"/>
        <v>0</v>
      </c>
      <c r="I77" s="31">
        <f t="shared" si="22"/>
        <v>0</v>
      </c>
      <c r="J77" s="31">
        <f t="shared" si="22"/>
        <v>0</v>
      </c>
      <c r="K77" s="31">
        <f t="shared" si="22"/>
        <v>0</v>
      </c>
      <c r="L77" s="31">
        <f t="shared" si="22"/>
        <v>0</v>
      </c>
    </row>
    <row r="78" spans="1:12">
      <c r="A78" s="100"/>
      <c r="B78" s="106"/>
      <c r="C78" s="30" t="s">
        <v>14</v>
      </c>
      <c r="D78" s="31">
        <f t="shared" si="22"/>
        <v>0</v>
      </c>
      <c r="E78" s="31">
        <f t="shared" si="22"/>
        <v>0</v>
      </c>
      <c r="F78" s="31">
        <f t="shared" si="22"/>
        <v>0</v>
      </c>
      <c r="G78" s="31">
        <f t="shared" si="22"/>
        <v>0</v>
      </c>
      <c r="H78" s="31">
        <f t="shared" si="22"/>
        <v>0</v>
      </c>
      <c r="I78" s="31">
        <f t="shared" si="22"/>
        <v>0</v>
      </c>
      <c r="J78" s="31">
        <f t="shared" si="22"/>
        <v>0</v>
      </c>
      <c r="K78" s="31">
        <f t="shared" si="22"/>
        <v>0</v>
      </c>
      <c r="L78" s="31">
        <f t="shared" si="22"/>
        <v>0</v>
      </c>
    </row>
    <row r="79" spans="1:12">
      <c r="A79" s="100"/>
      <c r="B79" s="106"/>
      <c r="C79" s="30" t="s">
        <v>38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f t="shared" si="22"/>
        <v>0</v>
      </c>
      <c r="J79" s="31">
        <f t="shared" si="22"/>
        <v>0</v>
      </c>
      <c r="K79" s="31">
        <v>0</v>
      </c>
      <c r="L79" s="31">
        <f t="shared" si="22"/>
        <v>0</v>
      </c>
    </row>
    <row r="80" spans="1:12">
      <c r="A80" s="100"/>
      <c r="B80" s="106" t="s">
        <v>39</v>
      </c>
      <c r="C80" s="16" t="s">
        <v>12</v>
      </c>
      <c r="D80" s="17">
        <f>D59+D76</f>
        <v>21355018.739999998</v>
      </c>
      <c r="E80" s="17">
        <f t="shared" ref="E80:L80" si="23">E59+E76</f>
        <v>2257733.64</v>
      </c>
      <c r="F80" s="17">
        <f t="shared" si="23"/>
        <v>23612752.380000003</v>
      </c>
      <c r="G80" s="17">
        <f t="shared" si="23"/>
        <v>2003096</v>
      </c>
      <c r="H80" s="17">
        <f t="shared" si="23"/>
        <v>0</v>
      </c>
      <c r="I80" s="17">
        <f t="shared" si="23"/>
        <v>0</v>
      </c>
      <c r="J80" s="17">
        <f t="shared" si="23"/>
        <v>0</v>
      </c>
      <c r="K80" s="17">
        <f t="shared" si="23"/>
        <v>25615848.379999999</v>
      </c>
      <c r="L80" s="17">
        <f t="shared" si="23"/>
        <v>1221195.81</v>
      </c>
    </row>
    <row r="81" spans="1:13">
      <c r="A81" s="100"/>
      <c r="B81" s="106"/>
      <c r="C81" s="16" t="s">
        <v>13</v>
      </c>
      <c r="D81" s="17">
        <f t="shared" ref="D81:L83" si="24">D60+D77</f>
        <v>8572235.9499999993</v>
      </c>
      <c r="E81" s="17">
        <f t="shared" si="24"/>
        <v>765097.26</v>
      </c>
      <c r="F81" s="17">
        <f t="shared" si="24"/>
        <v>9337333.209999999</v>
      </c>
      <c r="G81" s="17">
        <f t="shared" si="24"/>
        <v>621677</v>
      </c>
      <c r="H81" s="17">
        <f t="shared" si="24"/>
        <v>0</v>
      </c>
      <c r="I81" s="17">
        <f t="shared" si="24"/>
        <v>0</v>
      </c>
      <c r="J81" s="17">
        <f t="shared" si="24"/>
        <v>0</v>
      </c>
      <c r="K81" s="17">
        <f t="shared" si="24"/>
        <v>9959010.209999999</v>
      </c>
      <c r="L81" s="17">
        <f t="shared" si="24"/>
        <v>575751</v>
      </c>
    </row>
    <row r="82" spans="1:13">
      <c r="A82" s="100"/>
      <c r="B82" s="106"/>
      <c r="C82" s="16" t="s">
        <v>14</v>
      </c>
      <c r="D82" s="17">
        <f t="shared" si="24"/>
        <v>8572235.9499999993</v>
      </c>
      <c r="E82" s="17">
        <f t="shared" si="24"/>
        <v>765097.26</v>
      </c>
      <c r="F82" s="17">
        <f t="shared" si="24"/>
        <v>9337333.209999999</v>
      </c>
      <c r="G82" s="17">
        <f t="shared" si="24"/>
        <v>621697</v>
      </c>
      <c r="H82" s="17">
        <f t="shared" si="24"/>
        <v>0</v>
      </c>
      <c r="I82" s="17">
        <f t="shared" si="24"/>
        <v>0</v>
      </c>
      <c r="J82" s="17">
        <f t="shared" si="24"/>
        <v>0</v>
      </c>
      <c r="K82" s="17">
        <f t="shared" si="24"/>
        <v>9959030.209999999</v>
      </c>
      <c r="L82" s="17">
        <f t="shared" si="24"/>
        <v>575751</v>
      </c>
    </row>
    <row r="83" spans="1:13">
      <c r="A83" s="100"/>
      <c r="B83" s="106"/>
      <c r="C83" s="16" t="s">
        <v>33</v>
      </c>
      <c r="D83" s="17">
        <f>D62+D79</f>
        <v>8572235.9499999993</v>
      </c>
      <c r="E83" s="17">
        <f t="shared" si="24"/>
        <v>765097.26</v>
      </c>
      <c r="F83" s="17">
        <f t="shared" si="24"/>
        <v>9337333.209999999</v>
      </c>
      <c r="G83" s="17">
        <f t="shared" si="24"/>
        <v>621697</v>
      </c>
      <c r="H83" s="17">
        <f t="shared" si="24"/>
        <v>0</v>
      </c>
      <c r="I83" s="17">
        <f t="shared" si="24"/>
        <v>0</v>
      </c>
      <c r="J83" s="17">
        <f t="shared" si="24"/>
        <v>0</v>
      </c>
      <c r="K83" s="17">
        <f t="shared" si="24"/>
        <v>9959030.209999999</v>
      </c>
      <c r="L83" s="17">
        <f t="shared" si="24"/>
        <v>0</v>
      </c>
    </row>
    <row r="84" spans="1:13">
      <c r="A84" s="101"/>
      <c r="B84" s="107" t="s">
        <v>40</v>
      </c>
      <c r="C84" s="25" t="s">
        <v>12</v>
      </c>
      <c r="D84" s="26">
        <f>D39+D80</f>
        <v>48003489.979999997</v>
      </c>
      <c r="E84" s="26">
        <f t="shared" ref="E84:K84" si="25">E39+E80</f>
        <v>4853861.3599999994</v>
      </c>
      <c r="F84" s="26">
        <f t="shared" si="25"/>
        <v>52857351.340000004</v>
      </c>
      <c r="G84" s="26">
        <f t="shared" si="25"/>
        <v>3914477.4</v>
      </c>
      <c r="H84" s="26">
        <f t="shared" si="25"/>
        <v>526213.68999999994</v>
      </c>
      <c r="I84" s="26">
        <f t="shared" si="25"/>
        <v>0</v>
      </c>
      <c r="J84" s="26">
        <f t="shared" si="25"/>
        <v>0</v>
      </c>
      <c r="K84" s="26">
        <f t="shared" si="25"/>
        <v>57298042.429999992</v>
      </c>
      <c r="L84" s="26">
        <f>L39+L80</f>
        <v>3142818.81</v>
      </c>
    </row>
    <row r="85" spans="1:13">
      <c r="A85" s="101"/>
      <c r="B85" s="107"/>
      <c r="C85" s="25" t="s">
        <v>13</v>
      </c>
      <c r="D85" s="26">
        <f>D43+D81</f>
        <v>35220707.189999998</v>
      </c>
      <c r="E85" s="26">
        <f t="shared" ref="E85:L85" si="26">E43+E81</f>
        <v>3361224.9800000004</v>
      </c>
      <c r="F85" s="26">
        <f t="shared" si="26"/>
        <v>38581932.169999994</v>
      </c>
      <c r="G85" s="26">
        <f t="shared" si="26"/>
        <v>2533058.4</v>
      </c>
      <c r="H85" s="26">
        <f t="shared" si="26"/>
        <v>526213.68999999994</v>
      </c>
      <c r="I85" s="26">
        <f t="shared" si="26"/>
        <v>0</v>
      </c>
      <c r="J85" s="26">
        <f t="shared" si="26"/>
        <v>0</v>
      </c>
      <c r="K85" s="26">
        <f t="shared" si="26"/>
        <v>41641204.259999998</v>
      </c>
      <c r="L85" s="26">
        <f t="shared" si="26"/>
        <v>2497374</v>
      </c>
      <c r="M85" s="2"/>
    </row>
    <row r="86" spans="1:13">
      <c r="A86" s="101"/>
      <c r="B86" s="107"/>
      <c r="C86" s="27" t="s">
        <v>14</v>
      </c>
      <c r="D86" s="26">
        <f>D45+D82</f>
        <v>35220707.189999998</v>
      </c>
      <c r="E86" s="26">
        <f t="shared" ref="E86:L86" si="27">E45+E82</f>
        <v>3361224.9799999995</v>
      </c>
      <c r="F86" s="26">
        <f t="shared" si="27"/>
        <v>38581932.170000002</v>
      </c>
      <c r="G86" s="26">
        <f t="shared" si="27"/>
        <v>2533078.4</v>
      </c>
      <c r="H86" s="26">
        <f t="shared" si="27"/>
        <v>526213.68999999994</v>
      </c>
      <c r="I86" s="26">
        <f t="shared" si="27"/>
        <v>0</v>
      </c>
      <c r="J86" s="26">
        <f t="shared" si="27"/>
        <v>0</v>
      </c>
      <c r="K86" s="26">
        <f t="shared" si="27"/>
        <v>41641224.259999998</v>
      </c>
      <c r="L86" s="26">
        <f t="shared" si="27"/>
        <v>2497374</v>
      </c>
      <c r="M86" s="2"/>
    </row>
    <row r="87" spans="1:13">
      <c r="A87" s="108" t="s">
        <v>41</v>
      </c>
      <c r="B87" s="98" t="s">
        <v>11</v>
      </c>
      <c r="C87" s="30" t="s">
        <v>12</v>
      </c>
      <c r="D87" s="31">
        <v>3642291.81</v>
      </c>
      <c r="E87" s="31">
        <f>535256.86-307245.16</f>
        <v>228011.7</v>
      </c>
      <c r="F87" s="31">
        <f>D87+E87</f>
        <v>3870303.5100000002</v>
      </c>
      <c r="G87" s="31">
        <f>362930.75-143834.63</f>
        <v>219096.12</v>
      </c>
      <c r="H87" s="31">
        <v>0</v>
      </c>
      <c r="I87" s="31">
        <v>0</v>
      </c>
      <c r="J87" s="31">
        <v>0</v>
      </c>
      <c r="K87" s="31">
        <f>J87+I87+H87+G87+E87+D87</f>
        <v>4089399.63</v>
      </c>
      <c r="L87" s="31">
        <f>194033+44909</f>
        <v>238942</v>
      </c>
    </row>
    <row r="88" spans="1:13">
      <c r="A88" s="108"/>
      <c r="B88" s="98"/>
      <c r="C88" s="30" t="s">
        <v>13</v>
      </c>
      <c r="D88" s="31">
        <v>4333179.46</v>
      </c>
      <c r="E88" s="31">
        <v>228011.7</v>
      </c>
      <c r="F88" s="31">
        <f>D88+E88</f>
        <v>4561191.16</v>
      </c>
      <c r="G88" s="31">
        <v>219096.12</v>
      </c>
      <c r="H88" s="31">
        <v>0</v>
      </c>
      <c r="I88" s="31">
        <v>0</v>
      </c>
      <c r="J88" s="31">
        <v>0</v>
      </c>
      <c r="K88" s="31">
        <f>J88+I88+H88+G88+E88+D88</f>
        <v>4780287.28</v>
      </c>
      <c r="L88" s="31">
        <v>238942</v>
      </c>
    </row>
    <row r="89" spans="1:13">
      <c r="A89" s="108"/>
      <c r="B89" s="98"/>
      <c r="C89" s="32" t="s">
        <v>14</v>
      </c>
      <c r="D89" s="31">
        <v>3642071.06</v>
      </c>
      <c r="E89" s="31">
        <v>228011.7</v>
      </c>
      <c r="F89" s="31">
        <f>D89+E89</f>
        <v>3870082.7600000002</v>
      </c>
      <c r="G89" s="31">
        <v>219096.12</v>
      </c>
      <c r="H89" s="31">
        <v>0</v>
      </c>
      <c r="I89" s="31">
        <v>0</v>
      </c>
      <c r="J89" s="31">
        <v>0</v>
      </c>
      <c r="K89" s="31">
        <f>J89+I89+H89+G89+E89+D89</f>
        <v>4089178.88</v>
      </c>
      <c r="L89" s="31">
        <v>238942</v>
      </c>
      <c r="M89" s="2"/>
    </row>
    <row r="90" spans="1:13">
      <c r="A90" s="108"/>
      <c r="B90" s="98"/>
      <c r="C90" s="30" t="s">
        <v>15</v>
      </c>
      <c r="D90" s="31">
        <f>D87-D89</f>
        <v>220.75</v>
      </c>
      <c r="E90" s="31">
        <f t="shared" ref="E90:L90" si="28">E87-E89</f>
        <v>0</v>
      </c>
      <c r="F90" s="31">
        <f t="shared" si="28"/>
        <v>220.75</v>
      </c>
      <c r="G90" s="31">
        <f t="shared" si="28"/>
        <v>0</v>
      </c>
      <c r="H90" s="31">
        <f t="shared" si="28"/>
        <v>0</v>
      </c>
      <c r="I90" s="31">
        <f t="shared" si="28"/>
        <v>0</v>
      </c>
      <c r="J90" s="31">
        <f t="shared" si="28"/>
        <v>0</v>
      </c>
      <c r="K90" s="31">
        <f t="shared" si="28"/>
        <v>220.75</v>
      </c>
      <c r="L90" s="31">
        <f t="shared" si="28"/>
        <v>0</v>
      </c>
      <c r="M90" s="2"/>
    </row>
    <row r="91" spans="1:13">
      <c r="A91" s="108"/>
      <c r="B91" s="98" t="s">
        <v>16</v>
      </c>
      <c r="C91" s="30" t="s">
        <v>12</v>
      </c>
      <c r="D91" s="31">
        <f>3494353.72</f>
        <v>3494353.72</v>
      </c>
      <c r="E91" s="31">
        <f>535256.86-321281.64</f>
        <v>213975.21999999997</v>
      </c>
      <c r="F91" s="31">
        <f>D91+E91</f>
        <v>3708328.9400000004</v>
      </c>
      <c r="G91" s="31">
        <f>362930.75-60738.28</f>
        <v>302192.46999999997</v>
      </c>
      <c r="H91" s="31">
        <v>0</v>
      </c>
      <c r="I91" s="31">
        <v>0</v>
      </c>
      <c r="J91" s="31">
        <v>0</v>
      </c>
      <c r="K91" s="31">
        <f>J91+I91+H91+G91+E91+D91</f>
        <v>4010521.41</v>
      </c>
      <c r="L91" s="31">
        <v>215259</v>
      </c>
      <c r="M91" s="2"/>
    </row>
    <row r="92" spans="1:13">
      <c r="A92" s="108"/>
      <c r="B92" s="98"/>
      <c r="C92" s="30" t="s">
        <v>13</v>
      </c>
      <c r="D92" s="31">
        <v>3999804.35</v>
      </c>
      <c r="E92" s="31">
        <v>213975.22</v>
      </c>
      <c r="F92" s="31">
        <f>D92+E92</f>
        <v>4213779.57</v>
      </c>
      <c r="G92" s="31">
        <v>302192.46999999997</v>
      </c>
      <c r="H92" s="31">
        <v>0</v>
      </c>
      <c r="I92" s="31">
        <v>0</v>
      </c>
      <c r="J92" s="31">
        <v>0</v>
      </c>
      <c r="K92" s="31">
        <f>J92+I92+H92+G92+E92+D92</f>
        <v>4515972.04</v>
      </c>
      <c r="L92" s="31">
        <v>215259</v>
      </c>
      <c r="M92" s="2"/>
    </row>
    <row r="93" spans="1:13">
      <c r="A93" s="108"/>
      <c r="B93" s="98"/>
      <c r="C93" s="32" t="s">
        <v>14</v>
      </c>
      <c r="D93" s="31">
        <v>3494295.4</v>
      </c>
      <c r="E93" s="31">
        <v>213975.22</v>
      </c>
      <c r="F93" s="31">
        <f>D93+E93</f>
        <v>3708270.62</v>
      </c>
      <c r="G93" s="31">
        <v>302192.46999999997</v>
      </c>
      <c r="H93" s="31">
        <v>0</v>
      </c>
      <c r="I93" s="31">
        <v>0</v>
      </c>
      <c r="J93" s="31">
        <v>0</v>
      </c>
      <c r="K93" s="31">
        <f>J93+I93+H93+G93+E93+D93</f>
        <v>4010463.09</v>
      </c>
      <c r="L93" s="31">
        <v>215259</v>
      </c>
      <c r="M93" s="2"/>
    </row>
    <row r="94" spans="1:13">
      <c r="A94" s="108"/>
      <c r="B94" s="98"/>
      <c r="C94" s="30" t="s">
        <v>17</v>
      </c>
      <c r="D94" s="31">
        <f>D91-D93</f>
        <v>58.320000000298023</v>
      </c>
      <c r="E94" s="31">
        <f t="shared" ref="E94:J94" si="29">E91-E93</f>
        <v>0</v>
      </c>
      <c r="F94" s="31">
        <f t="shared" si="29"/>
        <v>58.320000000298023</v>
      </c>
      <c r="G94" s="31">
        <f t="shared" si="29"/>
        <v>0</v>
      </c>
      <c r="H94" s="31">
        <f t="shared" si="29"/>
        <v>0</v>
      </c>
      <c r="I94" s="31">
        <f t="shared" si="29"/>
        <v>0</v>
      </c>
      <c r="J94" s="31">
        <f t="shared" si="29"/>
        <v>0</v>
      </c>
      <c r="K94" s="31">
        <f>K91-K93</f>
        <v>58.320000000298023</v>
      </c>
      <c r="L94" s="31">
        <f>L91-L93</f>
        <v>0</v>
      </c>
      <c r="M94" s="2"/>
    </row>
    <row r="95" spans="1:13">
      <c r="A95" s="108"/>
      <c r="B95" s="98" t="s">
        <v>18</v>
      </c>
      <c r="C95" s="30" t="s">
        <v>12</v>
      </c>
      <c r="D95" s="31">
        <f>3494323.73</f>
        <v>3494323.73</v>
      </c>
      <c r="E95" s="31">
        <f>535256.86-282703.58</f>
        <v>252553.27999999997</v>
      </c>
      <c r="F95" s="31">
        <f>D95+E95</f>
        <v>3746877.01</v>
      </c>
      <c r="G95" s="31">
        <f>362127.42-15067.2</f>
        <v>347060.22</v>
      </c>
      <c r="H95" s="31">
        <v>0</v>
      </c>
      <c r="I95" s="31">
        <v>0</v>
      </c>
      <c r="J95" s="31">
        <v>0</v>
      </c>
      <c r="K95" s="31">
        <f>J95+I95+H95+G95+E95+D95</f>
        <v>4093937.23</v>
      </c>
      <c r="L95" s="31">
        <v>210914</v>
      </c>
      <c r="M95" s="2"/>
    </row>
    <row r="96" spans="1:13">
      <c r="A96" s="108"/>
      <c r="B96" s="98"/>
      <c r="C96" s="30" t="s">
        <v>13</v>
      </c>
      <c r="D96" s="31">
        <v>4358426.97</v>
      </c>
      <c r="E96" s="31">
        <v>266024.88</v>
      </c>
      <c r="F96" s="31">
        <f>D96+E96</f>
        <v>4624451.8499999996</v>
      </c>
      <c r="G96" s="31">
        <v>347336.3</v>
      </c>
      <c r="H96" s="31">
        <v>0</v>
      </c>
      <c r="I96" s="31">
        <v>0</v>
      </c>
      <c r="J96" s="31">
        <v>0</v>
      </c>
      <c r="K96" s="31">
        <f>J96+I96+H96+G96+E96+D96</f>
        <v>4971788.1499999994</v>
      </c>
      <c r="L96" s="31">
        <v>210914</v>
      </c>
      <c r="M96" s="2"/>
    </row>
    <row r="97" spans="1:13">
      <c r="A97" s="108"/>
      <c r="B97" s="98"/>
      <c r="C97" s="32" t="s">
        <v>14</v>
      </c>
      <c r="D97" s="31">
        <v>3494169.28</v>
      </c>
      <c r="E97" s="31">
        <v>266024.88</v>
      </c>
      <c r="F97" s="31">
        <f>D97+E97</f>
        <v>3760194.1599999997</v>
      </c>
      <c r="G97" s="31">
        <v>347336.3</v>
      </c>
      <c r="H97" s="31">
        <v>0</v>
      </c>
      <c r="I97" s="31">
        <v>0</v>
      </c>
      <c r="J97" s="31">
        <v>0</v>
      </c>
      <c r="K97" s="31">
        <f>J97+I97+H97+G97+E97+D97</f>
        <v>4107530.46</v>
      </c>
      <c r="L97" s="31">
        <v>210914</v>
      </c>
      <c r="M97" s="2"/>
    </row>
    <row r="98" spans="1:13">
      <c r="A98" s="108"/>
      <c r="B98" s="98"/>
      <c r="C98" s="30" t="s">
        <v>17</v>
      </c>
      <c r="D98" s="31">
        <f>D95-D97</f>
        <v>154.45000000018626</v>
      </c>
      <c r="E98" s="31">
        <f t="shared" ref="E98:J98" si="30">E95-E97</f>
        <v>-13471.600000000035</v>
      </c>
      <c r="F98" s="31">
        <f t="shared" si="30"/>
        <v>-13317.149999999907</v>
      </c>
      <c r="G98" s="31">
        <f t="shared" si="30"/>
        <v>-276.0800000000163</v>
      </c>
      <c r="H98" s="31">
        <f t="shared" si="30"/>
        <v>0</v>
      </c>
      <c r="I98" s="31">
        <f t="shared" si="30"/>
        <v>0</v>
      </c>
      <c r="J98" s="31">
        <f t="shared" si="30"/>
        <v>0</v>
      </c>
      <c r="K98" s="31">
        <f>K95-K97</f>
        <v>-13593.229999999981</v>
      </c>
      <c r="L98" s="31">
        <f>L95-L97</f>
        <v>0</v>
      </c>
      <c r="M98" s="2"/>
    </row>
    <row r="99" spans="1:13">
      <c r="A99" s="108"/>
      <c r="B99" s="105" t="s">
        <v>19</v>
      </c>
      <c r="C99" s="30" t="s">
        <v>12</v>
      </c>
      <c r="D99" s="31">
        <f>D95+D91+D87</f>
        <v>10630969.26</v>
      </c>
      <c r="E99" s="31">
        <f>E95+E91+E87</f>
        <v>694540.2</v>
      </c>
      <c r="F99" s="31">
        <f t="shared" ref="F99:K99" si="31">F95+F91+F87</f>
        <v>11325509.460000001</v>
      </c>
      <c r="G99" s="31">
        <f t="shared" si="31"/>
        <v>868348.80999999994</v>
      </c>
      <c r="H99" s="31">
        <v>191843.67</v>
      </c>
      <c r="I99" s="31">
        <f t="shared" si="31"/>
        <v>0</v>
      </c>
      <c r="J99" s="31">
        <f t="shared" si="31"/>
        <v>0</v>
      </c>
      <c r="K99" s="31">
        <f t="shared" si="31"/>
        <v>12193858.27</v>
      </c>
      <c r="L99" s="31">
        <f>L95+L91+L87+7315</f>
        <v>672430</v>
      </c>
      <c r="M99" s="2"/>
    </row>
    <row r="100" spans="1:13">
      <c r="A100" s="108"/>
      <c r="B100" s="105"/>
      <c r="C100" s="30" t="s">
        <v>13</v>
      </c>
      <c r="D100" s="31">
        <f t="shared" ref="D100:L101" si="32">D96+D92+D88</f>
        <v>12691410.780000001</v>
      </c>
      <c r="E100" s="31">
        <f t="shared" si="32"/>
        <v>708011.8</v>
      </c>
      <c r="F100" s="31">
        <f t="shared" si="32"/>
        <v>13399422.58</v>
      </c>
      <c r="G100" s="31">
        <f t="shared" si="32"/>
        <v>868624.89</v>
      </c>
      <c r="H100" s="31">
        <v>191843.67</v>
      </c>
      <c r="I100" s="31">
        <f t="shared" si="32"/>
        <v>0</v>
      </c>
      <c r="J100" s="31">
        <f t="shared" si="32"/>
        <v>0</v>
      </c>
      <c r="K100" s="31">
        <f>K96+K92+K88</f>
        <v>14268047.469999999</v>
      </c>
      <c r="L100" s="31">
        <f t="shared" si="32"/>
        <v>665115</v>
      </c>
      <c r="M100" s="2"/>
    </row>
    <row r="101" spans="1:13">
      <c r="A101" s="108"/>
      <c r="B101" s="105"/>
      <c r="C101" s="32" t="s">
        <v>14</v>
      </c>
      <c r="D101" s="31">
        <f t="shared" si="32"/>
        <v>10630535.74</v>
      </c>
      <c r="E101" s="31">
        <f t="shared" si="32"/>
        <v>708011.8</v>
      </c>
      <c r="F101" s="31">
        <f t="shared" si="32"/>
        <v>11338547.539999999</v>
      </c>
      <c r="G101" s="31">
        <f t="shared" si="32"/>
        <v>868624.89</v>
      </c>
      <c r="H101" s="31">
        <v>191843.67</v>
      </c>
      <c r="I101" s="31">
        <f t="shared" si="32"/>
        <v>0</v>
      </c>
      <c r="J101" s="31">
        <f t="shared" si="32"/>
        <v>0</v>
      </c>
      <c r="K101" s="31">
        <f t="shared" si="32"/>
        <v>12207172.43</v>
      </c>
      <c r="L101" s="31">
        <f t="shared" si="32"/>
        <v>665115</v>
      </c>
      <c r="M101" s="2"/>
    </row>
    <row r="102" spans="1:13">
      <c r="A102" s="108"/>
      <c r="B102" s="105"/>
      <c r="C102" s="36" t="s">
        <v>42</v>
      </c>
      <c r="D102" s="37">
        <v>12724618.779999999</v>
      </c>
      <c r="E102" s="37">
        <v>694540.21</v>
      </c>
      <c r="F102" s="37">
        <f>D102+E102</f>
        <v>13419158.989999998</v>
      </c>
      <c r="G102" s="37">
        <v>868348.81</v>
      </c>
      <c r="H102" s="31"/>
      <c r="I102" s="37">
        <f>I104+I103</f>
        <v>0</v>
      </c>
      <c r="J102" s="37">
        <f>J104+J103</f>
        <v>0</v>
      </c>
      <c r="K102" s="37">
        <f>F102+G102</f>
        <v>14287507.799999999</v>
      </c>
      <c r="L102" s="37">
        <f>L104</f>
        <v>672430</v>
      </c>
      <c r="M102" s="2"/>
    </row>
    <row r="103" spans="1:13">
      <c r="A103" s="108"/>
      <c r="B103" s="105"/>
      <c r="C103" s="92" t="s">
        <v>43</v>
      </c>
      <c r="D103" s="84">
        <v>154.94999999999999</v>
      </c>
      <c r="E103" s="84">
        <v>-13471.6</v>
      </c>
      <c r="F103" s="84">
        <f>D103+E103</f>
        <v>-13316.65</v>
      </c>
      <c r="G103" s="84">
        <v>-276.08</v>
      </c>
      <c r="H103" s="84"/>
      <c r="I103" s="84"/>
      <c r="J103" s="84"/>
      <c r="K103" s="84">
        <f>F103+G103</f>
        <v>-13592.73</v>
      </c>
      <c r="L103" s="84">
        <v>7315</v>
      </c>
      <c r="M103" s="2"/>
    </row>
    <row r="104" spans="1:13">
      <c r="A104" s="108"/>
      <c r="B104" s="105"/>
      <c r="C104" s="92" t="s">
        <v>22</v>
      </c>
      <c r="D104" s="84">
        <f>D101+D103</f>
        <v>10630690.689999999</v>
      </c>
      <c r="E104" s="84">
        <f t="shared" ref="E104:L104" si="33">E101+E103</f>
        <v>694540.20000000007</v>
      </c>
      <c r="F104" s="84">
        <f>F101+F103</f>
        <v>11325230.889999999</v>
      </c>
      <c r="G104" s="84">
        <f t="shared" si="33"/>
        <v>868348.81</v>
      </c>
      <c r="H104" s="31">
        <v>191843.67</v>
      </c>
      <c r="I104" s="84">
        <f t="shared" si="33"/>
        <v>0</v>
      </c>
      <c r="J104" s="84">
        <f t="shared" si="33"/>
        <v>0</v>
      </c>
      <c r="K104" s="84">
        <f t="shared" si="33"/>
        <v>12193579.699999999</v>
      </c>
      <c r="L104" s="84">
        <f t="shared" si="33"/>
        <v>672430</v>
      </c>
      <c r="M104" s="2"/>
    </row>
    <row r="105" spans="1:13">
      <c r="A105" s="108"/>
      <c r="B105" s="105"/>
      <c r="C105" s="93" t="s">
        <v>15</v>
      </c>
      <c r="D105" s="84">
        <f>D99-D104</f>
        <v>278.57000000029802</v>
      </c>
      <c r="E105" s="84">
        <f>E99-E104</f>
        <v>0</v>
      </c>
      <c r="F105" s="84">
        <f t="shared" ref="F105:K105" si="34">F99-F104</f>
        <v>278.57000000216067</v>
      </c>
      <c r="G105" s="84">
        <f>G99-G104</f>
        <v>0</v>
      </c>
      <c r="H105" s="84">
        <f t="shared" si="34"/>
        <v>0</v>
      </c>
      <c r="I105" s="84">
        <f t="shared" si="34"/>
        <v>0</v>
      </c>
      <c r="J105" s="84">
        <f t="shared" si="34"/>
        <v>0</v>
      </c>
      <c r="K105" s="84">
        <f t="shared" si="34"/>
        <v>278.57000000029802</v>
      </c>
      <c r="L105" s="84">
        <f>L98+L94+L90</f>
        <v>0</v>
      </c>
      <c r="M105" s="2"/>
    </row>
    <row r="106" spans="1:13">
      <c r="A106" s="109"/>
      <c r="B106" s="103" t="s">
        <v>24</v>
      </c>
      <c r="C106" s="30" t="s">
        <v>12</v>
      </c>
      <c r="D106" s="31">
        <f>3494323.73</f>
        <v>3494323.73</v>
      </c>
      <c r="E106" s="31">
        <f>535256.86-313175.58</f>
        <v>222081.27999999997</v>
      </c>
      <c r="F106" s="31">
        <f>D106+E106</f>
        <v>3716405.01</v>
      </c>
      <c r="G106" s="31">
        <f>362930.75</f>
        <v>362930.75</v>
      </c>
      <c r="H106" s="31">
        <v>0</v>
      </c>
      <c r="I106" s="31">
        <v>0</v>
      </c>
      <c r="J106" s="31">
        <v>0</v>
      </c>
      <c r="K106" s="31">
        <f>J106+I106+H106+G106+E106+D106</f>
        <v>4079335.76</v>
      </c>
      <c r="L106" s="31">
        <f>197200.14+11678.86</f>
        <v>208879</v>
      </c>
      <c r="M106" s="2"/>
    </row>
    <row r="107" spans="1:13">
      <c r="A107" s="109"/>
      <c r="B107" s="103"/>
      <c r="C107" s="30" t="s">
        <v>13</v>
      </c>
      <c r="D107" s="31">
        <v>3685397.61</v>
      </c>
      <c r="E107" s="31">
        <v>222081.28</v>
      </c>
      <c r="F107" s="31">
        <f>D107+E107</f>
        <v>3907478.8899999997</v>
      </c>
      <c r="G107" s="31">
        <v>272068.07</v>
      </c>
      <c r="H107" s="31">
        <v>0</v>
      </c>
      <c r="I107" s="31">
        <v>0</v>
      </c>
      <c r="J107" s="31">
        <v>0</v>
      </c>
      <c r="K107" s="31">
        <f>J107+I107+H107+G107+E107+D107</f>
        <v>4179546.96</v>
      </c>
      <c r="L107" s="31">
        <v>208879</v>
      </c>
      <c r="M107" s="2"/>
    </row>
    <row r="108" spans="1:13">
      <c r="A108" s="109"/>
      <c r="B108" s="103"/>
      <c r="C108" s="32" t="s">
        <v>14</v>
      </c>
      <c r="D108" s="31">
        <v>3494322.41</v>
      </c>
      <c r="E108" s="31">
        <v>222081.28</v>
      </c>
      <c r="F108" s="31">
        <f>D108+E108</f>
        <v>3716403.69</v>
      </c>
      <c r="G108" s="31">
        <v>272068.07</v>
      </c>
      <c r="H108" s="31">
        <v>0</v>
      </c>
      <c r="I108" s="31">
        <v>0</v>
      </c>
      <c r="J108" s="31">
        <v>0</v>
      </c>
      <c r="K108" s="31">
        <f>J108+I108+H108+G108+E108+D108</f>
        <v>3988471.7600000002</v>
      </c>
      <c r="L108" s="31">
        <v>208879</v>
      </c>
      <c r="M108" s="2"/>
    </row>
    <row r="109" spans="1:13">
      <c r="A109" s="109"/>
      <c r="B109" s="103"/>
      <c r="C109" s="30" t="s">
        <v>15</v>
      </c>
      <c r="D109" s="31">
        <f>D106-D108</f>
        <v>1.3199999998323619</v>
      </c>
      <c r="E109" s="31">
        <f t="shared" ref="E109:L109" si="35">E106-E108</f>
        <v>0</v>
      </c>
      <c r="F109" s="31">
        <f t="shared" si="35"/>
        <v>1.3199999998323619</v>
      </c>
      <c r="G109" s="31">
        <f t="shared" si="35"/>
        <v>90862.68</v>
      </c>
      <c r="H109" s="31">
        <f t="shared" si="35"/>
        <v>0</v>
      </c>
      <c r="I109" s="31">
        <f t="shared" si="35"/>
        <v>0</v>
      </c>
      <c r="J109" s="31">
        <f t="shared" si="35"/>
        <v>0</v>
      </c>
      <c r="K109" s="31">
        <f t="shared" si="35"/>
        <v>90863.999999999534</v>
      </c>
      <c r="L109" s="31">
        <f t="shared" si="35"/>
        <v>0</v>
      </c>
      <c r="M109" s="2"/>
    </row>
    <row r="110" spans="1:13">
      <c r="A110" s="109"/>
      <c r="B110" s="103" t="s">
        <v>25</v>
      </c>
      <c r="C110" s="30" t="s">
        <v>12</v>
      </c>
      <c r="D110" s="31">
        <f>3494323.73</f>
        <v>3494323.73</v>
      </c>
      <c r="E110" s="31">
        <f>535256.86-260765.9</f>
        <v>274490.95999999996</v>
      </c>
      <c r="F110" s="31">
        <f>D110+E110</f>
        <v>3768814.69</v>
      </c>
      <c r="G110" s="31">
        <v>362930.75</v>
      </c>
      <c r="H110" s="31">
        <v>0</v>
      </c>
      <c r="I110" s="31">
        <v>0</v>
      </c>
      <c r="J110" s="31">
        <v>0</v>
      </c>
      <c r="K110" s="31">
        <f>J110+I110+H110+G110+E110+D110</f>
        <v>4131745.44</v>
      </c>
      <c r="L110" s="31">
        <f>197200.14+34063.86</f>
        <v>231264</v>
      </c>
      <c r="M110" s="2"/>
    </row>
    <row r="111" spans="1:13">
      <c r="A111" s="109"/>
      <c r="B111" s="103"/>
      <c r="C111" s="30" t="s">
        <v>13</v>
      </c>
      <c r="D111" s="31">
        <v>4627413.25</v>
      </c>
      <c r="E111" s="31">
        <v>274490.96000000002</v>
      </c>
      <c r="F111" s="31">
        <f>D111+E111</f>
        <v>4901904.21</v>
      </c>
      <c r="G111" s="77">
        <v>378739.96</v>
      </c>
      <c r="H111" s="31">
        <v>0</v>
      </c>
      <c r="I111" s="31">
        <v>0</v>
      </c>
      <c r="J111" s="31">
        <v>0</v>
      </c>
      <c r="K111" s="31">
        <f>J111+I111+H111+G111+E111+D111</f>
        <v>5280644.17</v>
      </c>
      <c r="L111" s="78">
        <v>231264</v>
      </c>
      <c r="M111" s="2"/>
    </row>
    <row r="112" spans="1:13">
      <c r="A112" s="109"/>
      <c r="B112" s="103"/>
      <c r="C112" s="32" t="s">
        <v>14</v>
      </c>
      <c r="D112" s="31">
        <v>3494199.36</v>
      </c>
      <c r="E112" s="31">
        <v>274490.96000000002</v>
      </c>
      <c r="F112" s="31">
        <f>D112+E112</f>
        <v>3768690.32</v>
      </c>
      <c r="G112" s="31">
        <v>362919.54</v>
      </c>
      <c r="H112" s="31">
        <v>0</v>
      </c>
      <c r="I112" s="31">
        <v>0</v>
      </c>
      <c r="J112" s="31">
        <v>0</v>
      </c>
      <c r="K112" s="31">
        <f>J112+I112+H112+G112+E112+D112</f>
        <v>4131609.86</v>
      </c>
      <c r="L112" s="31">
        <v>231264</v>
      </c>
      <c r="M112" s="2"/>
    </row>
    <row r="113" spans="1:13">
      <c r="A113" s="109"/>
      <c r="B113" s="103"/>
      <c r="C113" s="30" t="s">
        <v>15</v>
      </c>
      <c r="D113" s="31">
        <f>D110-D112</f>
        <v>124.37000000011176</v>
      </c>
      <c r="E113" s="31">
        <f t="shared" ref="E113:L113" si="36">E110-E112</f>
        <v>0</v>
      </c>
      <c r="F113" s="31">
        <f t="shared" si="36"/>
        <v>124.37000000011176</v>
      </c>
      <c r="G113" s="31">
        <f t="shared" si="36"/>
        <v>11.210000000020955</v>
      </c>
      <c r="H113" s="31">
        <f t="shared" si="36"/>
        <v>0</v>
      </c>
      <c r="I113" s="31">
        <f t="shared" si="36"/>
        <v>0</v>
      </c>
      <c r="J113" s="31">
        <f t="shared" si="36"/>
        <v>0</v>
      </c>
      <c r="K113" s="31">
        <f t="shared" si="36"/>
        <v>135.58000000007451</v>
      </c>
      <c r="L113" s="31">
        <f t="shared" si="36"/>
        <v>0</v>
      </c>
      <c r="M113" s="2"/>
    </row>
    <row r="114" spans="1:13">
      <c r="A114" s="109"/>
      <c r="B114" s="104" t="s">
        <v>26</v>
      </c>
      <c r="C114" s="30" t="s">
        <v>12</v>
      </c>
      <c r="D114" s="31">
        <f>3494323.73-105.14</f>
        <v>3494218.59</v>
      </c>
      <c r="E114" s="31">
        <f>535256.86-203071.79</f>
        <v>332185.06999999995</v>
      </c>
      <c r="F114" s="31">
        <f>D114+E114</f>
        <v>3826403.6599999997</v>
      </c>
      <c r="G114" s="31">
        <f>362930.75-118089.69</f>
        <v>244841.06</v>
      </c>
      <c r="H114" s="31">
        <v>0</v>
      </c>
      <c r="I114" s="31">
        <v>0</v>
      </c>
      <c r="J114" s="31">
        <v>0</v>
      </c>
      <c r="K114" s="31">
        <f>J114+I114+H114+G114+E114+D114</f>
        <v>4071244.7199999997</v>
      </c>
      <c r="L114" s="31">
        <f>224862+14245</f>
        <v>239107</v>
      </c>
      <c r="M114" s="2"/>
    </row>
    <row r="115" spans="1:13">
      <c r="A115" s="109"/>
      <c r="B115" s="104"/>
      <c r="C115" s="30" t="s">
        <v>13</v>
      </c>
      <c r="D115" s="31">
        <v>3538911.38</v>
      </c>
      <c r="E115" s="31">
        <v>311242.26</v>
      </c>
      <c r="F115" s="31">
        <f>SUM(D115:E115)</f>
        <v>3850153.6399999997</v>
      </c>
      <c r="G115" s="31">
        <f>322874.55</f>
        <v>322874.55</v>
      </c>
      <c r="H115" s="31">
        <v>0</v>
      </c>
      <c r="I115" s="31">
        <v>0</v>
      </c>
      <c r="J115" s="31">
        <v>0</v>
      </c>
      <c r="K115" s="31">
        <f>J115+I115+H115+G115+E115+D115</f>
        <v>4173028.19</v>
      </c>
      <c r="L115" s="31">
        <f>224862</f>
        <v>224862</v>
      </c>
      <c r="M115" s="2"/>
    </row>
    <row r="116" spans="1:13">
      <c r="A116" s="109"/>
      <c r="B116" s="104"/>
      <c r="C116" s="32" t="s">
        <v>14</v>
      </c>
      <c r="D116" s="31">
        <v>3493652.64</v>
      </c>
      <c r="E116" s="31">
        <v>311242.26</v>
      </c>
      <c r="F116" s="31">
        <f>SUM(D116:E116)</f>
        <v>3804894.9000000004</v>
      </c>
      <c r="G116" s="31">
        <v>322874.55</v>
      </c>
      <c r="H116" s="31">
        <v>0</v>
      </c>
      <c r="I116" s="31">
        <v>0</v>
      </c>
      <c r="J116" s="31">
        <v>0</v>
      </c>
      <c r="K116" s="31">
        <f>J116+I116+H116+G116+E116+D116</f>
        <v>4127769.45</v>
      </c>
      <c r="L116" s="31">
        <v>224862</v>
      </c>
      <c r="M116" s="2"/>
    </row>
    <row r="117" spans="1:13">
      <c r="A117" s="109"/>
      <c r="B117" s="98"/>
      <c r="C117" s="30" t="s">
        <v>23</v>
      </c>
      <c r="D117" s="31">
        <f>D114-D116</f>
        <v>565.9499999997206</v>
      </c>
      <c r="E117" s="31">
        <f t="shared" ref="E117:L117" si="37">E114-E116</f>
        <v>20942.809999999939</v>
      </c>
      <c r="F117" s="31">
        <f t="shared" si="37"/>
        <v>21508.759999999311</v>
      </c>
      <c r="G117" s="31">
        <f t="shared" si="37"/>
        <v>-78033.489999999991</v>
      </c>
      <c r="H117" s="31">
        <f t="shared" si="37"/>
        <v>0</v>
      </c>
      <c r="I117" s="31">
        <f t="shared" si="37"/>
        <v>0</v>
      </c>
      <c r="J117" s="31">
        <f t="shared" si="37"/>
        <v>0</v>
      </c>
      <c r="K117" s="31">
        <f t="shared" si="37"/>
        <v>-56524.730000000447</v>
      </c>
      <c r="L117" s="31">
        <f t="shared" si="37"/>
        <v>14245</v>
      </c>
      <c r="M117" s="2"/>
    </row>
    <row r="118" spans="1:13">
      <c r="A118" s="109"/>
      <c r="B118" s="105" t="s">
        <v>27</v>
      </c>
      <c r="C118" s="30" t="s">
        <v>12</v>
      </c>
      <c r="D118" s="31">
        <f t="shared" ref="D118:J121" si="38">D114+D110+D106</f>
        <v>10482866.050000001</v>
      </c>
      <c r="E118" s="31">
        <f t="shared" si="38"/>
        <v>828757.30999999982</v>
      </c>
      <c r="F118" s="31">
        <f t="shared" si="38"/>
        <v>11311623.359999999</v>
      </c>
      <c r="G118" s="31">
        <f t="shared" si="38"/>
        <v>970702.56</v>
      </c>
      <c r="H118" s="31">
        <v>286822.64</v>
      </c>
      <c r="I118" s="31">
        <f t="shared" si="38"/>
        <v>0</v>
      </c>
      <c r="J118" s="31">
        <f t="shared" si="38"/>
        <v>0</v>
      </c>
      <c r="K118" s="31">
        <f>J118+I118+H118+G118+E118+D118</f>
        <v>12569148.560000001</v>
      </c>
      <c r="L118" s="31">
        <f>L114+L110+L106</f>
        <v>679250</v>
      </c>
      <c r="M118" s="2"/>
    </row>
    <row r="119" spans="1:13">
      <c r="A119" s="109"/>
      <c r="B119" s="105"/>
      <c r="C119" s="30" t="s">
        <v>13</v>
      </c>
      <c r="D119" s="31">
        <f t="shared" si="38"/>
        <v>11851722.24</v>
      </c>
      <c r="E119" s="31">
        <f t="shared" si="38"/>
        <v>807814.5</v>
      </c>
      <c r="F119" s="31">
        <f>D119+E119</f>
        <v>12659536.74</v>
      </c>
      <c r="G119" s="31">
        <f t="shared" si="38"/>
        <v>973682.58000000007</v>
      </c>
      <c r="H119" s="31">
        <v>286822.64</v>
      </c>
      <c r="I119" s="31">
        <f t="shared" si="38"/>
        <v>0</v>
      </c>
      <c r="J119" s="31">
        <f t="shared" si="38"/>
        <v>0</v>
      </c>
      <c r="K119" s="31">
        <f>J119+I119+H119+G119+E119+D119</f>
        <v>13920041.960000001</v>
      </c>
      <c r="L119" s="31">
        <f>L115+L111+L107</f>
        <v>665005</v>
      </c>
      <c r="M119" s="2"/>
    </row>
    <row r="120" spans="1:13">
      <c r="A120" s="109"/>
      <c r="B120" s="105"/>
      <c r="C120" s="32" t="s">
        <v>14</v>
      </c>
      <c r="D120" s="31">
        <f t="shared" si="38"/>
        <v>10482174.41</v>
      </c>
      <c r="E120" s="31">
        <f t="shared" si="38"/>
        <v>807814.5</v>
      </c>
      <c r="F120" s="31">
        <f>D120+E120</f>
        <v>11289988.91</v>
      </c>
      <c r="G120" s="31">
        <f t="shared" si="38"/>
        <v>957862.15999999992</v>
      </c>
      <c r="H120" s="31">
        <v>286822.64</v>
      </c>
      <c r="I120" s="31">
        <f t="shared" si="38"/>
        <v>0</v>
      </c>
      <c r="J120" s="31">
        <f t="shared" si="38"/>
        <v>0</v>
      </c>
      <c r="K120" s="31">
        <f>J120+I120+H120+G120+E120+D120</f>
        <v>12534673.710000001</v>
      </c>
      <c r="L120" s="31">
        <f>L116+L112+L108</f>
        <v>665005</v>
      </c>
      <c r="M120" s="2"/>
    </row>
    <row r="121" spans="1:13">
      <c r="A121" s="109"/>
      <c r="B121" s="105"/>
      <c r="C121" s="30" t="s">
        <v>15</v>
      </c>
      <c r="D121" s="31">
        <f t="shared" si="38"/>
        <v>691.63999999966472</v>
      </c>
      <c r="E121" s="31">
        <f t="shared" si="38"/>
        <v>20942.809999999939</v>
      </c>
      <c r="F121" s="31">
        <f>D121+E121</f>
        <v>21634.449999999604</v>
      </c>
      <c r="G121" s="31">
        <f>G117+G113+G109</f>
        <v>12840.400000000023</v>
      </c>
      <c r="H121" s="30">
        <f>H118-H120</f>
        <v>0</v>
      </c>
      <c r="I121" s="30">
        <f>I118-I120</f>
        <v>0</v>
      </c>
      <c r="J121" s="30">
        <f>J118-J120</f>
        <v>0</v>
      </c>
      <c r="K121" s="31">
        <f>J121+I121+H121+G121+E121+D121</f>
        <v>34474.849999999627</v>
      </c>
      <c r="L121" s="31">
        <f>L117+L113+L109</f>
        <v>14245</v>
      </c>
      <c r="M121" s="2"/>
    </row>
    <row r="122" spans="1:13">
      <c r="A122" s="109"/>
      <c r="B122" s="102" t="s">
        <v>28</v>
      </c>
      <c r="C122" s="16" t="s">
        <v>12</v>
      </c>
      <c r="D122" s="17">
        <f>D99+D118</f>
        <v>21113835.310000002</v>
      </c>
      <c r="E122" s="17">
        <f>E99+E118</f>
        <v>1523297.5099999998</v>
      </c>
      <c r="F122" s="17">
        <f>D122+E122</f>
        <v>22637132.82</v>
      </c>
      <c r="G122" s="17">
        <f>G99+G118</f>
        <v>1839051.37</v>
      </c>
      <c r="H122" s="17">
        <f>H99+H118</f>
        <v>478666.31000000006</v>
      </c>
      <c r="I122" s="17">
        <f>I99+I118</f>
        <v>0</v>
      </c>
      <c r="J122" s="17">
        <f>J99+J118</f>
        <v>0</v>
      </c>
      <c r="K122" s="17">
        <f>J122+I122+H122+G122+E122+D122</f>
        <v>24954850.500000004</v>
      </c>
      <c r="L122" s="17">
        <f>L99+L118</f>
        <v>1351680</v>
      </c>
      <c r="M122" s="2"/>
    </row>
    <row r="123" spans="1:13">
      <c r="A123" s="109"/>
      <c r="B123" s="102"/>
      <c r="C123" s="3" t="s">
        <v>13</v>
      </c>
      <c r="D123" s="4">
        <f>D102+D119</f>
        <v>24576341.02</v>
      </c>
      <c r="E123" s="4">
        <f t="shared" ref="E123:L123" si="39">E102+E119</f>
        <v>1502354.71</v>
      </c>
      <c r="F123" s="4">
        <f t="shared" si="39"/>
        <v>26078695.729999997</v>
      </c>
      <c r="G123" s="4">
        <f t="shared" si="39"/>
        <v>1842031.3900000001</v>
      </c>
      <c r="H123" s="4">
        <f>H100+H119</f>
        <v>478666.31000000006</v>
      </c>
      <c r="I123" s="4">
        <f t="shared" si="39"/>
        <v>0</v>
      </c>
      <c r="J123" s="4">
        <f t="shared" si="39"/>
        <v>0</v>
      </c>
      <c r="K123" s="4">
        <f>K102+K119</f>
        <v>28207549.759999998</v>
      </c>
      <c r="L123" s="4">
        <f t="shared" si="39"/>
        <v>1337435</v>
      </c>
      <c r="M123" s="2"/>
    </row>
    <row r="124" spans="1:13">
      <c r="A124" s="109"/>
      <c r="B124" s="102"/>
      <c r="C124" s="8" t="s">
        <v>14</v>
      </c>
      <c r="D124" s="9">
        <f>D104+D120</f>
        <v>21112865.100000001</v>
      </c>
      <c r="E124" s="9">
        <f t="shared" ref="E124:L125" si="40">E104+E120</f>
        <v>1502354.7000000002</v>
      </c>
      <c r="F124" s="9">
        <f t="shared" si="40"/>
        <v>22615219.799999997</v>
      </c>
      <c r="G124" s="9">
        <f t="shared" si="40"/>
        <v>1826210.97</v>
      </c>
      <c r="H124" s="4">
        <f>H101+H120</f>
        <v>478666.31000000006</v>
      </c>
      <c r="I124" s="9">
        <f t="shared" si="40"/>
        <v>0</v>
      </c>
      <c r="J124" s="9">
        <f t="shared" si="40"/>
        <v>0</v>
      </c>
      <c r="K124" s="9">
        <f t="shared" si="40"/>
        <v>24728253.41</v>
      </c>
      <c r="L124" s="9">
        <f t="shared" si="40"/>
        <v>1337435</v>
      </c>
      <c r="M124" s="2"/>
    </row>
    <row r="125" spans="1:13">
      <c r="A125" s="109"/>
      <c r="B125" s="102"/>
      <c r="C125" s="24" t="s">
        <v>15</v>
      </c>
      <c r="D125" s="33">
        <f>D105+D121</f>
        <v>970.20999999996275</v>
      </c>
      <c r="E125" s="33">
        <f>E105+E121</f>
        <v>20942.809999999939</v>
      </c>
      <c r="F125" s="33">
        <f t="shared" si="40"/>
        <v>21913.020000001765</v>
      </c>
      <c r="G125" s="33">
        <f t="shared" si="40"/>
        <v>12840.400000000023</v>
      </c>
      <c r="H125" s="33">
        <f t="shared" si="40"/>
        <v>0</v>
      </c>
      <c r="I125" s="33">
        <f t="shared" si="40"/>
        <v>0</v>
      </c>
      <c r="J125" s="33">
        <f t="shared" si="40"/>
        <v>0</v>
      </c>
      <c r="K125" s="33">
        <f t="shared" si="40"/>
        <v>34753.419999999925</v>
      </c>
      <c r="L125" s="33">
        <f t="shared" si="40"/>
        <v>14245</v>
      </c>
      <c r="M125" s="2"/>
    </row>
    <row r="126" spans="1:13">
      <c r="A126" s="109"/>
      <c r="B126" s="98"/>
      <c r="C126" s="94" t="s">
        <v>42</v>
      </c>
      <c r="D126" s="56">
        <v>24647951.77</v>
      </c>
      <c r="E126" s="56">
        <v>1523297.51</v>
      </c>
      <c r="F126" s="56">
        <f>D126+E126</f>
        <v>26171249.280000001</v>
      </c>
      <c r="G126" s="56">
        <v>1839051.37</v>
      </c>
      <c r="H126" s="56">
        <v>478666.31</v>
      </c>
      <c r="I126" s="56"/>
      <c r="J126" s="56"/>
      <c r="K126" s="56">
        <f>F126+G126+H126</f>
        <v>28488966.960000001</v>
      </c>
      <c r="L126" s="56">
        <v>1351680</v>
      </c>
      <c r="M126" s="2"/>
    </row>
    <row r="127" spans="1:13">
      <c r="A127" s="109"/>
      <c r="B127" s="98"/>
      <c r="C127" s="43" t="s">
        <v>43</v>
      </c>
      <c r="D127" s="56">
        <v>970.21</v>
      </c>
      <c r="E127" s="56">
        <v>20942.810000000001</v>
      </c>
      <c r="F127" s="56">
        <f>D127+E127</f>
        <v>21913.02</v>
      </c>
      <c r="G127" s="56">
        <v>12840.4</v>
      </c>
      <c r="H127" s="56">
        <v>0</v>
      </c>
      <c r="I127" s="56"/>
      <c r="J127" s="56"/>
      <c r="K127" s="56">
        <f>F127+G127</f>
        <v>34753.42</v>
      </c>
      <c r="L127" s="56">
        <v>14245</v>
      </c>
      <c r="M127" s="2"/>
    </row>
    <row r="128" spans="1:13">
      <c r="A128" s="109"/>
      <c r="B128" s="98"/>
      <c r="C128" s="43" t="s">
        <v>22</v>
      </c>
      <c r="D128" s="56">
        <f>D127+D124</f>
        <v>21113835.310000002</v>
      </c>
      <c r="E128" s="56">
        <f t="shared" ref="E128:L128" si="41">E127+E124</f>
        <v>1523297.5100000002</v>
      </c>
      <c r="F128" s="56">
        <f t="shared" si="41"/>
        <v>22637132.819999997</v>
      </c>
      <c r="G128" s="56">
        <f t="shared" si="41"/>
        <v>1839051.3699999999</v>
      </c>
      <c r="H128" s="56">
        <f>H127+H124</f>
        <v>478666.31000000006</v>
      </c>
      <c r="I128" s="56">
        <f t="shared" si="41"/>
        <v>0</v>
      </c>
      <c r="J128" s="56">
        <f t="shared" si="41"/>
        <v>0</v>
      </c>
      <c r="K128" s="56">
        <f>F128+G128+H128</f>
        <v>24954850.499999996</v>
      </c>
      <c r="L128" s="56">
        <f t="shared" si="41"/>
        <v>1351680</v>
      </c>
      <c r="M128" s="2"/>
    </row>
    <row r="129" spans="1:13">
      <c r="A129" s="109"/>
      <c r="B129" s="98"/>
      <c r="C129" s="44" t="s">
        <v>15</v>
      </c>
      <c r="D129" s="56">
        <f>D122-D128</f>
        <v>0</v>
      </c>
      <c r="E129" s="56">
        <f t="shared" ref="E129:L129" si="42">E122-E128</f>
        <v>0</v>
      </c>
      <c r="F129" s="56">
        <f t="shared" si="42"/>
        <v>0</v>
      </c>
      <c r="G129" s="56">
        <f t="shared" si="42"/>
        <v>0</v>
      </c>
      <c r="H129" s="56">
        <f t="shared" si="42"/>
        <v>0</v>
      </c>
      <c r="I129" s="56">
        <f t="shared" si="42"/>
        <v>0</v>
      </c>
      <c r="J129" s="56">
        <f t="shared" si="42"/>
        <v>0</v>
      </c>
      <c r="K129" s="56">
        <f t="shared" si="42"/>
        <v>0</v>
      </c>
      <c r="L129" s="56">
        <f t="shared" si="42"/>
        <v>0</v>
      </c>
      <c r="M129" s="2"/>
    </row>
    <row r="130" spans="1:13">
      <c r="A130" s="109"/>
      <c r="B130" s="97" t="s">
        <v>29</v>
      </c>
      <c r="C130" s="30" t="s">
        <v>12</v>
      </c>
      <c r="D130" s="31">
        <v>4611074.74</v>
      </c>
      <c r="E130" s="31">
        <v>534546.69999999995</v>
      </c>
      <c r="F130" s="31">
        <f>SUM(D130:E130)</f>
        <v>5145621.4400000004</v>
      </c>
      <c r="G130" s="31">
        <v>400737</v>
      </c>
      <c r="H130" s="30">
        <v>0</v>
      </c>
      <c r="I130" s="30">
        <v>0</v>
      </c>
      <c r="J130" s="30">
        <v>0</v>
      </c>
      <c r="K130" s="31">
        <f>D130+E130+G130+H130+I130+J130</f>
        <v>5546358.4400000004</v>
      </c>
      <c r="L130" s="31">
        <v>232441</v>
      </c>
      <c r="M130" s="2"/>
    </row>
    <row r="131" spans="1:13">
      <c r="A131" s="109"/>
      <c r="B131" s="97"/>
      <c r="C131" s="30" t="s">
        <v>13</v>
      </c>
      <c r="D131" s="31">
        <v>4062934</v>
      </c>
      <c r="E131" s="31">
        <v>245977.55</v>
      </c>
      <c r="F131" s="31">
        <f>SUM(D131:E131)</f>
        <v>4308911.55</v>
      </c>
      <c r="G131" s="31">
        <v>317689</v>
      </c>
      <c r="H131" s="30">
        <v>0</v>
      </c>
      <c r="I131" s="30">
        <v>0</v>
      </c>
      <c r="J131" s="30">
        <v>0</v>
      </c>
      <c r="K131" s="31">
        <f>D131+E131+G131+H131+I131+J131</f>
        <v>4626600.55</v>
      </c>
      <c r="L131" s="31">
        <v>232441</v>
      </c>
      <c r="M131" s="2"/>
    </row>
    <row r="132" spans="1:13">
      <c r="A132" s="109"/>
      <c r="B132" s="97"/>
      <c r="C132" s="30" t="s">
        <v>14</v>
      </c>
      <c r="D132" s="31">
        <v>4062934</v>
      </c>
      <c r="E132" s="31">
        <v>245977.55</v>
      </c>
      <c r="F132" s="31">
        <f>SUM(D132:E132)</f>
        <v>4308911.55</v>
      </c>
      <c r="G132" s="31">
        <v>317689</v>
      </c>
      <c r="H132" s="30">
        <v>0</v>
      </c>
      <c r="I132" s="30">
        <v>0</v>
      </c>
      <c r="J132" s="30">
        <v>0</v>
      </c>
      <c r="K132" s="31">
        <f>D132+E132+G132+H132+I132+J132</f>
        <v>4626600.55</v>
      </c>
      <c r="L132" s="31">
        <v>232441</v>
      </c>
      <c r="M132" s="2"/>
    </row>
    <row r="133" spans="1:13">
      <c r="A133" s="109"/>
      <c r="B133" s="98"/>
      <c r="C133" s="95" t="s">
        <v>23</v>
      </c>
      <c r="D133" s="82">
        <f>D130-D132</f>
        <v>548140.74000000022</v>
      </c>
      <c r="E133" s="82">
        <f t="shared" ref="E133:L133" si="43">E130-E132</f>
        <v>288569.14999999997</v>
      </c>
      <c r="F133" s="82">
        <f t="shared" si="43"/>
        <v>836709.8900000006</v>
      </c>
      <c r="G133" s="82">
        <f t="shared" si="43"/>
        <v>83048</v>
      </c>
      <c r="H133" s="82">
        <f t="shared" si="43"/>
        <v>0</v>
      </c>
      <c r="I133" s="82">
        <f t="shared" si="43"/>
        <v>0</v>
      </c>
      <c r="J133" s="82">
        <f t="shared" si="43"/>
        <v>0</v>
      </c>
      <c r="K133" s="82">
        <f t="shared" si="43"/>
        <v>919757.8900000006</v>
      </c>
      <c r="L133" s="82">
        <f t="shared" si="43"/>
        <v>0</v>
      </c>
      <c r="M133" s="2"/>
    </row>
    <row r="134" spans="1:13">
      <c r="A134" s="109"/>
      <c r="B134" s="97" t="s">
        <v>30</v>
      </c>
      <c r="C134" s="30" t="s">
        <v>12</v>
      </c>
      <c r="D134" s="31">
        <v>4611074.74</v>
      </c>
      <c r="E134" s="31">
        <v>534546.69999999995</v>
      </c>
      <c r="F134" s="31">
        <f>SUM(D134:E134)</f>
        <v>5145621.4400000004</v>
      </c>
      <c r="G134" s="31">
        <v>400737</v>
      </c>
      <c r="H134" s="30">
        <v>0</v>
      </c>
      <c r="I134" s="30">
        <v>0</v>
      </c>
      <c r="J134" s="30">
        <v>0</v>
      </c>
      <c r="K134" s="31">
        <f>J134+I134+H134+G134+E134+D134</f>
        <v>5546358.4400000004</v>
      </c>
      <c r="L134" s="31">
        <v>242264</v>
      </c>
      <c r="M134" s="2"/>
    </row>
    <row r="135" spans="1:13">
      <c r="A135" s="109"/>
      <c r="B135" s="97"/>
      <c r="C135" s="30" t="s">
        <v>13</v>
      </c>
      <c r="D135" s="31">
        <v>4418501.43</v>
      </c>
      <c r="E135" s="31">
        <v>224711.48</v>
      </c>
      <c r="F135" s="31">
        <f>SUM(D135:E135)</f>
        <v>4643212.91</v>
      </c>
      <c r="G135" s="31">
        <v>330027</v>
      </c>
      <c r="H135" s="30">
        <v>0</v>
      </c>
      <c r="I135" s="30">
        <v>0</v>
      </c>
      <c r="J135" s="30">
        <v>0</v>
      </c>
      <c r="K135" s="31">
        <f>J135+I135+H135+G135+E135+D135</f>
        <v>4973239.91</v>
      </c>
      <c r="L135" s="31">
        <v>242264</v>
      </c>
      <c r="M135" s="2"/>
    </row>
    <row r="136" spans="1:13">
      <c r="A136" s="109"/>
      <c r="B136" s="97"/>
      <c r="C136" s="30" t="s">
        <v>14</v>
      </c>
      <c r="D136" s="31">
        <v>4418501.43</v>
      </c>
      <c r="E136" s="31">
        <v>224711.48</v>
      </c>
      <c r="F136" s="31">
        <f>SUM(D136:E136)</f>
        <v>4643212.91</v>
      </c>
      <c r="G136" s="31">
        <v>330027</v>
      </c>
      <c r="H136" s="30">
        <v>0</v>
      </c>
      <c r="I136" s="30">
        <v>0</v>
      </c>
      <c r="J136" s="30">
        <v>0</v>
      </c>
      <c r="K136" s="31">
        <f>J136+I136+H136+G136+E136+D136</f>
        <v>4973239.91</v>
      </c>
      <c r="L136" s="31">
        <v>242264</v>
      </c>
      <c r="M136" s="2"/>
    </row>
    <row r="137" spans="1:13">
      <c r="A137" s="109"/>
      <c r="B137" s="98"/>
      <c r="C137" s="91" t="s">
        <v>23</v>
      </c>
      <c r="D137" s="82">
        <f>D134-D136</f>
        <v>192573.31000000052</v>
      </c>
      <c r="E137" s="82">
        <f t="shared" ref="E137:K137" si="44">E134-E136</f>
        <v>309835.21999999997</v>
      </c>
      <c r="F137" s="82">
        <f t="shared" si="44"/>
        <v>502408.53000000026</v>
      </c>
      <c r="G137" s="82">
        <f t="shared" si="44"/>
        <v>70710</v>
      </c>
      <c r="H137" s="82">
        <f t="shared" si="44"/>
        <v>0</v>
      </c>
      <c r="I137" s="82">
        <f t="shared" si="44"/>
        <v>0</v>
      </c>
      <c r="J137" s="82">
        <f t="shared" si="44"/>
        <v>0</v>
      </c>
      <c r="K137" s="82">
        <f t="shared" si="44"/>
        <v>573118.53000000026</v>
      </c>
      <c r="L137" s="82"/>
      <c r="M137" s="2"/>
    </row>
    <row r="138" spans="1:13">
      <c r="A138" s="109"/>
      <c r="B138" s="111" t="s">
        <v>31</v>
      </c>
      <c r="C138" s="30" t="s">
        <v>12</v>
      </c>
      <c r="D138" s="31">
        <v>4611074.74</v>
      </c>
      <c r="E138" s="31">
        <v>534546.69999999995</v>
      </c>
      <c r="F138" s="31">
        <f>SUM(D138:E138)</f>
        <v>5145621.4400000004</v>
      </c>
      <c r="G138" s="31">
        <v>400737</v>
      </c>
      <c r="H138" s="30">
        <v>0</v>
      </c>
      <c r="I138" s="30">
        <v>0</v>
      </c>
      <c r="J138" s="30">
        <v>0</v>
      </c>
      <c r="K138" s="31">
        <f>J138+I138+H138+G138+E138+D138</f>
        <v>5546358.4400000004</v>
      </c>
      <c r="L138" s="31">
        <v>398431.2</v>
      </c>
      <c r="M138" s="2"/>
    </row>
    <row r="139" spans="1:13">
      <c r="A139" s="109"/>
      <c r="B139" s="111"/>
      <c r="C139" s="30" t="s">
        <v>13</v>
      </c>
      <c r="D139" s="31">
        <v>0</v>
      </c>
      <c r="E139" s="31">
        <v>0</v>
      </c>
      <c r="F139" s="31">
        <f>SUM(D139:E139)</f>
        <v>0</v>
      </c>
      <c r="G139" s="31">
        <v>0</v>
      </c>
      <c r="H139" s="30">
        <v>0</v>
      </c>
      <c r="I139" s="30">
        <v>0</v>
      </c>
      <c r="J139" s="30">
        <v>0</v>
      </c>
      <c r="K139" s="31">
        <f>J139+I139+H139+G139+E139+D139</f>
        <v>0</v>
      </c>
      <c r="L139" s="31">
        <v>0</v>
      </c>
      <c r="M139" s="2"/>
    </row>
    <row r="140" spans="1:13">
      <c r="A140" s="109"/>
      <c r="B140" s="111"/>
      <c r="C140" s="30" t="s">
        <v>14</v>
      </c>
      <c r="D140" s="31">
        <v>0</v>
      </c>
      <c r="E140" s="31">
        <v>0</v>
      </c>
      <c r="F140" s="31">
        <f>SUM(D140:E140)</f>
        <v>0</v>
      </c>
      <c r="G140" s="31">
        <v>0</v>
      </c>
      <c r="H140" s="30">
        <v>0</v>
      </c>
      <c r="I140" s="30">
        <v>0</v>
      </c>
      <c r="J140" s="30">
        <v>0</v>
      </c>
      <c r="K140" s="31">
        <f>J140+I140+H140+G140+E140+D140</f>
        <v>0</v>
      </c>
      <c r="L140" s="31">
        <v>0</v>
      </c>
      <c r="M140" s="2"/>
    </row>
    <row r="141" spans="1:13">
      <c r="A141" s="109"/>
      <c r="B141" s="112"/>
      <c r="C141" s="91" t="s">
        <v>23</v>
      </c>
      <c r="D141" s="83">
        <v>0</v>
      </c>
      <c r="E141" s="83">
        <v>0</v>
      </c>
      <c r="F141" s="83">
        <v>0</v>
      </c>
      <c r="G141" s="83">
        <v>0</v>
      </c>
      <c r="H141" s="83">
        <f>H138-H144</f>
        <v>0</v>
      </c>
      <c r="I141" s="83">
        <f>I138-I144</f>
        <v>0</v>
      </c>
      <c r="J141" s="83">
        <f>J138-J144</f>
        <v>0</v>
      </c>
      <c r="K141" s="83">
        <v>0</v>
      </c>
      <c r="L141" s="83">
        <v>0</v>
      </c>
      <c r="M141" s="2"/>
    </row>
    <row r="142" spans="1:13">
      <c r="A142" s="109"/>
      <c r="B142" s="97" t="s">
        <v>32</v>
      </c>
      <c r="C142" s="30" t="s">
        <v>12</v>
      </c>
      <c r="D142" s="31">
        <f>D130+D134+D138</f>
        <v>13833224.220000001</v>
      </c>
      <c r="E142" s="31">
        <f t="shared" ref="E142:K142" si="45">E130+E134+E138</f>
        <v>1603640.0999999999</v>
      </c>
      <c r="F142" s="31">
        <f t="shared" si="45"/>
        <v>15436864.32</v>
      </c>
      <c r="G142" s="31">
        <f t="shared" si="45"/>
        <v>1202211</v>
      </c>
      <c r="H142" s="31">
        <f t="shared" si="45"/>
        <v>0</v>
      </c>
      <c r="I142" s="31">
        <f t="shared" si="45"/>
        <v>0</v>
      </c>
      <c r="J142" s="31">
        <f t="shared" si="45"/>
        <v>0</v>
      </c>
      <c r="K142" s="31">
        <f t="shared" si="45"/>
        <v>16639075.32</v>
      </c>
      <c r="L142" s="31">
        <f>L130+L134+L138</f>
        <v>873136.2</v>
      </c>
      <c r="M142" s="2"/>
    </row>
    <row r="143" spans="1:13">
      <c r="A143" s="109"/>
      <c r="B143" s="97"/>
      <c r="C143" s="30" t="s">
        <v>13</v>
      </c>
      <c r="D143" s="31">
        <f t="shared" ref="D143:L144" si="46">D131+D135+D139</f>
        <v>8481435.4299999997</v>
      </c>
      <c r="E143" s="31">
        <f t="shared" si="46"/>
        <v>470689.03</v>
      </c>
      <c r="F143" s="31">
        <f t="shared" si="46"/>
        <v>8952124.4600000009</v>
      </c>
      <c r="G143" s="31">
        <f t="shared" si="46"/>
        <v>647716</v>
      </c>
      <c r="H143" s="31">
        <f t="shared" si="46"/>
        <v>0</v>
      </c>
      <c r="I143" s="31">
        <f t="shared" si="46"/>
        <v>0</v>
      </c>
      <c r="J143" s="31">
        <f t="shared" si="46"/>
        <v>0</v>
      </c>
      <c r="K143" s="31">
        <f t="shared" si="46"/>
        <v>9599840.4600000009</v>
      </c>
      <c r="L143" s="31">
        <f t="shared" si="46"/>
        <v>474705</v>
      </c>
      <c r="M143" s="2"/>
    </row>
    <row r="144" spans="1:13">
      <c r="A144" s="109"/>
      <c r="B144" s="97"/>
      <c r="C144" s="30" t="s">
        <v>14</v>
      </c>
      <c r="D144" s="31">
        <f t="shared" si="46"/>
        <v>8481435.4299999997</v>
      </c>
      <c r="E144" s="31">
        <f t="shared" si="46"/>
        <v>470689.03</v>
      </c>
      <c r="F144" s="31">
        <f t="shared" si="46"/>
        <v>8952124.4600000009</v>
      </c>
      <c r="G144" s="31">
        <f t="shared" si="46"/>
        <v>647716</v>
      </c>
      <c r="H144" s="31">
        <f t="shared" si="46"/>
        <v>0</v>
      </c>
      <c r="I144" s="31">
        <f t="shared" si="46"/>
        <v>0</v>
      </c>
      <c r="J144" s="31">
        <f t="shared" si="46"/>
        <v>0</v>
      </c>
      <c r="K144" s="31">
        <f t="shared" si="46"/>
        <v>9599840.4600000009</v>
      </c>
      <c r="L144" s="31">
        <f t="shared" si="46"/>
        <v>474705</v>
      </c>
      <c r="M144" s="2"/>
    </row>
    <row r="145" spans="1:13">
      <c r="A145" s="109"/>
      <c r="B145" s="97"/>
      <c r="C145" s="30" t="s">
        <v>33</v>
      </c>
      <c r="D145" s="31">
        <f>D132+D136+D140</f>
        <v>8481435.4299999997</v>
      </c>
      <c r="E145" s="31">
        <f t="shared" ref="E145:L145" si="47">E132+E136+E140</f>
        <v>470689.03</v>
      </c>
      <c r="F145" s="31">
        <f t="shared" si="47"/>
        <v>8952124.4600000009</v>
      </c>
      <c r="G145" s="31">
        <f t="shared" si="47"/>
        <v>647716</v>
      </c>
      <c r="H145" s="31">
        <f t="shared" si="47"/>
        <v>0</v>
      </c>
      <c r="I145" s="31">
        <f t="shared" si="47"/>
        <v>0</v>
      </c>
      <c r="J145" s="31">
        <f t="shared" si="47"/>
        <v>0</v>
      </c>
      <c r="K145" s="31">
        <f t="shared" si="47"/>
        <v>9599840.4600000009</v>
      </c>
      <c r="L145" s="31">
        <f t="shared" si="47"/>
        <v>474705</v>
      </c>
      <c r="M145" s="2"/>
    </row>
    <row r="146" spans="1:13">
      <c r="A146" s="109"/>
      <c r="B146" s="113"/>
      <c r="C146" s="30" t="s">
        <v>15</v>
      </c>
      <c r="D146" s="31">
        <f>D133+D137</f>
        <v>740714.05000000075</v>
      </c>
      <c r="E146" s="31">
        <f t="shared" ref="E146:L146" si="48">E133+E137</f>
        <v>598404.36999999988</v>
      </c>
      <c r="F146" s="31">
        <f t="shared" si="48"/>
        <v>1339118.4200000009</v>
      </c>
      <c r="G146" s="31">
        <f t="shared" si="48"/>
        <v>153758</v>
      </c>
      <c r="H146" s="31">
        <f t="shared" si="48"/>
        <v>0</v>
      </c>
      <c r="I146" s="31">
        <f t="shared" si="48"/>
        <v>0</v>
      </c>
      <c r="J146" s="31">
        <f t="shared" si="48"/>
        <v>0</v>
      </c>
      <c r="K146" s="31">
        <f t="shared" si="48"/>
        <v>1492876.4200000009</v>
      </c>
      <c r="L146" s="31">
        <f t="shared" si="48"/>
        <v>0</v>
      </c>
      <c r="M146" s="2"/>
    </row>
    <row r="147" spans="1:13">
      <c r="A147" s="109"/>
      <c r="B147" s="97" t="s">
        <v>34</v>
      </c>
      <c r="C147" s="30" t="s">
        <v>12</v>
      </c>
      <c r="D147" s="31">
        <v>4611074.74</v>
      </c>
      <c r="E147" s="31">
        <v>534546.69999999995</v>
      </c>
      <c r="F147" s="31">
        <f>SUM(D147:E147)</f>
        <v>5145621.4400000004</v>
      </c>
      <c r="G147" s="31">
        <v>400737</v>
      </c>
      <c r="H147" s="30">
        <v>0</v>
      </c>
      <c r="I147" s="30">
        <v>0</v>
      </c>
      <c r="J147" s="30">
        <v>0</v>
      </c>
      <c r="K147" s="31">
        <f>D147+E147+G147+H147+I147+J147</f>
        <v>5546358.4400000004</v>
      </c>
      <c r="L147" s="31">
        <v>88917.759999999995</v>
      </c>
      <c r="M147" s="2"/>
    </row>
    <row r="148" spans="1:13">
      <c r="A148" s="109"/>
      <c r="B148" s="97"/>
      <c r="C148" s="30" t="s">
        <v>13</v>
      </c>
      <c r="D148" s="31">
        <v>0</v>
      </c>
      <c r="E148" s="31">
        <v>0</v>
      </c>
      <c r="F148" s="31">
        <f>SUM(D148:E148)</f>
        <v>0</v>
      </c>
      <c r="G148" s="31">
        <v>0</v>
      </c>
      <c r="H148" s="30">
        <v>0</v>
      </c>
      <c r="I148" s="30">
        <v>0</v>
      </c>
      <c r="J148" s="30">
        <v>0</v>
      </c>
      <c r="K148" s="31">
        <f>D148+E148+G148+H148+I148+J148</f>
        <v>0</v>
      </c>
      <c r="L148" s="31">
        <v>0</v>
      </c>
      <c r="M148" s="2"/>
    </row>
    <row r="149" spans="1:13">
      <c r="A149" s="109"/>
      <c r="B149" s="97"/>
      <c r="C149" s="30" t="s">
        <v>14</v>
      </c>
      <c r="D149" s="31">
        <v>0</v>
      </c>
      <c r="E149" s="31">
        <v>0</v>
      </c>
      <c r="F149" s="31">
        <f>SUM(D149:E149)</f>
        <v>0</v>
      </c>
      <c r="G149" s="31">
        <v>0</v>
      </c>
      <c r="H149" s="30">
        <v>0</v>
      </c>
      <c r="I149" s="30">
        <v>0</v>
      </c>
      <c r="J149" s="30">
        <v>0</v>
      </c>
      <c r="K149" s="31">
        <f>D149+E149+G149+H149+I149+J149</f>
        <v>0</v>
      </c>
      <c r="L149" s="31">
        <v>0</v>
      </c>
      <c r="M149" s="2"/>
    </row>
    <row r="150" spans="1:13">
      <c r="A150" s="109"/>
      <c r="B150" s="98"/>
      <c r="C150" s="30" t="s">
        <v>23</v>
      </c>
      <c r="D150" s="31">
        <v>0</v>
      </c>
      <c r="E150" s="31">
        <v>0</v>
      </c>
      <c r="F150" s="31">
        <v>0</v>
      </c>
      <c r="G150" s="31">
        <v>0</v>
      </c>
      <c r="H150" s="31">
        <f>H147-H149</f>
        <v>0</v>
      </c>
      <c r="I150" s="31">
        <f>I147-I149</f>
        <v>0</v>
      </c>
      <c r="J150" s="31">
        <f>J147-J149</f>
        <v>0</v>
      </c>
      <c r="K150" s="31">
        <v>0</v>
      </c>
      <c r="L150" s="31">
        <v>0</v>
      </c>
      <c r="M150" s="2"/>
    </row>
    <row r="151" spans="1:13">
      <c r="A151" s="109"/>
      <c r="B151" s="97" t="s">
        <v>35</v>
      </c>
      <c r="C151" s="30" t="s">
        <v>12</v>
      </c>
      <c r="D151" s="31">
        <v>202627.55</v>
      </c>
      <c r="E151" s="31">
        <v>30091.89</v>
      </c>
      <c r="F151" s="31">
        <f>SUM(D151:E151)</f>
        <v>232719.44</v>
      </c>
      <c r="G151" s="31">
        <v>1418</v>
      </c>
      <c r="H151" s="30">
        <v>0</v>
      </c>
      <c r="I151" s="30">
        <v>0</v>
      </c>
      <c r="J151" s="30">
        <v>0</v>
      </c>
      <c r="K151" s="31">
        <f>D151+E151+G151+H151+I151+J151</f>
        <v>234137.44</v>
      </c>
      <c r="L151" s="31">
        <v>0</v>
      </c>
      <c r="M151" s="2"/>
    </row>
    <row r="152" spans="1:13">
      <c r="A152" s="109"/>
      <c r="B152" s="97"/>
      <c r="C152" s="30" t="s">
        <v>13</v>
      </c>
      <c r="D152" s="31">
        <v>0</v>
      </c>
      <c r="E152" s="31">
        <v>0</v>
      </c>
      <c r="F152" s="31">
        <f>SUM(D152:E152)</f>
        <v>0</v>
      </c>
      <c r="G152" s="31">
        <v>0</v>
      </c>
      <c r="H152" s="30">
        <v>0</v>
      </c>
      <c r="I152" s="30">
        <v>0</v>
      </c>
      <c r="J152" s="30">
        <v>0</v>
      </c>
      <c r="K152" s="31">
        <f>D152+E152+G152+H152+I152+J152</f>
        <v>0</v>
      </c>
      <c r="L152" s="31">
        <v>0</v>
      </c>
      <c r="M152" s="2"/>
    </row>
    <row r="153" spans="1:13">
      <c r="A153" s="109"/>
      <c r="B153" s="97"/>
      <c r="C153" s="30" t="s">
        <v>14</v>
      </c>
      <c r="D153" s="31">
        <v>0</v>
      </c>
      <c r="E153" s="31">
        <v>0</v>
      </c>
      <c r="F153" s="31">
        <f>SUM(D153:E153)</f>
        <v>0</v>
      </c>
      <c r="G153" s="31">
        <v>0</v>
      </c>
      <c r="H153" s="30">
        <v>0</v>
      </c>
      <c r="I153" s="30">
        <v>0</v>
      </c>
      <c r="J153" s="30">
        <v>0</v>
      </c>
      <c r="K153" s="31">
        <f>D153+E153+G153+H153+I153+J153</f>
        <v>0</v>
      </c>
      <c r="L153" s="31">
        <v>0</v>
      </c>
      <c r="M153" s="2"/>
    </row>
    <row r="154" spans="1:13">
      <c r="A154" s="109"/>
      <c r="B154" s="98"/>
      <c r="C154" s="30" t="s">
        <v>23</v>
      </c>
      <c r="D154" s="31">
        <f>D151-D153</f>
        <v>202627.55</v>
      </c>
      <c r="E154" s="31">
        <f t="shared" ref="E154:L154" si="49">E151-E153</f>
        <v>30091.89</v>
      </c>
      <c r="F154" s="31">
        <f t="shared" si="49"/>
        <v>232719.44</v>
      </c>
      <c r="G154" s="31">
        <f t="shared" si="49"/>
        <v>1418</v>
      </c>
      <c r="H154" s="31">
        <f t="shared" si="49"/>
        <v>0</v>
      </c>
      <c r="I154" s="31">
        <f t="shared" si="49"/>
        <v>0</v>
      </c>
      <c r="J154" s="31">
        <f t="shared" si="49"/>
        <v>0</v>
      </c>
      <c r="K154" s="31">
        <f t="shared" si="49"/>
        <v>234137.44</v>
      </c>
      <c r="L154" s="31">
        <f t="shared" si="49"/>
        <v>0</v>
      </c>
      <c r="M154" s="2"/>
    </row>
    <row r="155" spans="1:13">
      <c r="A155" s="109"/>
      <c r="B155" s="97" t="s">
        <v>36</v>
      </c>
      <c r="C155" s="30" t="s">
        <v>12</v>
      </c>
      <c r="D155" s="31">
        <v>202627.55</v>
      </c>
      <c r="E155" s="31">
        <v>30091.89</v>
      </c>
      <c r="F155" s="31">
        <f>SUM(D155:E155)</f>
        <v>232719.44</v>
      </c>
      <c r="G155" s="31">
        <v>1418</v>
      </c>
      <c r="H155" s="30">
        <v>0</v>
      </c>
      <c r="I155" s="30">
        <v>0</v>
      </c>
      <c r="J155" s="30">
        <v>0</v>
      </c>
      <c r="K155" s="31">
        <f>D155+E155+G155+H155+I155+J155</f>
        <v>234137.44</v>
      </c>
      <c r="L155" s="31">
        <v>0</v>
      </c>
      <c r="M155" s="2"/>
    </row>
    <row r="156" spans="1:13">
      <c r="A156" s="109"/>
      <c r="B156" s="97"/>
      <c r="C156" s="30" t="s">
        <v>13</v>
      </c>
      <c r="D156" s="31">
        <v>0</v>
      </c>
      <c r="E156" s="31">
        <v>0</v>
      </c>
      <c r="F156" s="31">
        <f>SUM(D156:E156)</f>
        <v>0</v>
      </c>
      <c r="G156" s="31">
        <v>0</v>
      </c>
      <c r="H156" s="30">
        <v>0</v>
      </c>
      <c r="I156" s="30">
        <v>0</v>
      </c>
      <c r="J156" s="30">
        <v>0</v>
      </c>
      <c r="K156" s="31">
        <f>D156+E156+G156+H156+I156+J156</f>
        <v>0</v>
      </c>
      <c r="L156" s="31">
        <v>0</v>
      </c>
      <c r="M156" s="2"/>
    </row>
    <row r="157" spans="1:13">
      <c r="A157" s="109"/>
      <c r="B157" s="97"/>
      <c r="C157" s="30" t="s">
        <v>14</v>
      </c>
      <c r="D157" s="31">
        <v>0</v>
      </c>
      <c r="E157" s="31">
        <v>0</v>
      </c>
      <c r="F157" s="31">
        <f>SUM(D157:E157)</f>
        <v>0</v>
      </c>
      <c r="G157" s="31">
        <v>0</v>
      </c>
      <c r="H157" s="30">
        <v>0</v>
      </c>
      <c r="I157" s="30">
        <v>0</v>
      </c>
      <c r="J157" s="30">
        <v>0</v>
      </c>
      <c r="K157" s="31">
        <f>D157+E157+G157+H157+I157+J157</f>
        <v>0</v>
      </c>
      <c r="L157" s="31">
        <v>0</v>
      </c>
      <c r="M157" s="2"/>
    </row>
    <row r="158" spans="1:13">
      <c r="A158" s="109"/>
      <c r="B158" s="98"/>
      <c r="C158" s="30" t="s">
        <v>23</v>
      </c>
      <c r="D158" s="31">
        <f>D155-D157</f>
        <v>202627.55</v>
      </c>
      <c r="E158" s="31">
        <f t="shared" ref="E158:L158" si="50">E155-E157</f>
        <v>30091.89</v>
      </c>
      <c r="F158" s="31">
        <f t="shared" si="50"/>
        <v>232719.44</v>
      </c>
      <c r="G158" s="31">
        <f t="shared" si="50"/>
        <v>1418</v>
      </c>
      <c r="H158" s="31">
        <f t="shared" si="50"/>
        <v>0</v>
      </c>
      <c r="I158" s="31">
        <f t="shared" si="50"/>
        <v>0</v>
      </c>
      <c r="J158" s="31">
        <f t="shared" si="50"/>
        <v>0</v>
      </c>
      <c r="K158" s="31">
        <f t="shared" si="50"/>
        <v>234137.44</v>
      </c>
      <c r="L158" s="31">
        <f t="shared" si="50"/>
        <v>0</v>
      </c>
      <c r="M158" s="2"/>
    </row>
    <row r="159" spans="1:13">
      <c r="A159" s="109"/>
      <c r="B159" s="106" t="s">
        <v>37</v>
      </c>
      <c r="C159" s="30" t="s">
        <v>12</v>
      </c>
      <c r="D159" s="31">
        <f>D147+D151+D155</f>
        <v>5016329.84</v>
      </c>
      <c r="E159" s="31">
        <f t="shared" ref="E159:L159" si="51">E147+E151+E155</f>
        <v>594730.48</v>
      </c>
      <c r="F159" s="31">
        <f t="shared" si="51"/>
        <v>5611060.3200000012</v>
      </c>
      <c r="G159" s="31">
        <f t="shared" si="51"/>
        <v>403573</v>
      </c>
      <c r="H159" s="31">
        <f t="shared" si="51"/>
        <v>0</v>
      </c>
      <c r="I159" s="31">
        <f t="shared" si="51"/>
        <v>0</v>
      </c>
      <c r="J159" s="31">
        <f t="shared" si="51"/>
        <v>0</v>
      </c>
      <c r="K159" s="31">
        <f t="shared" si="51"/>
        <v>6014633.3200000012</v>
      </c>
      <c r="L159" s="31">
        <f t="shared" si="51"/>
        <v>88917.759999999995</v>
      </c>
      <c r="M159" s="2"/>
    </row>
    <row r="160" spans="1:13">
      <c r="A160" s="109"/>
      <c r="B160" s="106"/>
      <c r="C160" s="30" t="s">
        <v>13</v>
      </c>
      <c r="D160" s="31">
        <f t="shared" ref="D160:L162" si="52">D148+D152+D156</f>
        <v>0</v>
      </c>
      <c r="E160" s="31">
        <f t="shared" si="52"/>
        <v>0</v>
      </c>
      <c r="F160" s="31">
        <f t="shared" si="52"/>
        <v>0</v>
      </c>
      <c r="G160" s="31">
        <f t="shared" si="52"/>
        <v>0</v>
      </c>
      <c r="H160" s="31">
        <f t="shared" si="52"/>
        <v>0</v>
      </c>
      <c r="I160" s="31">
        <f t="shared" si="52"/>
        <v>0</v>
      </c>
      <c r="J160" s="31">
        <f t="shared" si="52"/>
        <v>0</v>
      </c>
      <c r="K160" s="31">
        <f t="shared" si="52"/>
        <v>0</v>
      </c>
      <c r="L160" s="31">
        <f t="shared" si="52"/>
        <v>0</v>
      </c>
      <c r="M160" s="2"/>
    </row>
    <row r="161" spans="1:13">
      <c r="A161" s="109"/>
      <c r="B161" s="106"/>
      <c r="C161" s="30" t="s">
        <v>14</v>
      </c>
      <c r="D161" s="31">
        <f t="shared" si="52"/>
        <v>0</v>
      </c>
      <c r="E161" s="31">
        <f t="shared" si="52"/>
        <v>0</v>
      </c>
      <c r="F161" s="31">
        <f t="shared" si="52"/>
        <v>0</v>
      </c>
      <c r="G161" s="31">
        <f t="shared" si="52"/>
        <v>0</v>
      </c>
      <c r="H161" s="31">
        <f t="shared" si="52"/>
        <v>0</v>
      </c>
      <c r="I161" s="31">
        <f t="shared" si="52"/>
        <v>0</v>
      </c>
      <c r="J161" s="31">
        <f t="shared" si="52"/>
        <v>0</v>
      </c>
      <c r="K161" s="31">
        <f t="shared" si="52"/>
        <v>0</v>
      </c>
      <c r="L161" s="31">
        <f t="shared" si="52"/>
        <v>0</v>
      </c>
      <c r="M161" s="2"/>
    </row>
    <row r="162" spans="1:13">
      <c r="A162" s="109"/>
      <c r="B162" s="106"/>
      <c r="C162" s="30" t="s">
        <v>38</v>
      </c>
      <c r="D162" s="31">
        <v>0</v>
      </c>
      <c r="E162" s="31">
        <v>0</v>
      </c>
      <c r="F162" s="31">
        <v>0</v>
      </c>
      <c r="G162" s="31">
        <v>0</v>
      </c>
      <c r="H162" s="31">
        <f t="shared" si="52"/>
        <v>0</v>
      </c>
      <c r="I162" s="31">
        <f t="shared" si="52"/>
        <v>0</v>
      </c>
      <c r="J162" s="31">
        <f t="shared" si="52"/>
        <v>0</v>
      </c>
      <c r="K162" s="31">
        <v>0</v>
      </c>
      <c r="L162" s="31">
        <f t="shared" si="52"/>
        <v>0</v>
      </c>
      <c r="M162" s="2"/>
    </row>
    <row r="163" spans="1:13">
      <c r="A163" s="109"/>
      <c r="B163" s="106" t="s">
        <v>39</v>
      </c>
      <c r="C163" s="16" t="s">
        <v>12</v>
      </c>
      <c r="D163" s="17">
        <f>D142+D159</f>
        <v>18849554.060000002</v>
      </c>
      <c r="E163" s="17">
        <f t="shared" ref="E163:L163" si="53">E142+E159</f>
        <v>2198370.58</v>
      </c>
      <c r="F163" s="17">
        <f t="shared" si="53"/>
        <v>21047924.640000001</v>
      </c>
      <c r="G163" s="17">
        <f t="shared" si="53"/>
        <v>1605784</v>
      </c>
      <c r="H163" s="17">
        <f t="shared" si="53"/>
        <v>0</v>
      </c>
      <c r="I163" s="17">
        <f t="shared" si="53"/>
        <v>0</v>
      </c>
      <c r="J163" s="17">
        <f t="shared" si="53"/>
        <v>0</v>
      </c>
      <c r="K163" s="17">
        <f t="shared" si="53"/>
        <v>22653708.640000001</v>
      </c>
      <c r="L163" s="17">
        <f t="shared" si="53"/>
        <v>962053.96</v>
      </c>
      <c r="M163" s="2"/>
    </row>
    <row r="164" spans="1:13">
      <c r="A164" s="109"/>
      <c r="B164" s="106"/>
      <c r="C164" s="16" t="s">
        <v>13</v>
      </c>
      <c r="D164" s="17">
        <f t="shared" ref="D164:L166" si="54">D143+D160</f>
        <v>8481435.4299999997</v>
      </c>
      <c r="E164" s="17">
        <f t="shared" si="54"/>
        <v>470689.03</v>
      </c>
      <c r="F164" s="17">
        <f t="shared" si="54"/>
        <v>8952124.4600000009</v>
      </c>
      <c r="G164" s="17">
        <f t="shared" si="54"/>
        <v>647716</v>
      </c>
      <c r="H164" s="17">
        <f t="shared" si="54"/>
        <v>0</v>
      </c>
      <c r="I164" s="17">
        <f t="shared" si="54"/>
        <v>0</v>
      </c>
      <c r="J164" s="17">
        <f t="shared" si="54"/>
        <v>0</v>
      </c>
      <c r="K164" s="17">
        <f t="shared" si="54"/>
        <v>9599840.4600000009</v>
      </c>
      <c r="L164" s="17">
        <f t="shared" si="54"/>
        <v>474705</v>
      </c>
      <c r="M164" s="2"/>
    </row>
    <row r="165" spans="1:13">
      <c r="A165" s="109"/>
      <c r="B165" s="106"/>
      <c r="C165" s="16" t="s">
        <v>14</v>
      </c>
      <c r="D165" s="17">
        <f t="shared" si="54"/>
        <v>8481435.4299999997</v>
      </c>
      <c r="E165" s="17">
        <f t="shared" si="54"/>
        <v>470689.03</v>
      </c>
      <c r="F165" s="17">
        <f t="shared" si="54"/>
        <v>8952124.4600000009</v>
      </c>
      <c r="G165" s="17">
        <f t="shared" si="54"/>
        <v>647716</v>
      </c>
      <c r="H165" s="17">
        <f t="shared" si="54"/>
        <v>0</v>
      </c>
      <c r="I165" s="17">
        <f t="shared" si="54"/>
        <v>0</v>
      </c>
      <c r="J165" s="17">
        <f t="shared" si="54"/>
        <v>0</v>
      </c>
      <c r="K165" s="17">
        <f t="shared" si="54"/>
        <v>9599840.4600000009</v>
      </c>
      <c r="L165" s="17">
        <f t="shared" si="54"/>
        <v>474705</v>
      </c>
      <c r="M165" s="2"/>
    </row>
    <row r="166" spans="1:13">
      <c r="A166" s="109"/>
      <c r="B166" s="106"/>
      <c r="C166" s="16" t="s">
        <v>33</v>
      </c>
      <c r="D166" s="17">
        <f>D145+D162</f>
        <v>8481435.4299999997</v>
      </c>
      <c r="E166" s="17">
        <f t="shared" si="54"/>
        <v>470689.03</v>
      </c>
      <c r="F166" s="17">
        <f t="shared" si="54"/>
        <v>8952124.4600000009</v>
      </c>
      <c r="G166" s="17">
        <f t="shared" si="54"/>
        <v>647716</v>
      </c>
      <c r="H166" s="17">
        <f t="shared" si="54"/>
        <v>0</v>
      </c>
      <c r="I166" s="17">
        <f t="shared" si="54"/>
        <v>0</v>
      </c>
      <c r="J166" s="17">
        <f t="shared" si="54"/>
        <v>0</v>
      </c>
      <c r="K166" s="17">
        <f t="shared" si="54"/>
        <v>9599840.4600000009</v>
      </c>
      <c r="L166" s="17">
        <f t="shared" si="54"/>
        <v>474705</v>
      </c>
      <c r="M166" s="2"/>
    </row>
    <row r="167" spans="1:13">
      <c r="A167" s="110"/>
      <c r="B167" s="107" t="s">
        <v>40</v>
      </c>
      <c r="C167" s="25" t="s">
        <v>12</v>
      </c>
      <c r="D167" s="26">
        <f t="shared" ref="D167:L167" si="55">D122+D163</f>
        <v>39963389.370000005</v>
      </c>
      <c r="E167" s="26">
        <f t="shared" si="55"/>
        <v>3721668.09</v>
      </c>
      <c r="F167" s="26">
        <f t="shared" si="55"/>
        <v>43685057.460000001</v>
      </c>
      <c r="G167" s="26">
        <f t="shared" si="55"/>
        <v>3444835.37</v>
      </c>
      <c r="H167" s="26">
        <f t="shared" si="55"/>
        <v>478666.31000000006</v>
      </c>
      <c r="I167" s="26">
        <f t="shared" si="55"/>
        <v>0</v>
      </c>
      <c r="J167" s="26">
        <f t="shared" si="55"/>
        <v>0</v>
      </c>
      <c r="K167" s="26">
        <f t="shared" si="55"/>
        <v>47608559.140000001</v>
      </c>
      <c r="L167" s="26">
        <f t="shared" si="55"/>
        <v>2313733.96</v>
      </c>
      <c r="M167" s="2"/>
    </row>
    <row r="168" spans="1:13">
      <c r="A168" s="110"/>
      <c r="B168" s="107"/>
      <c r="C168" s="25" t="s">
        <v>13</v>
      </c>
      <c r="D168" s="26">
        <f>D126+D164</f>
        <v>33129387.199999999</v>
      </c>
      <c r="E168" s="26">
        <f t="shared" ref="E168:L168" si="56">E126+E164</f>
        <v>1993986.54</v>
      </c>
      <c r="F168" s="26">
        <f t="shared" si="56"/>
        <v>35123373.740000002</v>
      </c>
      <c r="G168" s="26">
        <f t="shared" si="56"/>
        <v>2486767.37</v>
      </c>
      <c r="H168" s="26">
        <f t="shared" si="56"/>
        <v>478666.31</v>
      </c>
      <c r="I168" s="26">
        <f t="shared" si="56"/>
        <v>0</v>
      </c>
      <c r="J168" s="26">
        <f t="shared" si="56"/>
        <v>0</v>
      </c>
      <c r="K168" s="26">
        <f t="shared" si="56"/>
        <v>38088807.420000002</v>
      </c>
      <c r="L168" s="26">
        <f t="shared" si="56"/>
        <v>1826385</v>
      </c>
      <c r="M168" s="2"/>
    </row>
    <row r="169" spans="1:13">
      <c r="A169" s="110"/>
      <c r="B169" s="107"/>
      <c r="C169" s="27" t="s">
        <v>14</v>
      </c>
      <c r="D169" s="26">
        <f>D128+D165</f>
        <v>29595270.740000002</v>
      </c>
      <c r="E169" s="26">
        <f t="shared" ref="E169:L169" si="57">E128+E165</f>
        <v>1993986.5400000003</v>
      </c>
      <c r="F169" s="26">
        <f t="shared" si="57"/>
        <v>31589257.279999997</v>
      </c>
      <c r="G169" s="26">
        <f t="shared" si="57"/>
        <v>2486767.37</v>
      </c>
      <c r="H169" s="26">
        <f t="shared" si="57"/>
        <v>478666.31000000006</v>
      </c>
      <c r="I169" s="26">
        <f t="shared" si="57"/>
        <v>0</v>
      </c>
      <c r="J169" s="26">
        <f t="shared" si="57"/>
        <v>0</v>
      </c>
      <c r="K169" s="26">
        <f t="shared" si="57"/>
        <v>34554690.959999993</v>
      </c>
      <c r="L169" s="26">
        <f t="shared" si="57"/>
        <v>1826385</v>
      </c>
      <c r="M169" s="2"/>
    </row>
    <row r="170" spans="1:13">
      <c r="A170" s="114" t="s">
        <v>44</v>
      </c>
      <c r="B170" s="98" t="s">
        <v>11</v>
      </c>
      <c r="C170" s="3" t="s">
        <v>12</v>
      </c>
      <c r="D170" s="6">
        <f>1370640.22+285722.58</f>
        <v>1656362.8</v>
      </c>
      <c r="E170" s="6">
        <f>205576.83-158961.54</f>
        <v>46615.289999999979</v>
      </c>
      <c r="F170" s="5">
        <f>D170+E170</f>
        <v>1702978.09</v>
      </c>
      <c r="G170" s="6">
        <f>306451.07-49640.33</f>
        <v>256810.74</v>
      </c>
      <c r="H170" s="6">
        <v>0</v>
      </c>
      <c r="I170" s="6">
        <v>0</v>
      </c>
      <c r="J170" s="6">
        <v>0</v>
      </c>
      <c r="K170" s="5">
        <f>J170+I170+H170+G170+E170+D170</f>
        <v>1959788.83</v>
      </c>
      <c r="L170" s="7">
        <f>113049+16234</f>
        <v>129283</v>
      </c>
    </row>
    <row r="171" spans="1:13">
      <c r="A171" s="114"/>
      <c r="B171" s="98"/>
      <c r="C171" s="3" t="s">
        <v>13</v>
      </c>
      <c r="D171" s="4">
        <v>1595663.91</v>
      </c>
      <c r="E171" s="4">
        <v>46615.29</v>
      </c>
      <c r="F171" s="5">
        <f>D171+E171</f>
        <v>1642279.2</v>
      </c>
      <c r="G171" s="4">
        <v>256810.74</v>
      </c>
      <c r="H171" s="6">
        <v>0</v>
      </c>
      <c r="I171" s="6">
        <v>0</v>
      </c>
      <c r="J171" s="6">
        <v>0</v>
      </c>
      <c r="K171" s="5">
        <f>J171+I171+H171+G171+E171+D171</f>
        <v>1899089.94</v>
      </c>
      <c r="L171" s="7">
        <v>129283</v>
      </c>
    </row>
    <row r="172" spans="1:13">
      <c r="A172" s="114"/>
      <c r="B172" s="98"/>
      <c r="C172" s="36" t="s">
        <v>14</v>
      </c>
      <c r="D172" s="37">
        <v>1595663.91</v>
      </c>
      <c r="E172" s="37">
        <v>46615.29</v>
      </c>
      <c r="F172" s="37">
        <f>D172+E172</f>
        <v>1642279.2</v>
      </c>
      <c r="G172" s="37">
        <v>256810.74</v>
      </c>
      <c r="H172" s="37">
        <v>0</v>
      </c>
      <c r="I172" s="37">
        <v>0</v>
      </c>
      <c r="J172" s="37">
        <v>0</v>
      </c>
      <c r="K172" s="37">
        <f>J172+I172+H172+G172+E172+D172</f>
        <v>1899089.94</v>
      </c>
      <c r="L172" s="37">
        <v>129283</v>
      </c>
      <c r="M172" s="2"/>
    </row>
    <row r="173" spans="1:13">
      <c r="A173" s="114"/>
      <c r="B173" s="98"/>
      <c r="C173" s="38" t="s">
        <v>15</v>
      </c>
      <c r="D173" s="37">
        <f>D170-D172</f>
        <v>60698.89000000013</v>
      </c>
      <c r="E173" s="37">
        <f t="shared" ref="E173:L173" si="58">E170-E172</f>
        <v>0</v>
      </c>
      <c r="F173" s="37">
        <f t="shared" si="58"/>
        <v>60698.89000000013</v>
      </c>
      <c r="G173" s="37">
        <f t="shared" si="58"/>
        <v>0</v>
      </c>
      <c r="H173" s="37">
        <f t="shared" si="58"/>
        <v>0</v>
      </c>
      <c r="I173" s="37">
        <f t="shared" si="58"/>
        <v>0</v>
      </c>
      <c r="J173" s="37">
        <f t="shared" si="58"/>
        <v>0</v>
      </c>
      <c r="K173" s="37">
        <f t="shared" si="58"/>
        <v>60698.89000000013</v>
      </c>
      <c r="L173" s="37">
        <f t="shared" si="58"/>
        <v>0</v>
      </c>
      <c r="M173" s="2"/>
    </row>
    <row r="174" spans="1:13">
      <c r="A174" s="114"/>
      <c r="B174" s="98" t="s">
        <v>16</v>
      </c>
      <c r="C174" s="38" t="s">
        <v>12</v>
      </c>
      <c r="D174" s="37">
        <f>1370640.22+182199.95-59854.59</f>
        <v>1492985.5799999998</v>
      </c>
      <c r="E174" s="37">
        <f>205576.83-116318.69</f>
        <v>89258.139999999985</v>
      </c>
      <c r="F174" s="37">
        <f>D174+E174</f>
        <v>1582243.7199999997</v>
      </c>
      <c r="G174" s="37">
        <f>306451.07-6713.69-10047.58</f>
        <v>289689.8</v>
      </c>
      <c r="H174" s="37">
        <v>0</v>
      </c>
      <c r="I174" s="37">
        <v>0</v>
      </c>
      <c r="J174" s="37">
        <v>0</v>
      </c>
      <c r="K174" s="37">
        <f>J174+I174+H174+G174+E174+D174</f>
        <v>1871933.5199999998</v>
      </c>
      <c r="L174" s="37">
        <v>113971</v>
      </c>
      <c r="M174" s="2"/>
    </row>
    <row r="175" spans="1:13">
      <c r="A175" s="114"/>
      <c r="B175" s="98"/>
      <c r="C175" s="38" t="s">
        <v>13</v>
      </c>
      <c r="D175" s="37">
        <v>1373187.65</v>
      </c>
      <c r="E175" s="37">
        <v>89258.14</v>
      </c>
      <c r="F175" s="37">
        <f>D175+E175</f>
        <v>1462445.7899999998</v>
      </c>
      <c r="G175" s="37">
        <v>271864.53000000003</v>
      </c>
      <c r="H175" s="37">
        <v>0</v>
      </c>
      <c r="I175" s="37">
        <v>0</v>
      </c>
      <c r="J175" s="37">
        <v>0</v>
      </c>
      <c r="K175" s="37">
        <f>J175+I175+H175+G175+E175+D175</f>
        <v>1734310.3199999998</v>
      </c>
      <c r="L175" s="37">
        <v>113971</v>
      </c>
      <c r="M175" s="2"/>
    </row>
    <row r="176" spans="1:13">
      <c r="A176" s="114"/>
      <c r="B176" s="98"/>
      <c r="C176" s="36" t="s">
        <v>14</v>
      </c>
      <c r="D176" s="37">
        <v>1373187.65</v>
      </c>
      <c r="E176" s="37">
        <v>89258.14</v>
      </c>
      <c r="F176" s="37">
        <f>D176+E176</f>
        <v>1462445.7899999998</v>
      </c>
      <c r="G176" s="37">
        <v>271864.53000000003</v>
      </c>
      <c r="H176" s="37">
        <v>0</v>
      </c>
      <c r="I176" s="37">
        <v>0</v>
      </c>
      <c r="J176" s="37">
        <v>0</v>
      </c>
      <c r="K176" s="37">
        <f>J176+I176+H176+G176+E176+D176</f>
        <v>1734310.3199999998</v>
      </c>
      <c r="L176" s="37">
        <v>113971</v>
      </c>
      <c r="M176" s="2"/>
    </row>
    <row r="177" spans="1:14">
      <c r="A177" s="114"/>
      <c r="B177" s="98"/>
      <c r="C177" s="38" t="s">
        <v>17</v>
      </c>
      <c r="D177" s="37">
        <f>D174-D176</f>
        <v>119797.92999999993</v>
      </c>
      <c r="E177" s="37">
        <f t="shared" ref="E177:J177" si="59">E174-E176</f>
        <v>0</v>
      </c>
      <c r="F177" s="37">
        <f t="shared" si="59"/>
        <v>119797.92999999993</v>
      </c>
      <c r="G177" s="37">
        <f t="shared" si="59"/>
        <v>17825.26999999996</v>
      </c>
      <c r="H177" s="37">
        <f t="shared" si="59"/>
        <v>0</v>
      </c>
      <c r="I177" s="37">
        <f t="shared" si="59"/>
        <v>0</v>
      </c>
      <c r="J177" s="37">
        <f t="shared" si="59"/>
        <v>0</v>
      </c>
      <c r="K177" s="37">
        <f>K174-K176</f>
        <v>137623.19999999995</v>
      </c>
      <c r="L177" s="37">
        <f>L174-L176</f>
        <v>0</v>
      </c>
      <c r="M177" s="2"/>
    </row>
    <row r="178" spans="1:14">
      <c r="A178" s="114"/>
      <c r="B178" s="98" t="s">
        <v>18</v>
      </c>
      <c r="C178" s="38" t="s">
        <v>12</v>
      </c>
      <c r="D178" s="37">
        <v>1958649.01</v>
      </c>
      <c r="E178" s="37">
        <f>205576.83-79628.8</f>
        <v>125948.02999999998</v>
      </c>
      <c r="F178" s="37">
        <f>D178+E178</f>
        <v>2084597.04</v>
      </c>
      <c r="G178" s="37">
        <v>306451.07</v>
      </c>
      <c r="H178" s="37">
        <v>0</v>
      </c>
      <c r="I178" s="37">
        <v>0</v>
      </c>
      <c r="J178" s="37">
        <v>0</v>
      </c>
      <c r="K178" s="37">
        <f>J178+I178+H178+G178+E178+D178</f>
        <v>2391048.11</v>
      </c>
      <c r="L178" s="37">
        <v>136004</v>
      </c>
      <c r="M178" s="2"/>
    </row>
    <row r="179" spans="1:14">
      <c r="A179" s="114"/>
      <c r="B179" s="98"/>
      <c r="C179" s="38" t="s">
        <v>13</v>
      </c>
      <c r="D179" s="37">
        <v>2085124.17</v>
      </c>
      <c r="E179" s="37">
        <v>125964.12</v>
      </c>
      <c r="F179" s="37">
        <f>D179+E179</f>
        <v>2211088.29</v>
      </c>
      <c r="G179" s="37">
        <v>324263.78999999998</v>
      </c>
      <c r="H179" s="37">
        <v>0</v>
      </c>
      <c r="I179" s="37">
        <v>0</v>
      </c>
      <c r="J179" s="37">
        <v>0</v>
      </c>
      <c r="K179" s="37">
        <f>J179+I179+H179+G179+E179+D179</f>
        <v>2535352.08</v>
      </c>
      <c r="L179" s="37">
        <v>136004</v>
      </c>
      <c r="M179" s="2"/>
    </row>
    <row r="180" spans="1:14">
      <c r="A180" s="114"/>
      <c r="B180" s="98"/>
      <c r="C180" s="36" t="s">
        <v>14</v>
      </c>
      <c r="D180" s="37">
        <v>1958247.16</v>
      </c>
      <c r="E180" s="37">
        <v>125964.12</v>
      </c>
      <c r="F180" s="37">
        <f>D180+E180</f>
        <v>2084211.2799999998</v>
      </c>
      <c r="G180" s="37">
        <v>306418.86</v>
      </c>
      <c r="H180" s="37">
        <v>0</v>
      </c>
      <c r="I180" s="37">
        <v>0</v>
      </c>
      <c r="J180" s="37">
        <v>0</v>
      </c>
      <c r="K180" s="37">
        <f>J180+I180+H180+G180+E180+D180</f>
        <v>2390630.1399999997</v>
      </c>
      <c r="L180" s="37">
        <v>136004</v>
      </c>
      <c r="M180" s="2"/>
    </row>
    <row r="181" spans="1:14">
      <c r="A181" s="114"/>
      <c r="B181" s="98"/>
      <c r="C181" s="38" t="s">
        <v>17</v>
      </c>
      <c r="D181" s="37">
        <f>D178-D180</f>
        <v>401.85000000009313</v>
      </c>
      <c r="E181" s="37">
        <f t="shared" ref="E181:J181" si="60">E178-E180</f>
        <v>-16.090000000011059</v>
      </c>
      <c r="F181" s="37">
        <f t="shared" si="60"/>
        <v>385.76000000024214</v>
      </c>
      <c r="G181" s="37">
        <f t="shared" si="60"/>
        <v>32.210000000020955</v>
      </c>
      <c r="H181" s="37">
        <f t="shared" si="60"/>
        <v>0</v>
      </c>
      <c r="I181" s="37">
        <f t="shared" si="60"/>
        <v>0</v>
      </c>
      <c r="J181" s="37">
        <f t="shared" si="60"/>
        <v>0</v>
      </c>
      <c r="K181" s="37">
        <f>K178-K180</f>
        <v>417.97000000020489</v>
      </c>
      <c r="L181" s="37">
        <f>L178-L180</f>
        <v>0</v>
      </c>
      <c r="M181" s="2"/>
    </row>
    <row r="182" spans="1:14">
      <c r="A182" s="114"/>
      <c r="B182" s="105" t="s">
        <v>19</v>
      </c>
      <c r="C182" s="38" t="s">
        <v>12</v>
      </c>
      <c r="D182" s="37">
        <f>D178+D174+D170</f>
        <v>5107997.3899999997</v>
      </c>
      <c r="E182" s="37">
        <f>E178+E174+E170</f>
        <v>261821.45999999996</v>
      </c>
      <c r="F182" s="37">
        <f t="shared" ref="F182:K182" si="61">F178+F174+F170</f>
        <v>5369818.8499999996</v>
      </c>
      <c r="G182" s="37">
        <f t="shared" si="61"/>
        <v>852951.61</v>
      </c>
      <c r="H182" s="37">
        <v>0</v>
      </c>
      <c r="I182" s="37">
        <f t="shared" si="61"/>
        <v>0</v>
      </c>
      <c r="J182" s="37">
        <f t="shared" si="61"/>
        <v>0</v>
      </c>
      <c r="K182" s="37">
        <f t="shared" si="61"/>
        <v>6222770.46</v>
      </c>
      <c r="L182" s="37">
        <f>L178+L174+L170+11506</f>
        <v>390764</v>
      </c>
      <c r="M182" s="2"/>
    </row>
    <row r="183" spans="1:14">
      <c r="A183" s="114"/>
      <c r="B183" s="105"/>
      <c r="C183" s="38" t="s">
        <v>13</v>
      </c>
      <c r="D183" s="37">
        <f t="shared" ref="D183:K184" si="62">D179+D175+D171</f>
        <v>5053975.7299999995</v>
      </c>
      <c r="E183" s="37">
        <f t="shared" si="62"/>
        <v>261837.55000000002</v>
      </c>
      <c r="F183" s="37">
        <f t="shared" si="62"/>
        <v>5315813.28</v>
      </c>
      <c r="G183" s="37">
        <f t="shared" si="62"/>
        <v>852939.06</v>
      </c>
      <c r="H183" s="37">
        <f t="shared" si="62"/>
        <v>0</v>
      </c>
      <c r="I183" s="37">
        <f t="shared" si="62"/>
        <v>0</v>
      </c>
      <c r="J183" s="37">
        <f t="shared" si="62"/>
        <v>0</v>
      </c>
      <c r="K183" s="37">
        <f t="shared" si="62"/>
        <v>6168752.3399999999</v>
      </c>
      <c r="L183" s="37">
        <v>390764</v>
      </c>
      <c r="M183" s="2"/>
    </row>
    <row r="184" spans="1:14">
      <c r="A184" s="114"/>
      <c r="B184" s="105"/>
      <c r="C184" s="36" t="s">
        <v>14</v>
      </c>
      <c r="D184" s="37">
        <f t="shared" si="62"/>
        <v>4927098.72</v>
      </c>
      <c r="E184" s="37">
        <f t="shared" si="62"/>
        <v>261837.55000000002</v>
      </c>
      <c r="F184" s="37">
        <f t="shared" si="62"/>
        <v>5188936.2699999996</v>
      </c>
      <c r="G184" s="37">
        <f t="shared" si="62"/>
        <v>835094.13</v>
      </c>
      <c r="H184" s="37">
        <f t="shared" si="62"/>
        <v>0</v>
      </c>
      <c r="I184" s="37">
        <f t="shared" si="62"/>
        <v>0</v>
      </c>
      <c r="J184" s="37">
        <f t="shared" si="62"/>
        <v>0</v>
      </c>
      <c r="K184" s="37">
        <f t="shared" si="62"/>
        <v>6024030.3999999994</v>
      </c>
      <c r="L184" s="37">
        <v>390764</v>
      </c>
      <c r="M184" s="2"/>
    </row>
    <row r="185" spans="1:14">
      <c r="A185" s="114"/>
      <c r="B185" s="105"/>
      <c r="C185" s="28" t="s">
        <v>45</v>
      </c>
      <c r="D185" s="11">
        <v>5107997.3899999997</v>
      </c>
      <c r="E185" s="11">
        <v>261821.46</v>
      </c>
      <c r="F185" s="11">
        <f>D185+E185</f>
        <v>5369818.8499999996</v>
      </c>
      <c r="G185" s="11">
        <v>852951.61</v>
      </c>
      <c r="H185" s="11">
        <v>0</v>
      </c>
      <c r="I185" s="11">
        <f>I183-I184</f>
        <v>0</v>
      </c>
      <c r="J185" s="11">
        <f>J183-J184</f>
        <v>0</v>
      </c>
      <c r="K185" s="11">
        <f>F185+G185</f>
        <v>6222770.46</v>
      </c>
      <c r="L185" s="11">
        <f>L182</f>
        <v>390764</v>
      </c>
      <c r="M185" s="2"/>
    </row>
    <row r="186" spans="1:14">
      <c r="A186" s="114"/>
      <c r="B186" s="105"/>
      <c r="C186" s="28" t="s">
        <v>43</v>
      </c>
      <c r="D186" s="11">
        <v>180898.67</v>
      </c>
      <c r="E186" s="11">
        <v>-16.09</v>
      </c>
      <c r="F186" s="11">
        <f>D186+E186</f>
        <v>180882.58000000002</v>
      </c>
      <c r="G186" s="11">
        <v>17857.48</v>
      </c>
      <c r="H186" s="11">
        <v>0</v>
      </c>
      <c r="I186" s="11"/>
      <c r="J186" s="11"/>
      <c r="K186" s="11">
        <f>F186+G186</f>
        <v>198740.06000000003</v>
      </c>
      <c r="L186" s="11">
        <v>390764</v>
      </c>
      <c r="M186" s="2"/>
    </row>
    <row r="187" spans="1:14">
      <c r="A187" s="114"/>
      <c r="B187" s="105"/>
      <c r="C187" s="28" t="s">
        <v>22</v>
      </c>
      <c r="D187" s="11">
        <f>D184+D186</f>
        <v>5107997.3899999997</v>
      </c>
      <c r="E187" s="11">
        <f t="shared" ref="E187:K187" si="63">E184+E186</f>
        <v>261821.46000000002</v>
      </c>
      <c r="F187" s="11">
        <f t="shared" si="63"/>
        <v>5369818.8499999996</v>
      </c>
      <c r="G187" s="11">
        <f t="shared" si="63"/>
        <v>852951.61</v>
      </c>
      <c r="H187" s="11">
        <v>0</v>
      </c>
      <c r="I187" s="11">
        <f t="shared" si="63"/>
        <v>0</v>
      </c>
      <c r="J187" s="11">
        <f t="shared" si="63"/>
        <v>0</v>
      </c>
      <c r="K187" s="11">
        <f t="shared" si="63"/>
        <v>6222770.459999999</v>
      </c>
      <c r="L187" s="11">
        <v>390764</v>
      </c>
      <c r="M187" s="2"/>
    </row>
    <row r="188" spans="1:14">
      <c r="A188" s="114"/>
      <c r="B188" s="105"/>
      <c r="C188" s="29" t="s">
        <v>15</v>
      </c>
      <c r="D188" s="11">
        <f>D182-D187</f>
        <v>0</v>
      </c>
      <c r="E188" s="11">
        <f t="shared" ref="E188:K188" si="64">E182-E187</f>
        <v>0</v>
      </c>
      <c r="F188" s="11">
        <f t="shared" si="64"/>
        <v>0</v>
      </c>
      <c r="G188" s="11">
        <f t="shared" si="64"/>
        <v>0</v>
      </c>
      <c r="H188" s="11">
        <f t="shared" si="64"/>
        <v>0</v>
      </c>
      <c r="I188" s="11">
        <f t="shared" si="64"/>
        <v>0</v>
      </c>
      <c r="J188" s="11">
        <f t="shared" si="64"/>
        <v>0</v>
      </c>
      <c r="K188" s="11">
        <f t="shared" si="64"/>
        <v>0</v>
      </c>
      <c r="L188" s="11">
        <f>L181+L177+L173</f>
        <v>0</v>
      </c>
      <c r="M188" s="2"/>
      <c r="N188" s="12"/>
    </row>
    <row r="189" spans="1:14">
      <c r="A189" s="115"/>
      <c r="B189" s="103" t="s">
        <v>24</v>
      </c>
      <c r="C189" s="30" t="s">
        <v>12</v>
      </c>
      <c r="D189" s="31">
        <f>1370640.22+285722.58-47620.43</f>
        <v>1608742.37</v>
      </c>
      <c r="E189" s="31">
        <f>205576.83-136502.09</f>
        <v>69074.739999999991</v>
      </c>
      <c r="F189" s="31">
        <f>D189+E189</f>
        <v>1677817.11</v>
      </c>
      <c r="G189" s="31">
        <f>306451.07-22678.9</f>
        <v>283772.17</v>
      </c>
      <c r="H189" s="31">
        <v>0</v>
      </c>
      <c r="I189" s="31">
        <v>0</v>
      </c>
      <c r="J189" s="31">
        <v>0</v>
      </c>
      <c r="K189" s="31">
        <f>J189+I189+H189+G189+E189+D189</f>
        <v>1961589.28</v>
      </c>
      <c r="L189" s="31">
        <f>112060.14-12796.14</f>
        <v>99264</v>
      </c>
      <c r="M189" s="2"/>
    </row>
    <row r="190" spans="1:14">
      <c r="A190" s="115"/>
      <c r="B190" s="103"/>
      <c r="C190" s="30" t="s">
        <v>13</v>
      </c>
      <c r="D190" s="31">
        <v>1607601.58</v>
      </c>
      <c r="E190" s="31">
        <v>69074.740000000005</v>
      </c>
      <c r="F190" s="31">
        <f>D190+E190</f>
        <v>1676676.32</v>
      </c>
      <c r="G190" s="31">
        <v>270676.69</v>
      </c>
      <c r="H190" s="31">
        <v>0</v>
      </c>
      <c r="I190" s="31">
        <v>0</v>
      </c>
      <c r="J190" s="31">
        <v>0</v>
      </c>
      <c r="K190" s="31">
        <f>J190+I190+H190+G190+E190+D190</f>
        <v>1947353.01</v>
      </c>
      <c r="L190" s="31">
        <v>99264</v>
      </c>
      <c r="M190" s="2"/>
    </row>
    <row r="191" spans="1:14">
      <c r="A191" s="115"/>
      <c r="B191" s="103"/>
      <c r="C191" s="32" t="s">
        <v>14</v>
      </c>
      <c r="D191" s="31">
        <v>1607601.58</v>
      </c>
      <c r="E191" s="31">
        <v>69074.740000000005</v>
      </c>
      <c r="F191" s="31">
        <f>D191+E191</f>
        <v>1676676.32</v>
      </c>
      <c r="G191" s="31">
        <v>270676.69</v>
      </c>
      <c r="H191" s="31">
        <v>0</v>
      </c>
      <c r="I191" s="31">
        <v>0</v>
      </c>
      <c r="J191" s="31">
        <v>0</v>
      </c>
      <c r="K191" s="31">
        <f>J191+I191+H191+G191+E191+D191</f>
        <v>1947353.01</v>
      </c>
      <c r="L191" s="31">
        <v>99264</v>
      </c>
      <c r="M191" s="2"/>
    </row>
    <row r="192" spans="1:14">
      <c r="A192" s="115"/>
      <c r="B192" s="103"/>
      <c r="C192" s="30" t="s">
        <v>15</v>
      </c>
      <c r="D192" s="31">
        <f>D189-D191</f>
        <v>1140.7900000000373</v>
      </c>
      <c r="E192" s="31">
        <f t="shared" ref="E192:L192" si="65">E189-E191</f>
        <v>0</v>
      </c>
      <c r="F192" s="31">
        <f t="shared" si="65"/>
        <v>1140.7900000000373</v>
      </c>
      <c r="G192" s="31">
        <f t="shared" si="65"/>
        <v>13095.479999999981</v>
      </c>
      <c r="H192" s="31">
        <f t="shared" si="65"/>
        <v>0</v>
      </c>
      <c r="I192" s="31">
        <f t="shared" si="65"/>
        <v>0</v>
      </c>
      <c r="J192" s="31">
        <f t="shared" si="65"/>
        <v>0</v>
      </c>
      <c r="K192" s="31">
        <f t="shared" si="65"/>
        <v>14236.270000000019</v>
      </c>
      <c r="L192" s="31">
        <f t="shared" si="65"/>
        <v>0</v>
      </c>
      <c r="M192" s="2"/>
    </row>
    <row r="193" spans="1:13">
      <c r="A193" s="115"/>
      <c r="B193" s="103" t="s">
        <v>25</v>
      </c>
      <c r="C193" s="30" t="s">
        <v>12</v>
      </c>
      <c r="D193" s="31">
        <v>1958649.01</v>
      </c>
      <c r="E193" s="31">
        <f>205576.83-112650.95</f>
        <v>92925.87999999999</v>
      </c>
      <c r="F193" s="31">
        <f>D193+E193</f>
        <v>2051574.89</v>
      </c>
      <c r="G193" s="31">
        <v>306451.07</v>
      </c>
      <c r="H193" s="31">
        <v>0</v>
      </c>
      <c r="I193" s="31">
        <v>0</v>
      </c>
      <c r="J193" s="31">
        <v>0</v>
      </c>
      <c r="K193" s="31">
        <f>J193+I193+H193+G193+E193+D193</f>
        <v>2358025.96</v>
      </c>
      <c r="L193" s="31">
        <f>124856.28+11774.72</f>
        <v>136631</v>
      </c>
      <c r="M193" s="2"/>
    </row>
    <row r="194" spans="1:13">
      <c r="A194" s="115"/>
      <c r="B194" s="103"/>
      <c r="C194" s="30" t="s">
        <v>13</v>
      </c>
      <c r="D194" s="31">
        <v>1989967.73</v>
      </c>
      <c r="E194" s="31">
        <v>92925.88</v>
      </c>
      <c r="F194" s="31">
        <f>D194+E194</f>
        <v>2082893.6099999999</v>
      </c>
      <c r="G194" s="77">
        <v>318140.74</v>
      </c>
      <c r="H194" s="31">
        <v>0</v>
      </c>
      <c r="I194" s="31">
        <v>0</v>
      </c>
      <c r="J194" s="31">
        <v>0</v>
      </c>
      <c r="K194" s="31">
        <f>J194+I194+H194+G194+E194+D194</f>
        <v>2401034.35</v>
      </c>
      <c r="L194" s="79">
        <v>136631</v>
      </c>
      <c r="M194" s="2"/>
    </row>
    <row r="195" spans="1:13">
      <c r="A195" s="115"/>
      <c r="B195" s="103"/>
      <c r="C195" s="32" t="s">
        <v>14</v>
      </c>
      <c r="D195" s="31">
        <v>1958083.78</v>
      </c>
      <c r="E195" s="31">
        <v>92925.88</v>
      </c>
      <c r="F195" s="31">
        <f>D195+E195</f>
        <v>2051009.6600000001</v>
      </c>
      <c r="G195" s="31">
        <v>306425.48</v>
      </c>
      <c r="H195" s="31">
        <v>0</v>
      </c>
      <c r="I195" s="31">
        <v>0</v>
      </c>
      <c r="J195" s="31">
        <v>0</v>
      </c>
      <c r="K195" s="31">
        <f>J195+I195+H195+G195+E195+D195</f>
        <v>2357435.14</v>
      </c>
      <c r="L195" s="31">
        <v>136631</v>
      </c>
      <c r="M195" s="2"/>
    </row>
    <row r="196" spans="1:13">
      <c r="A196" s="115"/>
      <c r="B196" s="103"/>
      <c r="C196" s="30" t="s">
        <v>23</v>
      </c>
      <c r="D196" s="31">
        <f>D193-D195</f>
        <v>565.22999999998137</v>
      </c>
      <c r="E196" s="31">
        <f t="shared" ref="E196:L196" si="66">E193-E195</f>
        <v>0</v>
      </c>
      <c r="F196" s="31">
        <f t="shared" si="66"/>
        <v>565.22999999974854</v>
      </c>
      <c r="G196" s="31">
        <f t="shared" si="66"/>
        <v>25.590000000025611</v>
      </c>
      <c r="H196" s="31">
        <f t="shared" si="66"/>
        <v>0</v>
      </c>
      <c r="I196" s="31">
        <f t="shared" si="66"/>
        <v>0</v>
      </c>
      <c r="J196" s="31">
        <f t="shared" si="66"/>
        <v>0</v>
      </c>
      <c r="K196" s="31">
        <f t="shared" si="66"/>
        <v>590.81999999983236</v>
      </c>
      <c r="L196" s="31">
        <f t="shared" si="66"/>
        <v>0</v>
      </c>
      <c r="M196" s="2"/>
    </row>
    <row r="197" spans="1:13">
      <c r="A197" s="115"/>
      <c r="B197" s="104" t="s">
        <v>26</v>
      </c>
      <c r="C197" s="30" t="s">
        <v>12</v>
      </c>
      <c r="D197" s="31">
        <f>1370640.22+285722.58-24009.35</f>
        <v>1632353.45</v>
      </c>
      <c r="E197" s="31">
        <f>205576.83-107936.59</f>
        <v>97640.239999999991</v>
      </c>
      <c r="F197" s="31">
        <f>D197+E197</f>
        <v>1729993.69</v>
      </c>
      <c r="G197" s="31">
        <v>306451.07</v>
      </c>
      <c r="H197" s="31">
        <v>0</v>
      </c>
      <c r="I197" s="31">
        <v>0</v>
      </c>
      <c r="J197" s="31">
        <v>0</v>
      </c>
      <c r="K197" s="31">
        <f>J197+I197+H197+G197+E197+D197</f>
        <v>2036444.76</v>
      </c>
      <c r="L197" s="31">
        <f>107844+3773</f>
        <v>111617</v>
      </c>
      <c r="M197" s="2"/>
    </row>
    <row r="198" spans="1:13">
      <c r="A198" s="115"/>
      <c r="B198" s="104"/>
      <c r="C198" s="30" t="s">
        <v>13</v>
      </c>
      <c r="D198" s="31">
        <v>1567483.74</v>
      </c>
      <c r="E198" s="31">
        <v>98237.77</v>
      </c>
      <c r="F198" s="31">
        <f>SUM(D198:E198)</f>
        <v>1665721.51</v>
      </c>
      <c r="G198" s="31">
        <v>312825.24</v>
      </c>
      <c r="H198" s="31">
        <v>0</v>
      </c>
      <c r="I198" s="31">
        <v>0</v>
      </c>
      <c r="J198" s="31">
        <v>0</v>
      </c>
      <c r="K198" s="31">
        <f>J198+I198+H198+G198+E198+D198</f>
        <v>1978546.75</v>
      </c>
      <c r="L198" s="31">
        <v>107844</v>
      </c>
      <c r="M198" s="2"/>
    </row>
    <row r="199" spans="1:13">
      <c r="A199" s="115"/>
      <c r="B199" s="104"/>
      <c r="C199" s="32" t="s">
        <v>14</v>
      </c>
      <c r="D199" s="31">
        <f>886304.54+681179.2</f>
        <v>1567483.74</v>
      </c>
      <c r="E199" s="31">
        <v>98237.77</v>
      </c>
      <c r="F199" s="31">
        <f>SUM(D199:E199)</f>
        <v>1665721.51</v>
      </c>
      <c r="G199" s="31">
        <v>306425.78000000003</v>
      </c>
      <c r="H199" s="31">
        <v>0</v>
      </c>
      <c r="I199" s="31">
        <v>0</v>
      </c>
      <c r="J199" s="31">
        <v>0</v>
      </c>
      <c r="K199" s="31">
        <f>J199+I199+H199+G199+E199+D199</f>
        <v>1972147.29</v>
      </c>
      <c r="L199" s="31">
        <v>107844</v>
      </c>
      <c r="M199" s="2"/>
    </row>
    <row r="200" spans="1:13">
      <c r="A200" s="115"/>
      <c r="B200" s="98"/>
      <c r="C200" s="30" t="s">
        <v>23</v>
      </c>
      <c r="D200" s="31">
        <f>D197-D199</f>
        <v>64869.709999999963</v>
      </c>
      <c r="E200" s="31">
        <f t="shared" ref="E200:L200" si="67">E197-E199</f>
        <v>-597.53000000001339</v>
      </c>
      <c r="F200" s="31">
        <f t="shared" si="67"/>
        <v>64272.179999999935</v>
      </c>
      <c r="G200" s="31">
        <f t="shared" si="67"/>
        <v>25.289999999979045</v>
      </c>
      <c r="H200" s="31">
        <f t="shared" si="67"/>
        <v>0</v>
      </c>
      <c r="I200" s="31">
        <f t="shared" si="67"/>
        <v>0</v>
      </c>
      <c r="J200" s="31">
        <f t="shared" si="67"/>
        <v>0</v>
      </c>
      <c r="K200" s="31">
        <f t="shared" si="67"/>
        <v>64297.469999999972</v>
      </c>
      <c r="L200" s="31">
        <f t="shared" si="67"/>
        <v>3773</v>
      </c>
      <c r="M200" s="2"/>
    </row>
    <row r="201" spans="1:13">
      <c r="A201" s="115"/>
      <c r="B201" s="105" t="s">
        <v>27</v>
      </c>
      <c r="C201" s="30" t="s">
        <v>12</v>
      </c>
      <c r="D201" s="31">
        <f t="shared" ref="D201:J201" si="68">D197+D193+D189</f>
        <v>5199744.83</v>
      </c>
      <c r="E201" s="31">
        <f t="shared" si="68"/>
        <v>259640.86</v>
      </c>
      <c r="F201" s="31">
        <f t="shared" si="68"/>
        <v>5459385.6900000004</v>
      </c>
      <c r="G201" s="31">
        <f t="shared" si="68"/>
        <v>896674.31</v>
      </c>
      <c r="H201" s="31">
        <f t="shared" si="68"/>
        <v>0</v>
      </c>
      <c r="I201" s="31">
        <f t="shared" si="68"/>
        <v>0</v>
      </c>
      <c r="J201" s="31">
        <f t="shared" si="68"/>
        <v>0</v>
      </c>
      <c r="K201" s="31">
        <f>J201+I201+H201+G201+E201+D201</f>
        <v>6356060</v>
      </c>
      <c r="L201" s="31">
        <f>L197+L193+L189</f>
        <v>347512</v>
      </c>
      <c r="M201" s="2"/>
    </row>
    <row r="202" spans="1:13">
      <c r="A202" s="115"/>
      <c r="B202" s="105"/>
      <c r="C202" s="30" t="s">
        <v>13</v>
      </c>
      <c r="D202" s="31">
        <f>D198+D194+D190</f>
        <v>5165053.05</v>
      </c>
      <c r="E202" s="31">
        <f>E198+E194+E190</f>
        <v>260238.39</v>
      </c>
      <c r="F202" s="31">
        <f>D202+E202</f>
        <v>5425291.4399999995</v>
      </c>
      <c r="G202" s="31">
        <f>G198+G194+G190</f>
        <v>901642.66999999993</v>
      </c>
      <c r="H202" s="31">
        <v>0</v>
      </c>
      <c r="I202" s="31">
        <f>I198+I194+I190</f>
        <v>0</v>
      </c>
      <c r="J202" s="31">
        <f>J198+J194+J190</f>
        <v>0</v>
      </c>
      <c r="K202" s="31">
        <f>J202+I202+H202+G202+E202+D202</f>
        <v>6326934.1099999994</v>
      </c>
      <c r="L202" s="31">
        <f>L198+L194+L190</f>
        <v>343739</v>
      </c>
      <c r="M202" s="2"/>
    </row>
    <row r="203" spans="1:13">
      <c r="A203" s="115"/>
      <c r="B203" s="105"/>
      <c r="C203" s="32" t="s">
        <v>14</v>
      </c>
      <c r="D203" s="31">
        <f>D199+D195+D191</f>
        <v>5133169.0999999996</v>
      </c>
      <c r="E203" s="31">
        <f t="shared" ref="E203:L204" si="69">E199+E195+E191</f>
        <v>260238.39</v>
      </c>
      <c r="F203" s="31">
        <f t="shared" si="69"/>
        <v>5393407.4900000002</v>
      </c>
      <c r="G203" s="31">
        <f t="shared" si="69"/>
        <v>883527.95</v>
      </c>
      <c r="H203" s="31">
        <f t="shared" si="69"/>
        <v>0</v>
      </c>
      <c r="I203" s="31">
        <f t="shared" si="69"/>
        <v>0</v>
      </c>
      <c r="J203" s="31">
        <f t="shared" si="69"/>
        <v>0</v>
      </c>
      <c r="K203" s="31">
        <f t="shared" si="69"/>
        <v>6276935.4399999995</v>
      </c>
      <c r="L203" s="31">
        <f t="shared" si="69"/>
        <v>343739</v>
      </c>
      <c r="M203" s="2"/>
    </row>
    <row r="204" spans="1:13">
      <c r="A204" s="115"/>
      <c r="B204" s="105"/>
      <c r="C204" s="30" t="s">
        <v>15</v>
      </c>
      <c r="D204" s="31">
        <f>D200+D196+D192</f>
        <v>66575.729999999981</v>
      </c>
      <c r="E204" s="31">
        <f t="shared" si="69"/>
        <v>-597.53000000001339</v>
      </c>
      <c r="F204" s="31">
        <f t="shared" si="69"/>
        <v>65978.199999999721</v>
      </c>
      <c r="G204" s="31">
        <f t="shared" si="69"/>
        <v>13146.359999999986</v>
      </c>
      <c r="H204" s="31">
        <f t="shared" si="69"/>
        <v>0</v>
      </c>
      <c r="I204" s="31">
        <f t="shared" si="69"/>
        <v>0</v>
      </c>
      <c r="J204" s="31">
        <f t="shared" si="69"/>
        <v>0</v>
      </c>
      <c r="K204" s="31">
        <f t="shared" si="69"/>
        <v>79124.559999999823</v>
      </c>
      <c r="L204" s="31">
        <f t="shared" si="69"/>
        <v>3773</v>
      </c>
      <c r="M204" s="2"/>
    </row>
    <row r="205" spans="1:13">
      <c r="A205" s="115"/>
      <c r="B205" s="102" t="s">
        <v>28</v>
      </c>
      <c r="C205" s="16" t="s">
        <v>12</v>
      </c>
      <c r="D205" s="17">
        <f>D182+D201</f>
        <v>10307742.219999999</v>
      </c>
      <c r="E205" s="17">
        <f>E182+E201</f>
        <v>521462.31999999995</v>
      </c>
      <c r="F205" s="17">
        <f>D205+E205</f>
        <v>10829204.539999999</v>
      </c>
      <c r="G205" s="17">
        <f>G182+G201</f>
        <v>1749625.92</v>
      </c>
      <c r="H205" s="17">
        <f>H182+H201</f>
        <v>0</v>
      </c>
      <c r="I205" s="17">
        <f>I182+I201</f>
        <v>0</v>
      </c>
      <c r="J205" s="17">
        <f>J182+J201</f>
        <v>0</v>
      </c>
      <c r="K205" s="17">
        <f>J205+I205+H205+G205+E205+D205</f>
        <v>12578830.459999999</v>
      </c>
      <c r="L205" s="17">
        <f>L182+L201</f>
        <v>738276</v>
      </c>
      <c r="M205" s="2"/>
    </row>
    <row r="206" spans="1:13">
      <c r="A206" s="115"/>
      <c r="B206" s="102"/>
      <c r="C206" s="3" t="s">
        <v>13</v>
      </c>
      <c r="D206" s="4">
        <f>D185+D202</f>
        <v>10273050.439999999</v>
      </c>
      <c r="E206" s="4">
        <f t="shared" ref="E206:K206" si="70">E185+E202</f>
        <v>522059.85</v>
      </c>
      <c r="F206" s="4">
        <f t="shared" si="70"/>
        <v>10795110.289999999</v>
      </c>
      <c r="G206" s="4">
        <f t="shared" si="70"/>
        <v>1754594.2799999998</v>
      </c>
      <c r="H206" s="4">
        <f t="shared" si="70"/>
        <v>0</v>
      </c>
      <c r="I206" s="4">
        <f t="shared" si="70"/>
        <v>0</v>
      </c>
      <c r="J206" s="4">
        <f t="shared" si="70"/>
        <v>0</v>
      </c>
      <c r="K206" s="4">
        <f t="shared" si="70"/>
        <v>12549704.57</v>
      </c>
      <c r="L206" s="7">
        <f>L202+L183</f>
        <v>734503</v>
      </c>
      <c r="M206" s="2"/>
    </row>
    <row r="207" spans="1:13">
      <c r="A207" s="115"/>
      <c r="B207" s="102"/>
      <c r="C207" s="10" t="s">
        <v>14</v>
      </c>
      <c r="D207" s="4">
        <f>D187+D203</f>
        <v>10241166.489999998</v>
      </c>
      <c r="E207" s="4">
        <f t="shared" ref="E207:L208" si="71">E187+E203</f>
        <v>522059.85000000003</v>
      </c>
      <c r="F207" s="4">
        <f t="shared" si="71"/>
        <v>10763226.34</v>
      </c>
      <c r="G207" s="4">
        <f t="shared" si="71"/>
        <v>1736479.56</v>
      </c>
      <c r="H207" s="4">
        <f t="shared" si="71"/>
        <v>0</v>
      </c>
      <c r="I207" s="4">
        <f t="shared" si="71"/>
        <v>0</v>
      </c>
      <c r="J207" s="4">
        <f t="shared" si="71"/>
        <v>0</v>
      </c>
      <c r="K207" s="4">
        <f t="shared" si="71"/>
        <v>12499705.899999999</v>
      </c>
      <c r="L207" s="7">
        <f>L203+L184</f>
        <v>734503</v>
      </c>
      <c r="M207" s="2"/>
    </row>
    <row r="208" spans="1:13">
      <c r="A208" s="115"/>
      <c r="B208" s="102"/>
      <c r="C208" s="3" t="s">
        <v>15</v>
      </c>
      <c r="D208" s="4">
        <f>D188+D204</f>
        <v>66575.729999999981</v>
      </c>
      <c r="E208" s="4">
        <f t="shared" si="71"/>
        <v>-597.53000000001339</v>
      </c>
      <c r="F208" s="4">
        <f t="shared" si="71"/>
        <v>65978.199999999721</v>
      </c>
      <c r="G208" s="4">
        <f t="shared" si="71"/>
        <v>13146.359999999986</v>
      </c>
      <c r="H208" s="4">
        <f t="shared" si="71"/>
        <v>0</v>
      </c>
      <c r="I208" s="4">
        <f t="shared" si="71"/>
        <v>0</v>
      </c>
      <c r="J208" s="4">
        <f t="shared" si="71"/>
        <v>0</v>
      </c>
      <c r="K208" s="4">
        <f t="shared" si="71"/>
        <v>79124.559999999823</v>
      </c>
      <c r="L208" s="4">
        <f t="shared" si="71"/>
        <v>3773</v>
      </c>
      <c r="M208" s="2"/>
    </row>
    <row r="209" spans="1:13">
      <c r="A209" s="115"/>
      <c r="B209" s="98"/>
      <c r="C209" s="34" t="s">
        <v>45</v>
      </c>
      <c r="D209" s="18">
        <v>10307742.220000001</v>
      </c>
      <c r="E209" s="18">
        <v>521462.32</v>
      </c>
      <c r="F209" s="18">
        <f>D209+E209</f>
        <v>10829204.540000001</v>
      </c>
      <c r="G209" s="18">
        <v>1749625.92</v>
      </c>
      <c r="H209" s="18"/>
      <c r="I209" s="18"/>
      <c r="J209" s="18"/>
      <c r="K209" s="18">
        <f>F209+G209</f>
        <v>12578830.460000001</v>
      </c>
      <c r="L209" s="18">
        <v>738276</v>
      </c>
      <c r="M209" s="2"/>
    </row>
    <row r="210" spans="1:13">
      <c r="A210" s="115"/>
      <c r="B210" s="98"/>
      <c r="C210" s="34" t="s">
        <v>43</v>
      </c>
      <c r="D210" s="18">
        <v>66575.73</v>
      </c>
      <c r="E210" s="18">
        <v>-597.53</v>
      </c>
      <c r="F210" s="18">
        <f>D210+E210</f>
        <v>65978.2</v>
      </c>
      <c r="G210" s="18">
        <v>13146.36</v>
      </c>
      <c r="H210" s="18"/>
      <c r="I210" s="18"/>
      <c r="J210" s="18"/>
      <c r="K210" s="18">
        <f>F210+G210</f>
        <v>79124.56</v>
      </c>
      <c r="L210" s="18">
        <v>3773</v>
      </c>
      <c r="M210" s="2"/>
    </row>
    <row r="211" spans="1:13">
      <c r="A211" s="115"/>
      <c r="B211" s="98"/>
      <c r="C211" s="34" t="s">
        <v>22</v>
      </c>
      <c r="D211" s="18">
        <f>D207+D210</f>
        <v>10307742.219999999</v>
      </c>
      <c r="E211" s="18">
        <f t="shared" ref="E211:L211" si="72">E207+E210</f>
        <v>521462.32</v>
      </c>
      <c r="F211" s="18">
        <f>D211+E211</f>
        <v>10829204.539999999</v>
      </c>
      <c r="G211" s="18">
        <f t="shared" si="72"/>
        <v>1749625.9200000002</v>
      </c>
      <c r="H211" s="18">
        <f t="shared" si="72"/>
        <v>0</v>
      </c>
      <c r="I211" s="18">
        <f t="shared" si="72"/>
        <v>0</v>
      </c>
      <c r="J211" s="18">
        <f t="shared" si="72"/>
        <v>0</v>
      </c>
      <c r="K211" s="18">
        <f t="shared" si="72"/>
        <v>12578830.459999999</v>
      </c>
      <c r="L211" s="18">
        <f t="shared" si="72"/>
        <v>738276</v>
      </c>
      <c r="M211" s="2"/>
    </row>
    <row r="212" spans="1:13">
      <c r="A212" s="115"/>
      <c r="B212" s="98"/>
      <c r="C212" s="35" t="s">
        <v>15</v>
      </c>
      <c r="D212" s="18">
        <f>D205-D211</f>
        <v>0</v>
      </c>
      <c r="E212" s="18">
        <f t="shared" ref="E212:L212" si="73">E205-E211</f>
        <v>0</v>
      </c>
      <c r="F212" s="18">
        <f>D212+E212</f>
        <v>0</v>
      </c>
      <c r="G212" s="18">
        <f t="shared" si="73"/>
        <v>0</v>
      </c>
      <c r="H212" s="18">
        <f t="shared" si="73"/>
        <v>0</v>
      </c>
      <c r="I212" s="18">
        <f t="shared" si="73"/>
        <v>0</v>
      </c>
      <c r="J212" s="18">
        <f t="shared" si="73"/>
        <v>0</v>
      </c>
      <c r="K212" s="18">
        <f t="shared" si="73"/>
        <v>0</v>
      </c>
      <c r="L212" s="18">
        <f t="shared" si="73"/>
        <v>0</v>
      </c>
      <c r="M212" s="2"/>
    </row>
    <row r="213" spans="1:13">
      <c r="A213" s="115"/>
      <c r="B213" s="97" t="s">
        <v>29</v>
      </c>
      <c r="C213" s="30" t="s">
        <v>12</v>
      </c>
      <c r="D213" s="31">
        <f>1306939.32+237449.83</f>
        <v>1544389.1500000001</v>
      </c>
      <c r="E213" s="31">
        <v>205867.75</v>
      </c>
      <c r="F213" s="31">
        <f>SUM(D213:E213)</f>
        <v>1750256.9000000001</v>
      </c>
      <c r="G213" s="31">
        <v>352309</v>
      </c>
      <c r="H213" s="30">
        <v>0</v>
      </c>
      <c r="I213" s="30">
        <v>0</v>
      </c>
      <c r="J213" s="30">
        <v>0</v>
      </c>
      <c r="K213" s="31">
        <f>D213+E213+G213+H213+I213+J213</f>
        <v>2102565.9000000004</v>
      </c>
      <c r="L213" s="31">
        <v>112475</v>
      </c>
      <c r="M213" s="2"/>
    </row>
    <row r="214" spans="1:13">
      <c r="A214" s="115"/>
      <c r="B214" s="97"/>
      <c r="C214" s="30" t="s">
        <v>13</v>
      </c>
      <c r="D214" s="31">
        <v>1480319.96</v>
      </c>
      <c r="E214" s="31">
        <v>129389.82</v>
      </c>
      <c r="F214" s="31">
        <f>SUM(D214:E214)</f>
        <v>1609709.78</v>
      </c>
      <c r="G214" s="31">
        <v>312918</v>
      </c>
      <c r="H214" s="30">
        <v>0</v>
      </c>
      <c r="I214" s="30">
        <v>0</v>
      </c>
      <c r="J214" s="30">
        <v>0</v>
      </c>
      <c r="K214" s="31">
        <f>D214+E214+G214+H214+I214+J214</f>
        <v>1922627.78</v>
      </c>
      <c r="L214" s="31">
        <v>112475</v>
      </c>
      <c r="M214" s="2"/>
    </row>
    <row r="215" spans="1:13">
      <c r="A215" s="115"/>
      <c r="B215" s="97"/>
      <c r="C215" s="30" t="s">
        <v>14</v>
      </c>
      <c r="D215" s="31">
        <v>1480319.96</v>
      </c>
      <c r="E215" s="31">
        <v>129389.82</v>
      </c>
      <c r="F215" s="31">
        <f>SUM(D215:E215)</f>
        <v>1609709.78</v>
      </c>
      <c r="G215" s="31">
        <v>312918</v>
      </c>
      <c r="H215" s="30">
        <v>0</v>
      </c>
      <c r="I215" s="30">
        <v>0</v>
      </c>
      <c r="J215" s="30">
        <v>0</v>
      </c>
      <c r="K215" s="31">
        <f>D215+E215+G215+H215+I215+J215</f>
        <v>1922627.78</v>
      </c>
      <c r="L215" s="31">
        <v>112475</v>
      </c>
      <c r="M215" s="2"/>
    </row>
    <row r="216" spans="1:13">
      <c r="A216" s="115"/>
      <c r="B216" s="98"/>
      <c r="C216" s="95" t="s">
        <v>23</v>
      </c>
      <c r="D216" s="82">
        <f>D213-D215</f>
        <v>64069.190000000177</v>
      </c>
      <c r="E216" s="82">
        <f t="shared" ref="E216:L216" si="74">E213-E215</f>
        <v>76477.929999999993</v>
      </c>
      <c r="F216" s="82">
        <f t="shared" si="74"/>
        <v>140547.12000000011</v>
      </c>
      <c r="G216" s="82">
        <f t="shared" si="74"/>
        <v>39391</v>
      </c>
      <c r="H216" s="82">
        <f t="shared" si="74"/>
        <v>0</v>
      </c>
      <c r="I216" s="82">
        <f t="shared" si="74"/>
        <v>0</v>
      </c>
      <c r="J216" s="82">
        <f t="shared" si="74"/>
        <v>0</v>
      </c>
      <c r="K216" s="82">
        <f t="shared" si="74"/>
        <v>179938.12000000034</v>
      </c>
      <c r="L216" s="82">
        <f t="shared" si="74"/>
        <v>0</v>
      </c>
      <c r="M216" s="2"/>
    </row>
    <row r="217" spans="1:13">
      <c r="A217" s="115"/>
      <c r="B217" s="97" t="s">
        <v>30</v>
      </c>
      <c r="C217" s="30" t="s">
        <v>12</v>
      </c>
      <c r="D217" s="31">
        <v>1640913.47</v>
      </c>
      <c r="E217" s="31">
        <v>205867.75</v>
      </c>
      <c r="F217" s="31">
        <f>SUM(D217:E217)</f>
        <v>1846781.22</v>
      </c>
      <c r="G217" s="31">
        <v>352309</v>
      </c>
      <c r="H217" s="30">
        <v>0</v>
      </c>
      <c r="I217" s="30">
        <v>0</v>
      </c>
      <c r="J217" s="30">
        <v>0</v>
      </c>
      <c r="K217" s="31">
        <f>D217+E217+G217+H217+I217+J217</f>
        <v>2199090.2199999997</v>
      </c>
      <c r="L217" s="31">
        <v>117183</v>
      </c>
      <c r="M217" s="2"/>
    </row>
    <row r="218" spans="1:13">
      <c r="A218" s="115"/>
      <c r="B218" s="97"/>
      <c r="C218" s="30" t="s">
        <v>13</v>
      </c>
      <c r="D218" s="31">
        <v>1608087.31</v>
      </c>
      <c r="E218" s="31">
        <v>93026.7</v>
      </c>
      <c r="F218" s="31">
        <f>SUM(D218:E218)</f>
        <v>1701114.01</v>
      </c>
      <c r="G218" s="31">
        <v>303581</v>
      </c>
      <c r="H218" s="30">
        <v>0</v>
      </c>
      <c r="I218" s="30">
        <v>0</v>
      </c>
      <c r="J218" s="30">
        <v>0</v>
      </c>
      <c r="K218" s="31">
        <f>J218+I218+H218+G218+E218+D218</f>
        <v>2004695.01</v>
      </c>
      <c r="L218" s="31">
        <v>117183</v>
      </c>
      <c r="M218" s="2"/>
    </row>
    <row r="219" spans="1:13">
      <c r="A219" s="115"/>
      <c r="B219" s="97"/>
      <c r="C219" s="30" t="s">
        <v>14</v>
      </c>
      <c r="D219" s="31">
        <v>1608087.31</v>
      </c>
      <c r="E219" s="31">
        <v>93026.7</v>
      </c>
      <c r="F219" s="31">
        <f>SUM(D219:E219)</f>
        <v>1701114.01</v>
      </c>
      <c r="G219" s="31">
        <v>303581</v>
      </c>
      <c r="H219" s="30">
        <v>0</v>
      </c>
      <c r="I219" s="30">
        <v>0</v>
      </c>
      <c r="J219" s="30">
        <v>0</v>
      </c>
      <c r="K219" s="31">
        <f>J219+I219+H219+G219+E219+D219</f>
        <v>2004695.01</v>
      </c>
      <c r="L219" s="31">
        <v>117183</v>
      </c>
      <c r="M219" s="2"/>
    </row>
    <row r="220" spans="1:13">
      <c r="A220" s="115"/>
      <c r="B220" s="98"/>
      <c r="C220" s="91" t="s">
        <v>23</v>
      </c>
      <c r="D220" s="82">
        <f>D217-D219</f>
        <v>32826.159999999916</v>
      </c>
      <c r="E220" s="82">
        <f t="shared" ref="E220:L220" si="75">E217-E219</f>
        <v>112841.05</v>
      </c>
      <c r="F220" s="82">
        <f t="shared" si="75"/>
        <v>145667.20999999996</v>
      </c>
      <c r="G220" s="82">
        <f t="shared" si="75"/>
        <v>48728</v>
      </c>
      <c r="H220" s="82">
        <f t="shared" si="75"/>
        <v>0</v>
      </c>
      <c r="I220" s="82">
        <f t="shared" si="75"/>
        <v>0</v>
      </c>
      <c r="J220" s="82">
        <f t="shared" si="75"/>
        <v>0</v>
      </c>
      <c r="K220" s="82">
        <f t="shared" si="75"/>
        <v>194395.20999999973</v>
      </c>
      <c r="L220" s="82">
        <f t="shared" si="75"/>
        <v>0</v>
      </c>
      <c r="M220" s="2"/>
    </row>
    <row r="221" spans="1:13">
      <c r="A221" s="115"/>
      <c r="B221" s="111" t="s">
        <v>31</v>
      </c>
      <c r="C221" s="30" t="s">
        <v>12</v>
      </c>
      <c r="D221" s="31">
        <f>1306939.32+140925.51</f>
        <v>1447864.83</v>
      </c>
      <c r="E221" s="31">
        <v>205867.75</v>
      </c>
      <c r="F221" s="31">
        <f>SUM(D221:E221)</f>
        <v>1653732.58</v>
      </c>
      <c r="G221" s="31">
        <v>352309</v>
      </c>
      <c r="H221" s="30">
        <v>0</v>
      </c>
      <c r="I221" s="30">
        <v>0</v>
      </c>
      <c r="J221" s="30">
        <v>0</v>
      </c>
      <c r="K221" s="31">
        <f>D221+E221+G221+H221+I221+J221</f>
        <v>2006041.58</v>
      </c>
      <c r="L221" s="31">
        <v>251823.91</v>
      </c>
      <c r="M221" s="2"/>
    </row>
    <row r="222" spans="1:13">
      <c r="A222" s="115"/>
      <c r="B222" s="111"/>
      <c r="C222" s="30" t="s">
        <v>13</v>
      </c>
      <c r="D222" s="31">
        <v>0</v>
      </c>
      <c r="E222" s="31">
        <v>0</v>
      </c>
      <c r="F222" s="31">
        <f>SUM(D222:E222)</f>
        <v>0</v>
      </c>
      <c r="G222" s="31">
        <v>0</v>
      </c>
      <c r="H222" s="30">
        <v>0</v>
      </c>
      <c r="I222" s="30">
        <v>0</v>
      </c>
      <c r="J222" s="30">
        <v>0</v>
      </c>
      <c r="K222" s="31">
        <f>J222+I222+H222+G222+E222+D222</f>
        <v>0</v>
      </c>
      <c r="L222" s="31">
        <v>0</v>
      </c>
      <c r="M222" s="2"/>
    </row>
    <row r="223" spans="1:13">
      <c r="A223" s="115"/>
      <c r="B223" s="111"/>
      <c r="C223" s="30" t="s">
        <v>14</v>
      </c>
      <c r="D223" s="31">
        <v>0</v>
      </c>
      <c r="E223" s="31">
        <v>0</v>
      </c>
      <c r="F223" s="31">
        <f>SUM(D223:E223)</f>
        <v>0</v>
      </c>
      <c r="G223" s="31">
        <v>0</v>
      </c>
      <c r="H223" s="30">
        <v>0</v>
      </c>
      <c r="I223" s="30">
        <v>0</v>
      </c>
      <c r="J223" s="30">
        <v>0</v>
      </c>
      <c r="K223" s="31">
        <f>J223+I223+H223+G223+E223+D223</f>
        <v>0</v>
      </c>
      <c r="L223" s="31">
        <v>0</v>
      </c>
      <c r="M223" s="2"/>
    </row>
    <row r="224" spans="1:13">
      <c r="A224" s="115"/>
      <c r="B224" s="112"/>
      <c r="C224" s="91" t="s">
        <v>23</v>
      </c>
      <c r="D224" s="83">
        <v>0</v>
      </c>
      <c r="E224" s="83">
        <v>0</v>
      </c>
      <c r="F224" s="83">
        <v>0</v>
      </c>
      <c r="G224" s="83">
        <v>0</v>
      </c>
      <c r="H224" s="83">
        <f>H221-H223</f>
        <v>0</v>
      </c>
      <c r="I224" s="83">
        <f>I221-I223</f>
        <v>0</v>
      </c>
      <c r="J224" s="83">
        <f>J221-J223</f>
        <v>0</v>
      </c>
      <c r="K224" s="83">
        <v>0</v>
      </c>
      <c r="L224" s="83">
        <v>0</v>
      </c>
      <c r="M224" s="2"/>
    </row>
    <row r="225" spans="1:13">
      <c r="A225" s="115"/>
      <c r="B225" s="97" t="s">
        <v>32</v>
      </c>
      <c r="C225" s="30" t="s">
        <v>12</v>
      </c>
      <c r="D225" s="31">
        <f>D213+D217+D221</f>
        <v>4633167.45</v>
      </c>
      <c r="E225" s="31">
        <f t="shared" ref="E225:L225" si="76">E213+E217+E221</f>
        <v>617603.25</v>
      </c>
      <c r="F225" s="31">
        <f t="shared" si="76"/>
        <v>5250770.7</v>
      </c>
      <c r="G225" s="31">
        <f t="shared" si="76"/>
        <v>1056927</v>
      </c>
      <c r="H225" s="31">
        <f t="shared" si="76"/>
        <v>0</v>
      </c>
      <c r="I225" s="31">
        <f t="shared" si="76"/>
        <v>0</v>
      </c>
      <c r="J225" s="31">
        <f t="shared" si="76"/>
        <v>0</v>
      </c>
      <c r="K225" s="31">
        <f t="shared" si="76"/>
        <v>6307697.7000000002</v>
      </c>
      <c r="L225" s="31">
        <f t="shared" si="76"/>
        <v>481481.91000000003</v>
      </c>
      <c r="M225" s="2"/>
    </row>
    <row r="226" spans="1:13">
      <c r="A226" s="115"/>
      <c r="B226" s="97"/>
      <c r="C226" s="30" t="s">
        <v>13</v>
      </c>
      <c r="D226" s="31">
        <f t="shared" ref="D226:L227" si="77">D214+D218+D222</f>
        <v>3088407.27</v>
      </c>
      <c r="E226" s="31">
        <f t="shared" si="77"/>
        <v>222416.52000000002</v>
      </c>
      <c r="F226" s="31">
        <f t="shared" si="77"/>
        <v>3310823.79</v>
      </c>
      <c r="G226" s="31">
        <f t="shared" si="77"/>
        <v>616499</v>
      </c>
      <c r="H226" s="31">
        <f t="shared" si="77"/>
        <v>0</v>
      </c>
      <c r="I226" s="31">
        <f t="shared" si="77"/>
        <v>0</v>
      </c>
      <c r="J226" s="31">
        <f t="shared" si="77"/>
        <v>0</v>
      </c>
      <c r="K226" s="31">
        <f t="shared" si="77"/>
        <v>3927322.79</v>
      </c>
      <c r="L226" s="31">
        <f t="shared" si="77"/>
        <v>229658</v>
      </c>
      <c r="M226" s="2"/>
    </row>
    <row r="227" spans="1:13">
      <c r="A227" s="115"/>
      <c r="B227" s="97"/>
      <c r="C227" s="30" t="s">
        <v>14</v>
      </c>
      <c r="D227" s="31">
        <f t="shared" si="77"/>
        <v>3088407.27</v>
      </c>
      <c r="E227" s="31">
        <f t="shared" si="77"/>
        <v>222416.52000000002</v>
      </c>
      <c r="F227" s="31">
        <f t="shared" si="77"/>
        <v>3310823.79</v>
      </c>
      <c r="G227" s="31">
        <f t="shared" si="77"/>
        <v>616499</v>
      </c>
      <c r="H227" s="31">
        <f t="shared" si="77"/>
        <v>0</v>
      </c>
      <c r="I227" s="31">
        <f t="shared" si="77"/>
        <v>0</v>
      </c>
      <c r="J227" s="31">
        <f t="shared" si="77"/>
        <v>0</v>
      </c>
      <c r="K227" s="31">
        <f t="shared" si="77"/>
        <v>3927322.79</v>
      </c>
      <c r="L227" s="31">
        <f t="shared" si="77"/>
        <v>229658</v>
      </c>
      <c r="M227" s="2"/>
    </row>
    <row r="228" spans="1:13">
      <c r="A228" s="115"/>
      <c r="B228" s="97"/>
      <c r="C228" s="30" t="s">
        <v>33</v>
      </c>
      <c r="D228" s="31">
        <f>D215+D219+D223</f>
        <v>3088407.27</v>
      </c>
      <c r="E228" s="31">
        <f t="shared" ref="E228:L229" si="78">E215+E219+E223</f>
        <v>222416.52000000002</v>
      </c>
      <c r="F228" s="31">
        <f t="shared" si="78"/>
        <v>3310823.79</v>
      </c>
      <c r="G228" s="31">
        <f t="shared" si="78"/>
        <v>616499</v>
      </c>
      <c r="H228" s="31">
        <f t="shared" si="78"/>
        <v>0</v>
      </c>
      <c r="I228" s="31">
        <f t="shared" si="78"/>
        <v>0</v>
      </c>
      <c r="J228" s="31">
        <f t="shared" si="78"/>
        <v>0</v>
      </c>
      <c r="K228" s="31">
        <f t="shared" si="78"/>
        <v>3927322.79</v>
      </c>
      <c r="L228" s="31">
        <f t="shared" si="78"/>
        <v>229658</v>
      </c>
      <c r="M228" s="2"/>
    </row>
    <row r="229" spans="1:13">
      <c r="A229" s="115"/>
      <c r="B229" s="98"/>
      <c r="C229" s="30" t="s">
        <v>15</v>
      </c>
      <c r="D229" s="31">
        <f>D216+D220+D224</f>
        <v>96895.350000000093</v>
      </c>
      <c r="E229" s="31">
        <f t="shared" si="78"/>
        <v>189318.97999999998</v>
      </c>
      <c r="F229" s="31">
        <f t="shared" si="78"/>
        <v>286214.33000000007</v>
      </c>
      <c r="G229" s="31">
        <f t="shared" si="78"/>
        <v>88119</v>
      </c>
      <c r="H229" s="31">
        <f t="shared" si="78"/>
        <v>0</v>
      </c>
      <c r="I229" s="31">
        <f t="shared" si="78"/>
        <v>0</v>
      </c>
      <c r="J229" s="31">
        <f t="shared" si="78"/>
        <v>0</v>
      </c>
      <c r="K229" s="31">
        <f t="shared" si="78"/>
        <v>374333.33000000007</v>
      </c>
      <c r="L229" s="31">
        <f t="shared" si="78"/>
        <v>0</v>
      </c>
      <c r="M229" s="2"/>
    </row>
    <row r="230" spans="1:13">
      <c r="A230" s="115"/>
      <c r="B230" s="111" t="s">
        <v>34</v>
      </c>
      <c r="C230" s="30" t="s">
        <v>12</v>
      </c>
      <c r="D230" s="31">
        <v>1306939.32</v>
      </c>
      <c r="E230" s="31">
        <v>205867.75</v>
      </c>
      <c r="F230" s="31">
        <f>SUM(D230:E230)</f>
        <v>1512807.07</v>
      </c>
      <c r="G230" s="31">
        <v>352309</v>
      </c>
      <c r="H230" s="30">
        <v>0</v>
      </c>
      <c r="I230" s="30">
        <v>0</v>
      </c>
      <c r="J230" s="30">
        <v>0</v>
      </c>
      <c r="K230" s="31">
        <f>D230+E230+G230+H230+I230+J230</f>
        <v>1865116.07</v>
      </c>
      <c r="L230" s="31">
        <v>49044.72</v>
      </c>
      <c r="M230" s="2"/>
    </row>
    <row r="231" spans="1:13">
      <c r="A231" s="115"/>
      <c r="B231" s="111"/>
      <c r="C231" s="30" t="s">
        <v>13</v>
      </c>
      <c r="D231" s="31">
        <v>0</v>
      </c>
      <c r="E231" s="31">
        <v>0</v>
      </c>
      <c r="F231" s="31">
        <f>SUM(D231:E231)</f>
        <v>0</v>
      </c>
      <c r="G231" s="31">
        <v>0</v>
      </c>
      <c r="H231" s="30">
        <v>0</v>
      </c>
      <c r="I231" s="30">
        <v>0</v>
      </c>
      <c r="J231" s="30">
        <v>0</v>
      </c>
      <c r="K231" s="31">
        <f>D231+E231+G231+H231+I231+J231</f>
        <v>0</v>
      </c>
      <c r="L231" s="31">
        <v>0</v>
      </c>
      <c r="M231" s="2"/>
    </row>
    <row r="232" spans="1:13">
      <c r="A232" s="115"/>
      <c r="B232" s="111"/>
      <c r="C232" s="30" t="s">
        <v>14</v>
      </c>
      <c r="D232" s="31">
        <v>0</v>
      </c>
      <c r="E232" s="31">
        <v>0</v>
      </c>
      <c r="F232" s="31">
        <f>SUM(D232:E232)</f>
        <v>0</v>
      </c>
      <c r="G232" s="31">
        <v>0</v>
      </c>
      <c r="H232" s="30">
        <v>0</v>
      </c>
      <c r="I232" s="30">
        <v>0</v>
      </c>
      <c r="J232" s="30">
        <v>0</v>
      </c>
      <c r="K232" s="31">
        <f>D232+E232+G232+H232+I232+J232</f>
        <v>0</v>
      </c>
      <c r="L232" s="31">
        <v>0</v>
      </c>
      <c r="M232" s="2"/>
    </row>
    <row r="233" spans="1:13">
      <c r="A233" s="115"/>
      <c r="B233" s="112"/>
      <c r="C233" s="30" t="s">
        <v>23</v>
      </c>
      <c r="D233" s="31">
        <v>0</v>
      </c>
      <c r="E233" s="31">
        <v>0</v>
      </c>
      <c r="F233" s="31">
        <v>0</v>
      </c>
      <c r="G233" s="31">
        <v>0</v>
      </c>
      <c r="H233" s="31">
        <f>H230-H232</f>
        <v>0</v>
      </c>
      <c r="I233" s="31">
        <f>I230-I232</f>
        <v>0</v>
      </c>
      <c r="J233" s="31">
        <f>J230-J232</f>
        <v>0</v>
      </c>
      <c r="K233" s="31">
        <v>0</v>
      </c>
      <c r="L233" s="31">
        <f>L230-L232</f>
        <v>49044.72</v>
      </c>
      <c r="M233" s="2"/>
    </row>
    <row r="234" spans="1:13">
      <c r="A234" s="115"/>
      <c r="B234" s="97" t="s">
        <v>35</v>
      </c>
      <c r="C234" s="30" t="s">
        <v>12</v>
      </c>
      <c r="D234" s="31">
        <v>15443.9</v>
      </c>
      <c r="E234" s="31">
        <v>9603.76</v>
      </c>
      <c r="F234" s="31">
        <f>SUM(D234:E234)</f>
        <v>25047.66</v>
      </c>
      <c r="G234" s="31">
        <v>849.22</v>
      </c>
      <c r="H234" s="30">
        <v>0</v>
      </c>
      <c r="I234" s="30">
        <v>0</v>
      </c>
      <c r="J234" s="30">
        <v>0</v>
      </c>
      <c r="K234" s="31">
        <f>D234+E234+G234+H234+I234+J234</f>
        <v>25896.880000000001</v>
      </c>
      <c r="L234" s="31">
        <v>0</v>
      </c>
      <c r="M234" s="2"/>
    </row>
    <row r="235" spans="1:13">
      <c r="A235" s="115"/>
      <c r="B235" s="97"/>
      <c r="C235" s="30" t="s">
        <v>13</v>
      </c>
      <c r="D235" s="31">
        <v>0</v>
      </c>
      <c r="E235" s="31">
        <v>0</v>
      </c>
      <c r="F235" s="31">
        <f>SUM(D235:E235)</f>
        <v>0</v>
      </c>
      <c r="G235" s="31">
        <v>0</v>
      </c>
      <c r="H235" s="30">
        <v>0</v>
      </c>
      <c r="I235" s="30">
        <v>0</v>
      </c>
      <c r="J235" s="30">
        <v>0</v>
      </c>
      <c r="K235" s="31">
        <f>D235+E235+G235+H235+I235+J235</f>
        <v>0</v>
      </c>
      <c r="L235" s="31">
        <v>0</v>
      </c>
      <c r="M235" s="2"/>
    </row>
    <row r="236" spans="1:13">
      <c r="A236" s="115"/>
      <c r="B236" s="97"/>
      <c r="C236" s="30" t="s">
        <v>14</v>
      </c>
      <c r="D236" s="31">
        <v>0</v>
      </c>
      <c r="E236" s="31">
        <v>0</v>
      </c>
      <c r="F236" s="31">
        <f>SUM(D236:E236)</f>
        <v>0</v>
      </c>
      <c r="G236" s="31">
        <v>0</v>
      </c>
      <c r="H236" s="30">
        <v>0</v>
      </c>
      <c r="I236" s="30">
        <v>0</v>
      </c>
      <c r="J236" s="30">
        <v>0</v>
      </c>
      <c r="K236" s="31">
        <f>D236+E236+G236+H236+I236+J236</f>
        <v>0</v>
      </c>
      <c r="L236" s="31">
        <v>0</v>
      </c>
      <c r="M236" s="2"/>
    </row>
    <row r="237" spans="1:13">
      <c r="A237" s="115"/>
      <c r="B237" s="98"/>
      <c r="C237" s="30" t="s">
        <v>23</v>
      </c>
      <c r="D237" s="31">
        <v>0</v>
      </c>
      <c r="E237" s="31">
        <v>0</v>
      </c>
      <c r="F237" s="31">
        <v>0</v>
      </c>
      <c r="G237" s="31">
        <v>0</v>
      </c>
      <c r="H237" s="31">
        <f>H234-H236</f>
        <v>0</v>
      </c>
      <c r="I237" s="31">
        <f>I234-I236</f>
        <v>0</v>
      </c>
      <c r="J237" s="31">
        <f>J234-J236</f>
        <v>0</v>
      </c>
      <c r="K237" s="31">
        <v>0</v>
      </c>
      <c r="L237" s="31">
        <f>L234-L236</f>
        <v>0</v>
      </c>
      <c r="M237" s="2"/>
    </row>
    <row r="238" spans="1:13">
      <c r="A238" s="115"/>
      <c r="B238" s="97" t="s">
        <v>36</v>
      </c>
      <c r="C238" s="30" t="s">
        <v>12</v>
      </c>
      <c r="D238" s="31">
        <v>15443.9</v>
      </c>
      <c r="E238" s="31">
        <v>9603.76</v>
      </c>
      <c r="F238" s="31">
        <f>SUM(D238:E238)</f>
        <v>25047.66</v>
      </c>
      <c r="G238" s="31">
        <v>849.22</v>
      </c>
      <c r="H238" s="30">
        <v>0</v>
      </c>
      <c r="I238" s="30">
        <v>0</v>
      </c>
      <c r="J238" s="30">
        <v>0</v>
      </c>
      <c r="K238" s="31">
        <f>D238+E238+G238+H238+I238+J238</f>
        <v>25896.880000000001</v>
      </c>
      <c r="L238" s="31">
        <v>0</v>
      </c>
      <c r="M238" s="2"/>
    </row>
    <row r="239" spans="1:13">
      <c r="A239" s="115"/>
      <c r="B239" s="97"/>
      <c r="C239" s="30" t="s">
        <v>13</v>
      </c>
      <c r="D239" s="31">
        <v>0</v>
      </c>
      <c r="E239" s="31">
        <v>0</v>
      </c>
      <c r="F239" s="31">
        <f>SUM(D239:E239)</f>
        <v>0</v>
      </c>
      <c r="G239" s="31">
        <v>0</v>
      </c>
      <c r="H239" s="30">
        <v>0</v>
      </c>
      <c r="I239" s="30">
        <v>0</v>
      </c>
      <c r="J239" s="30">
        <v>0</v>
      </c>
      <c r="K239" s="31">
        <f>D239+E239+G239+H239+I239+J239</f>
        <v>0</v>
      </c>
      <c r="L239" s="31">
        <v>0</v>
      </c>
      <c r="M239" s="2"/>
    </row>
    <row r="240" spans="1:13">
      <c r="A240" s="115"/>
      <c r="B240" s="97"/>
      <c r="C240" s="30" t="s">
        <v>14</v>
      </c>
      <c r="D240" s="31">
        <v>0</v>
      </c>
      <c r="E240" s="31">
        <v>0</v>
      </c>
      <c r="F240" s="31">
        <f>SUM(D240:E240)</f>
        <v>0</v>
      </c>
      <c r="G240" s="31">
        <v>0</v>
      </c>
      <c r="H240" s="30">
        <v>0</v>
      </c>
      <c r="I240" s="30">
        <v>0</v>
      </c>
      <c r="J240" s="30">
        <v>0</v>
      </c>
      <c r="K240" s="31">
        <f>D240+E240+G240+H240+I240+J240</f>
        <v>0</v>
      </c>
      <c r="L240" s="31">
        <v>0</v>
      </c>
      <c r="M240" s="2"/>
    </row>
    <row r="241" spans="1:13">
      <c r="A241" s="115"/>
      <c r="B241" s="98"/>
      <c r="C241" s="30" t="s">
        <v>23</v>
      </c>
      <c r="D241" s="31">
        <v>0</v>
      </c>
      <c r="E241" s="31">
        <v>0</v>
      </c>
      <c r="F241" s="31">
        <v>0</v>
      </c>
      <c r="G241" s="31">
        <v>0</v>
      </c>
      <c r="H241" s="31">
        <f>H238-H240</f>
        <v>0</v>
      </c>
      <c r="I241" s="31">
        <f>I238-I240</f>
        <v>0</v>
      </c>
      <c r="J241" s="31">
        <f>J238-J240</f>
        <v>0</v>
      </c>
      <c r="K241" s="31">
        <v>0</v>
      </c>
      <c r="L241" s="31">
        <f>L238-L240</f>
        <v>0</v>
      </c>
      <c r="M241" s="2"/>
    </row>
    <row r="242" spans="1:13">
      <c r="A242" s="115"/>
      <c r="B242" s="106" t="s">
        <v>37</v>
      </c>
      <c r="C242" s="30" t="s">
        <v>12</v>
      </c>
      <c r="D242" s="31">
        <f>D230+D234+D238</f>
        <v>1337827.1199999999</v>
      </c>
      <c r="E242" s="31">
        <f t="shared" ref="E242:L242" si="79">E230+E234+E238</f>
        <v>225075.27000000002</v>
      </c>
      <c r="F242" s="31">
        <f t="shared" si="79"/>
        <v>1562902.39</v>
      </c>
      <c r="G242" s="31">
        <f t="shared" si="79"/>
        <v>354007.43999999994</v>
      </c>
      <c r="H242" s="31">
        <f t="shared" si="79"/>
        <v>0</v>
      </c>
      <c r="I242" s="31">
        <f t="shared" si="79"/>
        <v>0</v>
      </c>
      <c r="J242" s="31">
        <f t="shared" si="79"/>
        <v>0</v>
      </c>
      <c r="K242" s="31">
        <f t="shared" si="79"/>
        <v>1916909.8299999998</v>
      </c>
      <c r="L242" s="31">
        <f t="shared" si="79"/>
        <v>49044.72</v>
      </c>
      <c r="M242" s="2"/>
    </row>
    <row r="243" spans="1:13">
      <c r="A243" s="115"/>
      <c r="B243" s="106"/>
      <c r="C243" s="30" t="s">
        <v>13</v>
      </c>
      <c r="D243" s="31">
        <f t="shared" ref="D243:L245" si="80">D231+D235+D239</f>
        <v>0</v>
      </c>
      <c r="E243" s="31">
        <f t="shared" si="80"/>
        <v>0</v>
      </c>
      <c r="F243" s="31">
        <f t="shared" si="80"/>
        <v>0</v>
      </c>
      <c r="G243" s="31">
        <f t="shared" si="80"/>
        <v>0</v>
      </c>
      <c r="H243" s="31">
        <f t="shared" si="80"/>
        <v>0</v>
      </c>
      <c r="I243" s="31">
        <f t="shared" si="80"/>
        <v>0</v>
      </c>
      <c r="J243" s="31">
        <f t="shared" si="80"/>
        <v>0</v>
      </c>
      <c r="K243" s="31">
        <f t="shared" si="80"/>
        <v>0</v>
      </c>
      <c r="L243" s="31">
        <f t="shared" si="80"/>
        <v>0</v>
      </c>
      <c r="M243" s="2"/>
    </row>
    <row r="244" spans="1:13">
      <c r="A244" s="115"/>
      <c r="B244" s="106"/>
      <c r="C244" s="30" t="s">
        <v>14</v>
      </c>
      <c r="D244" s="31">
        <f t="shared" si="80"/>
        <v>0</v>
      </c>
      <c r="E244" s="31">
        <f t="shared" si="80"/>
        <v>0</v>
      </c>
      <c r="F244" s="31">
        <f t="shared" si="80"/>
        <v>0</v>
      </c>
      <c r="G244" s="31">
        <f t="shared" si="80"/>
        <v>0</v>
      </c>
      <c r="H244" s="31">
        <f t="shared" si="80"/>
        <v>0</v>
      </c>
      <c r="I244" s="31">
        <f t="shared" si="80"/>
        <v>0</v>
      </c>
      <c r="J244" s="31">
        <f t="shared" si="80"/>
        <v>0</v>
      </c>
      <c r="K244" s="31">
        <f t="shared" si="80"/>
        <v>0</v>
      </c>
      <c r="L244" s="31">
        <f t="shared" si="80"/>
        <v>0</v>
      </c>
      <c r="M244" s="2"/>
    </row>
    <row r="245" spans="1:13">
      <c r="A245" s="115"/>
      <c r="B245" s="106"/>
      <c r="C245" s="30" t="s">
        <v>38</v>
      </c>
      <c r="D245" s="31">
        <f t="shared" si="80"/>
        <v>0</v>
      </c>
      <c r="E245" s="31">
        <f t="shared" si="80"/>
        <v>0</v>
      </c>
      <c r="F245" s="31">
        <f t="shared" si="80"/>
        <v>0</v>
      </c>
      <c r="G245" s="31">
        <f t="shared" si="80"/>
        <v>0</v>
      </c>
      <c r="H245" s="31">
        <f t="shared" si="80"/>
        <v>0</v>
      </c>
      <c r="I245" s="31">
        <f t="shared" si="80"/>
        <v>0</v>
      </c>
      <c r="J245" s="31">
        <f t="shared" si="80"/>
        <v>0</v>
      </c>
      <c r="K245" s="31">
        <f t="shared" si="80"/>
        <v>0</v>
      </c>
      <c r="L245" s="31">
        <v>0</v>
      </c>
      <c r="M245" s="2"/>
    </row>
    <row r="246" spans="1:13">
      <c r="A246" s="115"/>
      <c r="B246" s="117" t="s">
        <v>39</v>
      </c>
      <c r="C246" s="16" t="s">
        <v>12</v>
      </c>
      <c r="D246" s="17">
        <f>D225+D242</f>
        <v>5970994.5700000003</v>
      </c>
      <c r="E246" s="17">
        <f t="shared" ref="E246:L246" si="81">E225+E242</f>
        <v>842678.52</v>
      </c>
      <c r="F246" s="17">
        <f t="shared" si="81"/>
        <v>6813673.0899999999</v>
      </c>
      <c r="G246" s="17">
        <f t="shared" si="81"/>
        <v>1410934.44</v>
      </c>
      <c r="H246" s="17">
        <f t="shared" si="81"/>
        <v>0</v>
      </c>
      <c r="I246" s="17">
        <f t="shared" si="81"/>
        <v>0</v>
      </c>
      <c r="J246" s="17">
        <f t="shared" si="81"/>
        <v>0</v>
      </c>
      <c r="K246" s="17">
        <f t="shared" si="81"/>
        <v>8224607.5300000003</v>
      </c>
      <c r="L246" s="17">
        <f t="shared" si="81"/>
        <v>530526.63</v>
      </c>
      <c r="M246" s="2"/>
    </row>
    <row r="247" spans="1:13">
      <c r="A247" s="115"/>
      <c r="B247" s="117"/>
      <c r="C247" s="16" t="s">
        <v>13</v>
      </c>
      <c r="D247" s="17">
        <f t="shared" ref="D247:K249" si="82">D226+D243</f>
        <v>3088407.27</v>
      </c>
      <c r="E247" s="17">
        <f t="shared" si="82"/>
        <v>222416.52000000002</v>
      </c>
      <c r="F247" s="17">
        <f t="shared" si="82"/>
        <v>3310823.79</v>
      </c>
      <c r="G247" s="17">
        <f t="shared" si="82"/>
        <v>616499</v>
      </c>
      <c r="H247" s="17">
        <f t="shared" si="82"/>
        <v>0</v>
      </c>
      <c r="I247" s="17">
        <f t="shared" si="82"/>
        <v>0</v>
      </c>
      <c r="J247" s="17">
        <f t="shared" si="82"/>
        <v>0</v>
      </c>
      <c r="K247" s="17">
        <f t="shared" si="82"/>
        <v>3927322.79</v>
      </c>
      <c r="L247" s="17">
        <f>L226+L243</f>
        <v>229658</v>
      </c>
      <c r="M247" s="2"/>
    </row>
    <row r="248" spans="1:13">
      <c r="A248" s="115"/>
      <c r="B248" s="117"/>
      <c r="C248" s="16" t="s">
        <v>14</v>
      </c>
      <c r="D248" s="17">
        <f t="shared" si="82"/>
        <v>3088407.27</v>
      </c>
      <c r="E248" s="17">
        <f t="shared" si="82"/>
        <v>222416.52000000002</v>
      </c>
      <c r="F248" s="17">
        <f t="shared" si="82"/>
        <v>3310823.79</v>
      </c>
      <c r="G248" s="17">
        <f t="shared" si="82"/>
        <v>616499</v>
      </c>
      <c r="H248" s="17">
        <f t="shared" si="82"/>
        <v>0</v>
      </c>
      <c r="I248" s="17">
        <f t="shared" si="82"/>
        <v>0</v>
      </c>
      <c r="J248" s="17">
        <f t="shared" si="82"/>
        <v>0</v>
      </c>
      <c r="K248" s="17">
        <f t="shared" si="82"/>
        <v>3927322.79</v>
      </c>
      <c r="L248" s="17">
        <f>L227+L243</f>
        <v>229658</v>
      </c>
      <c r="M248" s="2"/>
    </row>
    <row r="249" spans="1:13">
      <c r="A249" s="115"/>
      <c r="B249" s="117"/>
      <c r="C249" s="16" t="s">
        <v>33</v>
      </c>
      <c r="D249" s="17">
        <f>D228+D245</f>
        <v>3088407.27</v>
      </c>
      <c r="E249" s="17">
        <f t="shared" si="82"/>
        <v>222416.52000000002</v>
      </c>
      <c r="F249" s="17">
        <f t="shared" si="82"/>
        <v>3310823.79</v>
      </c>
      <c r="G249" s="17">
        <f t="shared" si="82"/>
        <v>616499</v>
      </c>
      <c r="H249" s="17">
        <f t="shared" si="82"/>
        <v>0</v>
      </c>
      <c r="I249" s="17">
        <f t="shared" si="82"/>
        <v>0</v>
      </c>
      <c r="J249" s="17">
        <f t="shared" si="82"/>
        <v>0</v>
      </c>
      <c r="K249" s="17">
        <f t="shared" si="82"/>
        <v>3927322.79</v>
      </c>
      <c r="L249" s="17">
        <f>L228+L245</f>
        <v>229658</v>
      </c>
      <c r="M249" s="2"/>
    </row>
    <row r="250" spans="1:13">
      <c r="A250" s="116"/>
      <c r="B250" s="118" t="s">
        <v>40</v>
      </c>
      <c r="C250" s="39" t="s">
        <v>12</v>
      </c>
      <c r="D250" s="40">
        <f t="shared" ref="D250:L250" si="83">D205+D246</f>
        <v>16278736.789999999</v>
      </c>
      <c r="E250" s="40">
        <f t="shared" si="83"/>
        <v>1364140.8399999999</v>
      </c>
      <c r="F250" s="40">
        <f t="shared" si="83"/>
        <v>17642877.629999999</v>
      </c>
      <c r="G250" s="40">
        <f t="shared" si="83"/>
        <v>3160560.36</v>
      </c>
      <c r="H250" s="40">
        <f t="shared" si="83"/>
        <v>0</v>
      </c>
      <c r="I250" s="40">
        <f t="shared" si="83"/>
        <v>0</v>
      </c>
      <c r="J250" s="40">
        <f t="shared" si="83"/>
        <v>0</v>
      </c>
      <c r="K250" s="40">
        <f t="shared" si="83"/>
        <v>20803437.989999998</v>
      </c>
      <c r="L250" s="40">
        <f t="shared" si="83"/>
        <v>1268802.6299999999</v>
      </c>
      <c r="M250" s="2"/>
    </row>
    <row r="251" spans="1:13">
      <c r="A251" s="116"/>
      <c r="B251" s="118"/>
      <c r="C251" s="39" t="s">
        <v>13</v>
      </c>
      <c r="D251" s="40">
        <f>D209+D247</f>
        <v>13396149.49</v>
      </c>
      <c r="E251" s="40">
        <f t="shared" ref="E251:L251" si="84">E209+E247</f>
        <v>743878.84000000008</v>
      </c>
      <c r="F251" s="40">
        <f t="shared" si="84"/>
        <v>14140028.330000002</v>
      </c>
      <c r="G251" s="40">
        <f t="shared" si="84"/>
        <v>2366124.92</v>
      </c>
      <c r="H251" s="40">
        <f t="shared" si="84"/>
        <v>0</v>
      </c>
      <c r="I251" s="40">
        <f t="shared" si="84"/>
        <v>0</v>
      </c>
      <c r="J251" s="40">
        <f t="shared" si="84"/>
        <v>0</v>
      </c>
      <c r="K251" s="40">
        <f t="shared" si="84"/>
        <v>16506153.25</v>
      </c>
      <c r="L251" s="40">
        <f t="shared" si="84"/>
        <v>967934</v>
      </c>
      <c r="M251" s="2"/>
    </row>
    <row r="252" spans="1:13">
      <c r="A252" s="116"/>
      <c r="B252" s="118"/>
      <c r="C252" s="41" t="s">
        <v>14</v>
      </c>
      <c r="D252" s="40">
        <f>D211+D248</f>
        <v>13396149.489999998</v>
      </c>
      <c r="E252" s="40">
        <f t="shared" ref="E252:L252" si="85">E211+E248</f>
        <v>743878.84000000008</v>
      </c>
      <c r="F252" s="40">
        <f t="shared" si="85"/>
        <v>14140028.329999998</v>
      </c>
      <c r="G252" s="40">
        <f t="shared" si="85"/>
        <v>2366124.92</v>
      </c>
      <c r="H252" s="40">
        <f t="shared" si="85"/>
        <v>0</v>
      </c>
      <c r="I252" s="40">
        <f t="shared" si="85"/>
        <v>0</v>
      </c>
      <c r="J252" s="40">
        <f t="shared" si="85"/>
        <v>0</v>
      </c>
      <c r="K252" s="40">
        <f t="shared" si="85"/>
        <v>16506153.25</v>
      </c>
      <c r="L252" s="40">
        <f t="shared" si="85"/>
        <v>967934</v>
      </c>
      <c r="M252" s="2"/>
    </row>
    <row r="253" spans="1:13">
      <c r="A253" s="108" t="s">
        <v>46</v>
      </c>
      <c r="B253" s="98" t="s">
        <v>11</v>
      </c>
      <c r="C253" s="30" t="s">
        <v>12</v>
      </c>
      <c r="D253" s="31">
        <f>11439.1+6863.46</f>
        <v>18302.560000000001</v>
      </c>
      <c r="E253" s="31">
        <v>589808.27</v>
      </c>
      <c r="F253" s="31">
        <f>D253+E253</f>
        <v>608110.83000000007</v>
      </c>
      <c r="G253" s="31">
        <v>0</v>
      </c>
      <c r="H253" s="31">
        <v>0</v>
      </c>
      <c r="I253" s="31">
        <v>0</v>
      </c>
      <c r="J253" s="31">
        <v>0</v>
      </c>
      <c r="K253" s="31">
        <f>J253+I253+H253+G253+E253+D253</f>
        <v>608110.83000000007</v>
      </c>
      <c r="L253" s="31">
        <f>103974-13004</f>
        <v>90970</v>
      </c>
    </row>
    <row r="254" spans="1:13">
      <c r="A254" s="108"/>
      <c r="B254" s="98"/>
      <c r="C254" s="30" t="s">
        <v>13</v>
      </c>
      <c r="D254" s="31">
        <v>21381.599999999999</v>
      </c>
      <c r="E254" s="31">
        <v>657590.69999999995</v>
      </c>
      <c r="F254" s="31">
        <f>D254+E254</f>
        <v>678972.29999999993</v>
      </c>
      <c r="G254" s="31">
        <v>0</v>
      </c>
      <c r="H254" s="31">
        <v>0</v>
      </c>
      <c r="I254" s="31">
        <v>0</v>
      </c>
      <c r="J254" s="31">
        <v>0</v>
      </c>
      <c r="K254" s="31">
        <f>J254+I254+H254+G254+E254+D254</f>
        <v>678972.29999999993</v>
      </c>
      <c r="L254" s="31">
        <v>90970</v>
      </c>
    </row>
    <row r="255" spans="1:13">
      <c r="A255" s="108"/>
      <c r="B255" s="98"/>
      <c r="C255" s="32" t="s">
        <v>14</v>
      </c>
      <c r="D255" s="31">
        <v>16224.18</v>
      </c>
      <c r="E255" s="31">
        <v>589705.64</v>
      </c>
      <c r="F255" s="31">
        <f>D255+E255</f>
        <v>605929.82000000007</v>
      </c>
      <c r="G255" s="31">
        <v>0</v>
      </c>
      <c r="H255" s="31">
        <v>0</v>
      </c>
      <c r="I255" s="31">
        <v>0</v>
      </c>
      <c r="J255" s="31">
        <v>0</v>
      </c>
      <c r="K255" s="31">
        <f>J255+I255+H255+G255+E255+D255</f>
        <v>605929.82000000007</v>
      </c>
      <c r="L255" s="31">
        <v>90970</v>
      </c>
      <c r="M255" s="2"/>
    </row>
    <row r="256" spans="1:13">
      <c r="A256" s="108"/>
      <c r="B256" s="98"/>
      <c r="C256" s="30" t="s">
        <v>15</v>
      </c>
      <c r="D256" s="31">
        <f>D253-D255</f>
        <v>2078.380000000001</v>
      </c>
      <c r="E256" s="31">
        <f t="shared" ref="E256:L256" si="86">E253-E255</f>
        <v>102.63000000000466</v>
      </c>
      <c r="F256" s="31">
        <f t="shared" si="86"/>
        <v>2181.0100000000093</v>
      </c>
      <c r="G256" s="31">
        <f t="shared" si="86"/>
        <v>0</v>
      </c>
      <c r="H256" s="31">
        <f t="shared" si="86"/>
        <v>0</v>
      </c>
      <c r="I256" s="31">
        <f t="shared" si="86"/>
        <v>0</v>
      </c>
      <c r="J256" s="31">
        <f t="shared" si="86"/>
        <v>0</v>
      </c>
      <c r="K256" s="31">
        <f t="shared" si="86"/>
        <v>2181.0100000000093</v>
      </c>
      <c r="L256" s="31">
        <f t="shared" si="86"/>
        <v>0</v>
      </c>
      <c r="M256" s="2"/>
    </row>
    <row r="257" spans="1:13">
      <c r="A257" s="108"/>
      <c r="B257" s="98" t="s">
        <v>16</v>
      </c>
      <c r="C257" s="30" t="s">
        <v>12</v>
      </c>
      <c r="D257" s="31">
        <f>11439.1+6863.46</f>
        <v>18302.560000000001</v>
      </c>
      <c r="E257" s="31">
        <v>589808.27</v>
      </c>
      <c r="F257" s="31">
        <f>D257+E257</f>
        <v>608110.83000000007</v>
      </c>
      <c r="G257" s="31">
        <v>0</v>
      </c>
      <c r="H257" s="31">
        <v>0</v>
      </c>
      <c r="I257" s="31">
        <v>0</v>
      </c>
      <c r="J257" s="31">
        <v>0</v>
      </c>
      <c r="K257" s="31">
        <f>J257+I257+H257+G257+E257+D257</f>
        <v>608110.83000000007</v>
      </c>
      <c r="L257" s="31">
        <v>91179</v>
      </c>
      <c r="M257" s="2"/>
    </row>
    <row r="258" spans="1:13">
      <c r="A258" s="108"/>
      <c r="B258" s="98"/>
      <c r="C258" s="30" t="s">
        <v>13</v>
      </c>
      <c r="D258" s="31">
        <v>31476.87</v>
      </c>
      <c r="E258" s="31">
        <v>590438.74</v>
      </c>
      <c r="F258" s="31">
        <f>D258+E258</f>
        <v>621915.61</v>
      </c>
      <c r="G258" s="31">
        <v>0</v>
      </c>
      <c r="H258" s="31">
        <v>0</v>
      </c>
      <c r="I258" s="31">
        <v>0</v>
      </c>
      <c r="J258" s="31">
        <v>0</v>
      </c>
      <c r="K258" s="31">
        <f>J258+I258+H258+G258+E258+D258</f>
        <v>621915.61</v>
      </c>
      <c r="L258" s="31">
        <v>91179</v>
      </c>
      <c r="M258" s="2"/>
    </row>
    <row r="259" spans="1:13">
      <c r="A259" s="108"/>
      <c r="B259" s="98"/>
      <c r="C259" s="32" t="s">
        <v>14</v>
      </c>
      <c r="D259" s="31">
        <v>17758.400000000001</v>
      </c>
      <c r="E259" s="31">
        <v>589705.64</v>
      </c>
      <c r="F259" s="31">
        <f>D259+E259</f>
        <v>607464.04</v>
      </c>
      <c r="G259" s="31">
        <v>0</v>
      </c>
      <c r="H259" s="31">
        <v>0</v>
      </c>
      <c r="I259" s="31">
        <v>0</v>
      </c>
      <c r="J259" s="31">
        <v>0</v>
      </c>
      <c r="K259" s="31">
        <f>J259+I259+H259+G259+E259+D259</f>
        <v>607464.04</v>
      </c>
      <c r="L259" s="31">
        <v>91179</v>
      </c>
      <c r="M259" s="2"/>
    </row>
    <row r="260" spans="1:13">
      <c r="A260" s="108"/>
      <c r="B260" s="98"/>
      <c r="C260" s="30" t="s">
        <v>17</v>
      </c>
      <c r="D260" s="31">
        <f>D257-D259</f>
        <v>544.15999999999985</v>
      </c>
      <c r="E260" s="31">
        <f t="shared" ref="E260:J260" si="87">E257-E259</f>
        <v>102.63000000000466</v>
      </c>
      <c r="F260" s="31">
        <f t="shared" si="87"/>
        <v>646.79000000003725</v>
      </c>
      <c r="G260" s="31">
        <f t="shared" si="87"/>
        <v>0</v>
      </c>
      <c r="H260" s="31">
        <f t="shared" si="87"/>
        <v>0</v>
      </c>
      <c r="I260" s="31">
        <f t="shared" si="87"/>
        <v>0</v>
      </c>
      <c r="J260" s="31">
        <f t="shared" si="87"/>
        <v>0</v>
      </c>
      <c r="K260" s="31">
        <f>K257-K259</f>
        <v>646.79000000003725</v>
      </c>
      <c r="L260" s="31">
        <f>L257-L259</f>
        <v>0</v>
      </c>
      <c r="M260" s="2"/>
    </row>
    <row r="261" spans="1:13">
      <c r="A261" s="108"/>
      <c r="B261" s="98" t="s">
        <v>18</v>
      </c>
      <c r="C261" s="30" t="s">
        <v>12</v>
      </c>
      <c r="D261" s="31">
        <f>11439.1+6863.46</f>
        <v>18302.560000000001</v>
      </c>
      <c r="E261" s="31">
        <f>589808.27-14.65</f>
        <v>589793.62</v>
      </c>
      <c r="F261" s="31">
        <f>D261+E261</f>
        <v>608096.18000000005</v>
      </c>
      <c r="G261" s="31">
        <v>0</v>
      </c>
      <c r="H261" s="31">
        <v>0</v>
      </c>
      <c r="I261" s="31">
        <v>0</v>
      </c>
      <c r="J261" s="31">
        <v>0</v>
      </c>
      <c r="K261" s="31">
        <f>J261+I261+H261+G261+E261+D261</f>
        <v>608096.18000000005</v>
      </c>
      <c r="L261" s="31">
        <v>90794</v>
      </c>
      <c r="M261" s="2"/>
    </row>
    <row r="262" spans="1:13">
      <c r="A262" s="108"/>
      <c r="B262" s="98"/>
      <c r="C262" s="30" t="s">
        <v>13</v>
      </c>
      <c r="D262" s="31">
        <v>32635.439999999999</v>
      </c>
      <c r="E262" s="31">
        <v>652898.86</v>
      </c>
      <c r="F262" s="31">
        <f>D262+E262</f>
        <v>685534.29999999993</v>
      </c>
      <c r="G262" s="31">
        <v>0</v>
      </c>
      <c r="H262" s="31">
        <v>0</v>
      </c>
      <c r="I262" s="31">
        <v>0</v>
      </c>
      <c r="J262" s="31">
        <v>0</v>
      </c>
      <c r="K262" s="31">
        <f>J262+I262+H262+G262+E262+D262</f>
        <v>685534.29999999993</v>
      </c>
      <c r="L262" s="31">
        <v>90794</v>
      </c>
      <c r="M262" s="2"/>
    </row>
    <row r="263" spans="1:13">
      <c r="A263" s="108"/>
      <c r="B263" s="98"/>
      <c r="C263" s="32" t="s">
        <v>14</v>
      </c>
      <c r="D263" s="31">
        <v>17716.64</v>
      </c>
      <c r="E263" s="31">
        <v>589705.64</v>
      </c>
      <c r="F263" s="31">
        <f>D263+E263</f>
        <v>607422.28</v>
      </c>
      <c r="G263" s="31">
        <v>0</v>
      </c>
      <c r="H263" s="31">
        <v>0</v>
      </c>
      <c r="I263" s="31">
        <v>0</v>
      </c>
      <c r="J263" s="31">
        <v>0</v>
      </c>
      <c r="K263" s="31">
        <f>J263+I263+H263+G263+E263+D263</f>
        <v>607422.28</v>
      </c>
      <c r="L263" s="31">
        <v>90794</v>
      </c>
      <c r="M263" s="2"/>
    </row>
    <row r="264" spans="1:13">
      <c r="A264" s="108"/>
      <c r="B264" s="98"/>
      <c r="C264" s="30" t="s">
        <v>17</v>
      </c>
      <c r="D264" s="31">
        <f>D261-D263</f>
        <v>585.92000000000189</v>
      </c>
      <c r="E264" s="31">
        <f t="shared" ref="E264:J264" si="88">E261-E263</f>
        <v>87.979999999981374</v>
      </c>
      <c r="F264" s="31">
        <f t="shared" si="88"/>
        <v>673.90000000002328</v>
      </c>
      <c r="G264" s="31">
        <f t="shared" si="88"/>
        <v>0</v>
      </c>
      <c r="H264" s="31">
        <f t="shared" si="88"/>
        <v>0</v>
      </c>
      <c r="I264" s="31">
        <f t="shared" si="88"/>
        <v>0</v>
      </c>
      <c r="J264" s="31">
        <f t="shared" si="88"/>
        <v>0</v>
      </c>
      <c r="K264" s="31">
        <f>K261-K263</f>
        <v>673.90000000002328</v>
      </c>
      <c r="L264" s="31">
        <f>L261-L263</f>
        <v>0</v>
      </c>
      <c r="M264" s="2"/>
    </row>
    <row r="265" spans="1:13">
      <c r="A265" s="108"/>
      <c r="B265" s="105" t="s">
        <v>19</v>
      </c>
      <c r="C265" s="30" t="s">
        <v>12</v>
      </c>
      <c r="D265" s="31">
        <f>D261+D257+D253</f>
        <v>54907.680000000008</v>
      </c>
      <c r="E265" s="31">
        <f>E261+E257+E253</f>
        <v>1769410.1600000001</v>
      </c>
      <c r="F265" s="31">
        <f t="shared" ref="F265:K265" si="89">F261+F257+F253</f>
        <v>1824317.8400000003</v>
      </c>
      <c r="G265" s="31">
        <f t="shared" si="89"/>
        <v>0</v>
      </c>
      <c r="H265" s="31">
        <f t="shared" si="89"/>
        <v>0</v>
      </c>
      <c r="I265" s="31">
        <f t="shared" si="89"/>
        <v>0</v>
      </c>
      <c r="J265" s="31">
        <f t="shared" si="89"/>
        <v>0</v>
      </c>
      <c r="K265" s="31">
        <f t="shared" si="89"/>
        <v>1824317.8400000003</v>
      </c>
      <c r="L265" s="31">
        <f>L261+L257+L253+913</f>
        <v>273856</v>
      </c>
      <c r="M265" s="2"/>
    </row>
    <row r="266" spans="1:13">
      <c r="A266" s="108"/>
      <c r="B266" s="105"/>
      <c r="C266" s="30" t="s">
        <v>13</v>
      </c>
      <c r="D266" s="31">
        <f t="shared" ref="D266:L267" si="90">D262+D258+D254</f>
        <v>85493.91</v>
      </c>
      <c r="E266" s="31">
        <f t="shared" si="90"/>
        <v>1900928.3</v>
      </c>
      <c r="F266" s="31">
        <f t="shared" si="90"/>
        <v>1986422.21</v>
      </c>
      <c r="G266" s="31">
        <f t="shared" si="90"/>
        <v>0</v>
      </c>
      <c r="H266" s="31">
        <f t="shared" si="90"/>
        <v>0</v>
      </c>
      <c r="I266" s="31">
        <f t="shared" si="90"/>
        <v>0</v>
      </c>
      <c r="J266" s="31">
        <f t="shared" si="90"/>
        <v>0</v>
      </c>
      <c r="K266" s="31">
        <f t="shared" si="90"/>
        <v>1986422.21</v>
      </c>
      <c r="L266" s="31">
        <f t="shared" si="90"/>
        <v>272943</v>
      </c>
      <c r="M266" s="2"/>
    </row>
    <row r="267" spans="1:13">
      <c r="A267" s="108"/>
      <c r="B267" s="105"/>
      <c r="C267" s="32" t="s">
        <v>14</v>
      </c>
      <c r="D267" s="31">
        <f t="shared" si="90"/>
        <v>51699.22</v>
      </c>
      <c r="E267" s="31">
        <f t="shared" si="90"/>
        <v>1769116.92</v>
      </c>
      <c r="F267" s="31">
        <f t="shared" si="90"/>
        <v>1820816.1400000001</v>
      </c>
      <c r="G267" s="31">
        <f t="shared" si="90"/>
        <v>0</v>
      </c>
      <c r="H267" s="31">
        <f t="shared" si="90"/>
        <v>0</v>
      </c>
      <c r="I267" s="31">
        <f t="shared" si="90"/>
        <v>0</v>
      </c>
      <c r="J267" s="31">
        <f t="shared" si="90"/>
        <v>0</v>
      </c>
      <c r="K267" s="31">
        <f t="shared" si="90"/>
        <v>1820816.1400000001</v>
      </c>
      <c r="L267" s="31">
        <f>L263+L259+L255</f>
        <v>272943</v>
      </c>
      <c r="M267" s="2"/>
    </row>
    <row r="268" spans="1:13">
      <c r="A268" s="108"/>
      <c r="B268" s="105"/>
      <c r="C268" s="32" t="s">
        <v>47</v>
      </c>
      <c r="D268" s="31">
        <v>85493.91</v>
      </c>
      <c r="E268" s="31">
        <v>1900928.3</v>
      </c>
      <c r="F268" s="31">
        <f>D268+E268</f>
        <v>1986422.21</v>
      </c>
      <c r="G268" s="31">
        <v>0</v>
      </c>
      <c r="H268" s="31">
        <v>0</v>
      </c>
      <c r="I268" s="31"/>
      <c r="J268" s="31"/>
      <c r="K268" s="31">
        <f>F268</f>
        <v>1986422.21</v>
      </c>
      <c r="L268" s="31">
        <f>L267+913</f>
        <v>273856</v>
      </c>
      <c r="M268" s="2"/>
    </row>
    <row r="269" spans="1:13">
      <c r="A269" s="108"/>
      <c r="B269" s="105"/>
      <c r="C269" s="92" t="s">
        <v>43</v>
      </c>
      <c r="D269" s="84">
        <v>2078.0500000000002</v>
      </c>
      <c r="E269" s="84">
        <v>293.24</v>
      </c>
      <c r="F269" s="84">
        <f>D269+E269</f>
        <v>2371.29</v>
      </c>
      <c r="G269" s="84">
        <v>0</v>
      </c>
      <c r="H269" s="84">
        <v>0</v>
      </c>
      <c r="I269" s="84"/>
      <c r="J269" s="84"/>
      <c r="K269" s="84">
        <f>F269</f>
        <v>2371.29</v>
      </c>
      <c r="L269" s="84">
        <f>913</f>
        <v>913</v>
      </c>
      <c r="M269" s="2"/>
    </row>
    <row r="270" spans="1:13">
      <c r="A270" s="108"/>
      <c r="B270" s="105"/>
      <c r="C270" s="92" t="s">
        <v>22</v>
      </c>
      <c r="D270" s="84">
        <f>D267+D269</f>
        <v>53777.270000000004</v>
      </c>
      <c r="E270" s="84">
        <f>E267+E269</f>
        <v>1769410.16</v>
      </c>
      <c r="F270" s="84">
        <f>D270+E270</f>
        <v>1823187.43</v>
      </c>
      <c r="G270" s="84">
        <v>0</v>
      </c>
      <c r="H270" s="84">
        <v>0</v>
      </c>
      <c r="I270" s="84"/>
      <c r="J270" s="84"/>
      <c r="K270" s="84">
        <f>F270</f>
        <v>1823187.43</v>
      </c>
      <c r="L270" s="84">
        <f>L267+L269</f>
        <v>273856</v>
      </c>
      <c r="M270" s="2"/>
    </row>
    <row r="271" spans="1:13">
      <c r="A271" s="108"/>
      <c r="B271" s="105"/>
      <c r="C271" s="93" t="s">
        <v>15</v>
      </c>
      <c r="D271" s="84">
        <f>D265-D270</f>
        <v>1130.4100000000035</v>
      </c>
      <c r="E271" s="84">
        <f t="shared" ref="E271:K271" si="91">E265-E270</f>
        <v>0</v>
      </c>
      <c r="F271" s="84">
        <f t="shared" si="91"/>
        <v>1130.4100000003818</v>
      </c>
      <c r="G271" s="84">
        <f t="shared" si="91"/>
        <v>0</v>
      </c>
      <c r="H271" s="84">
        <f t="shared" si="91"/>
        <v>0</v>
      </c>
      <c r="I271" s="84">
        <f t="shared" si="91"/>
        <v>0</v>
      </c>
      <c r="J271" s="84">
        <f t="shared" si="91"/>
        <v>0</v>
      </c>
      <c r="K271" s="84">
        <f t="shared" si="91"/>
        <v>1130.4100000003818</v>
      </c>
      <c r="L271" s="84">
        <f>L264+L260+L256</f>
        <v>0</v>
      </c>
      <c r="M271" s="2"/>
    </row>
    <row r="272" spans="1:13">
      <c r="A272" s="109"/>
      <c r="B272" s="103" t="s">
        <v>24</v>
      </c>
      <c r="C272" s="30" t="s">
        <v>12</v>
      </c>
      <c r="D272" s="31">
        <f>11439.1+6863.46</f>
        <v>18302.560000000001</v>
      </c>
      <c r="E272" s="31">
        <v>589808.27</v>
      </c>
      <c r="F272" s="31">
        <f>D272+E272</f>
        <v>608110.83000000007</v>
      </c>
      <c r="G272" s="31">
        <v>0</v>
      </c>
      <c r="H272" s="31">
        <v>0</v>
      </c>
      <c r="I272" s="31">
        <v>0</v>
      </c>
      <c r="J272" s="31">
        <v>0</v>
      </c>
      <c r="K272" s="31">
        <f>J272+I272+H272+G272+E272+D272</f>
        <v>608110.83000000007</v>
      </c>
      <c r="L272" s="31">
        <f>103665.57-12431.57</f>
        <v>91234</v>
      </c>
      <c r="M272" s="2"/>
    </row>
    <row r="273" spans="1:14">
      <c r="A273" s="109"/>
      <c r="B273" s="103"/>
      <c r="C273" s="30" t="s">
        <v>13</v>
      </c>
      <c r="D273" s="31">
        <v>22414.9</v>
      </c>
      <c r="E273" s="31">
        <v>643515.18000000005</v>
      </c>
      <c r="F273" s="31">
        <f>D273+E273</f>
        <v>665930.08000000007</v>
      </c>
      <c r="G273" s="31">
        <v>0</v>
      </c>
      <c r="H273" s="31">
        <v>0</v>
      </c>
      <c r="I273" s="31">
        <v>0</v>
      </c>
      <c r="J273" s="31">
        <v>0</v>
      </c>
      <c r="K273" s="31">
        <f>J273+I273+H273+G273+E273+D273</f>
        <v>665930.08000000007</v>
      </c>
      <c r="L273" s="31">
        <v>91234</v>
      </c>
      <c r="M273" s="2"/>
    </row>
    <row r="274" spans="1:14">
      <c r="A274" s="109"/>
      <c r="B274" s="103"/>
      <c r="C274" s="36" t="s">
        <v>14</v>
      </c>
      <c r="D274" s="31">
        <v>16954.59</v>
      </c>
      <c r="E274" s="31">
        <v>589705.64</v>
      </c>
      <c r="F274" s="31">
        <f>D274+E274</f>
        <v>606660.23</v>
      </c>
      <c r="G274" s="31">
        <v>0</v>
      </c>
      <c r="H274" s="31">
        <v>0</v>
      </c>
      <c r="I274" s="31">
        <v>0</v>
      </c>
      <c r="J274" s="31">
        <v>0</v>
      </c>
      <c r="K274" s="31">
        <f>J274+I274+H274+G274+E274+D274</f>
        <v>606660.23</v>
      </c>
      <c r="L274" s="31">
        <v>91234</v>
      </c>
      <c r="M274" s="2"/>
    </row>
    <row r="275" spans="1:14">
      <c r="A275" s="109"/>
      <c r="B275" s="103"/>
      <c r="C275" s="30" t="s">
        <v>15</v>
      </c>
      <c r="D275" s="31">
        <f>D272-D274</f>
        <v>1347.9700000000012</v>
      </c>
      <c r="E275" s="31">
        <f t="shared" ref="E275:L275" si="92">E272-E274</f>
        <v>102.63000000000466</v>
      </c>
      <c r="F275" s="31">
        <f t="shared" si="92"/>
        <v>1450.6000000000931</v>
      </c>
      <c r="G275" s="31">
        <f t="shared" si="92"/>
        <v>0</v>
      </c>
      <c r="H275" s="31">
        <f t="shared" si="92"/>
        <v>0</v>
      </c>
      <c r="I275" s="31">
        <f t="shared" si="92"/>
        <v>0</v>
      </c>
      <c r="J275" s="31">
        <f t="shared" si="92"/>
        <v>0</v>
      </c>
      <c r="K275" s="31">
        <f t="shared" si="92"/>
        <v>1450.6000000000931</v>
      </c>
      <c r="L275" s="31">
        <f t="shared" si="92"/>
        <v>0</v>
      </c>
      <c r="M275" s="2"/>
    </row>
    <row r="276" spans="1:14">
      <c r="A276" s="109"/>
      <c r="B276" s="103" t="s">
        <v>25</v>
      </c>
      <c r="C276" s="30" t="s">
        <v>12</v>
      </c>
      <c r="D276" s="31">
        <f>11439.1+6863.46</f>
        <v>18302.560000000001</v>
      </c>
      <c r="E276" s="31">
        <v>589808.27</v>
      </c>
      <c r="F276" s="31">
        <f>D276+E276</f>
        <v>608110.83000000007</v>
      </c>
      <c r="G276" s="31">
        <v>0</v>
      </c>
      <c r="H276" s="31">
        <v>0</v>
      </c>
      <c r="I276" s="31">
        <v>0</v>
      </c>
      <c r="J276" s="31">
        <v>0</v>
      </c>
      <c r="K276" s="31">
        <f>J276+I276+H276+G276+E276+D276</f>
        <v>608110.83000000007</v>
      </c>
      <c r="L276" s="31">
        <f>104418.28-12249.28</f>
        <v>92169</v>
      </c>
      <c r="M276" s="2"/>
    </row>
    <row r="277" spans="1:14">
      <c r="A277" s="109"/>
      <c r="B277" s="103"/>
      <c r="C277" s="30" t="s">
        <v>13</v>
      </c>
      <c r="D277" s="31">
        <v>34368.83</v>
      </c>
      <c r="E277" s="31">
        <v>657150.84</v>
      </c>
      <c r="F277" s="31">
        <f>D277+E277</f>
        <v>691519.66999999993</v>
      </c>
      <c r="G277" s="80">
        <v>0</v>
      </c>
      <c r="H277" s="31">
        <v>0</v>
      </c>
      <c r="I277" s="31">
        <v>0</v>
      </c>
      <c r="J277" s="31">
        <v>0</v>
      </c>
      <c r="K277" s="31">
        <f>J277+I277+H277+G277+E277+D277</f>
        <v>691519.66999999993</v>
      </c>
      <c r="L277" s="78">
        <v>92169</v>
      </c>
      <c r="M277" s="2"/>
    </row>
    <row r="278" spans="1:14">
      <c r="A278" s="109"/>
      <c r="B278" s="103"/>
      <c r="C278" s="36" t="s">
        <v>14</v>
      </c>
      <c r="D278" s="31">
        <v>18228.66</v>
      </c>
      <c r="E278" s="31">
        <v>589705.64</v>
      </c>
      <c r="F278" s="31">
        <f>D278+E278</f>
        <v>607934.30000000005</v>
      </c>
      <c r="G278" s="31">
        <v>0</v>
      </c>
      <c r="H278" s="31">
        <v>0</v>
      </c>
      <c r="I278" s="31">
        <v>0</v>
      </c>
      <c r="J278" s="31">
        <v>0</v>
      </c>
      <c r="K278" s="31">
        <f>J278+I278+H278+G278+E278+D278</f>
        <v>607934.30000000005</v>
      </c>
      <c r="L278" s="31">
        <v>92169</v>
      </c>
      <c r="M278" s="2"/>
    </row>
    <row r="279" spans="1:14">
      <c r="A279" s="109"/>
      <c r="B279" s="103"/>
      <c r="C279" s="30" t="s">
        <v>23</v>
      </c>
      <c r="D279" s="31">
        <f>D276-D278</f>
        <v>73.900000000001455</v>
      </c>
      <c r="E279" s="31">
        <f t="shared" ref="E279:L279" si="93">E276-E278</f>
        <v>102.63000000000466</v>
      </c>
      <c r="F279" s="31">
        <f t="shared" si="93"/>
        <v>176.53000000002794</v>
      </c>
      <c r="G279" s="31">
        <f t="shared" si="93"/>
        <v>0</v>
      </c>
      <c r="H279" s="31">
        <f t="shared" si="93"/>
        <v>0</v>
      </c>
      <c r="I279" s="31">
        <f t="shared" si="93"/>
        <v>0</v>
      </c>
      <c r="J279" s="31">
        <f t="shared" si="93"/>
        <v>0</v>
      </c>
      <c r="K279" s="31">
        <f t="shared" si="93"/>
        <v>176.53000000002794</v>
      </c>
      <c r="L279" s="31">
        <f t="shared" si="93"/>
        <v>0</v>
      </c>
      <c r="M279" s="2"/>
    </row>
    <row r="280" spans="1:14">
      <c r="A280" s="109"/>
      <c r="B280" s="104" t="s">
        <v>26</v>
      </c>
      <c r="C280" s="38" t="s">
        <v>12</v>
      </c>
      <c r="D280" s="31">
        <f>11439.1+6863.46-113.16-60</f>
        <v>18129.400000000001</v>
      </c>
      <c r="E280" s="31">
        <f>589808.27-14.64-0.01</f>
        <v>589793.62</v>
      </c>
      <c r="F280" s="31">
        <f>D280+E280</f>
        <v>607923.02</v>
      </c>
      <c r="G280" s="37">
        <v>0</v>
      </c>
      <c r="H280" s="37">
        <v>0</v>
      </c>
      <c r="I280" s="37">
        <v>0</v>
      </c>
      <c r="J280" s="37">
        <v>0</v>
      </c>
      <c r="K280" s="37">
        <f>J280+I280+H280+G280+E280+D280</f>
        <v>607923.02</v>
      </c>
      <c r="L280" s="37">
        <f>91498</f>
        <v>91498</v>
      </c>
      <c r="M280" s="2"/>
    </row>
    <row r="281" spans="1:14">
      <c r="A281" s="109"/>
      <c r="B281" s="104"/>
      <c r="C281" s="38" t="s">
        <v>13</v>
      </c>
      <c r="D281" s="37">
        <v>32875.870000000003</v>
      </c>
      <c r="E281" s="37">
        <v>632665.30000000005</v>
      </c>
      <c r="F281" s="37">
        <f>SUM(D281:E281)</f>
        <v>665541.17000000004</v>
      </c>
      <c r="G281" s="37">
        <v>0</v>
      </c>
      <c r="H281" s="37">
        <v>0</v>
      </c>
      <c r="I281" s="37">
        <v>0</v>
      </c>
      <c r="J281" s="37">
        <v>0</v>
      </c>
      <c r="K281" s="37">
        <f>J281+I281+H281+G281+E281+D281</f>
        <v>665541.17000000004</v>
      </c>
      <c r="L281" s="37">
        <f>91498</f>
        <v>91498</v>
      </c>
      <c r="M281" s="2"/>
    </row>
    <row r="282" spans="1:14">
      <c r="A282" s="109"/>
      <c r="B282" s="104"/>
      <c r="C282" s="36" t="s">
        <v>14</v>
      </c>
      <c r="D282" s="37">
        <v>18197.169999999998</v>
      </c>
      <c r="E282" s="37">
        <v>589705.64</v>
      </c>
      <c r="F282" s="37">
        <f>SUM(D282:E282)</f>
        <v>607902.81000000006</v>
      </c>
      <c r="G282" s="37">
        <v>0</v>
      </c>
      <c r="H282" s="37">
        <v>0</v>
      </c>
      <c r="I282" s="37">
        <v>0</v>
      </c>
      <c r="J282" s="37">
        <v>0</v>
      </c>
      <c r="K282" s="37">
        <f>J282+I282+H282+G282+E282+D282</f>
        <v>607902.81000000006</v>
      </c>
      <c r="L282" s="37">
        <f>91498</f>
        <v>91498</v>
      </c>
      <c r="M282" s="2"/>
    </row>
    <row r="283" spans="1:14">
      <c r="A283" s="109"/>
      <c r="B283" s="98"/>
      <c r="C283" s="38" t="s">
        <v>23</v>
      </c>
      <c r="D283" s="37">
        <f>D280-D282</f>
        <v>-67.769999999996799</v>
      </c>
      <c r="E283" s="37">
        <f t="shared" ref="E283:L283" si="94">E280-E282</f>
        <v>87.979999999981374</v>
      </c>
      <c r="F283" s="37">
        <f t="shared" si="94"/>
        <v>20.209999999962747</v>
      </c>
      <c r="G283" s="37">
        <f t="shared" si="94"/>
        <v>0</v>
      </c>
      <c r="H283" s="37">
        <f t="shared" si="94"/>
        <v>0</v>
      </c>
      <c r="I283" s="37">
        <f t="shared" si="94"/>
        <v>0</v>
      </c>
      <c r="J283" s="37">
        <f t="shared" si="94"/>
        <v>0</v>
      </c>
      <c r="K283" s="37">
        <f t="shared" si="94"/>
        <v>20.209999999962747</v>
      </c>
      <c r="L283" s="37">
        <f t="shared" si="94"/>
        <v>0</v>
      </c>
      <c r="M283" s="2"/>
    </row>
    <row r="284" spans="1:14">
      <c r="A284" s="109"/>
      <c r="B284" s="105" t="s">
        <v>27</v>
      </c>
      <c r="C284" s="30" t="s">
        <v>12</v>
      </c>
      <c r="D284" s="31">
        <f t="shared" ref="D284:J284" si="95">D280+D276+D272</f>
        <v>54734.520000000004</v>
      </c>
      <c r="E284" s="31">
        <f t="shared" si="95"/>
        <v>1769410.1600000001</v>
      </c>
      <c r="F284" s="31">
        <f t="shared" si="95"/>
        <v>1824144.6800000002</v>
      </c>
      <c r="G284" s="31">
        <f t="shared" si="95"/>
        <v>0</v>
      </c>
      <c r="H284" s="31">
        <f t="shared" si="95"/>
        <v>0</v>
      </c>
      <c r="I284" s="31">
        <f t="shared" si="95"/>
        <v>0</v>
      </c>
      <c r="J284" s="31">
        <f t="shared" si="95"/>
        <v>0</v>
      </c>
      <c r="K284" s="31">
        <f>J284+I284+H284+G284+E284+D284</f>
        <v>1824144.6800000002</v>
      </c>
      <c r="L284" s="31">
        <f>L280+L276+L272</f>
        <v>274901</v>
      </c>
      <c r="M284" s="2"/>
    </row>
    <row r="285" spans="1:14">
      <c r="A285" s="109"/>
      <c r="B285" s="105"/>
      <c r="C285" s="30" t="s">
        <v>13</v>
      </c>
      <c r="D285" s="31">
        <f>D281+D277+D273</f>
        <v>89659.6</v>
      </c>
      <c r="E285" s="31">
        <f>E281+E277+E273</f>
        <v>1933331.3200000003</v>
      </c>
      <c r="F285" s="31">
        <f>D285+E285</f>
        <v>2022990.9200000004</v>
      </c>
      <c r="G285" s="31">
        <f>G281+G277+G273</f>
        <v>0</v>
      </c>
      <c r="H285" s="31">
        <v>0</v>
      </c>
      <c r="I285" s="31">
        <f>I281+I277+I273</f>
        <v>0</v>
      </c>
      <c r="J285" s="31">
        <f>J281+J277+J273</f>
        <v>0</v>
      </c>
      <c r="K285" s="31">
        <f>J285+I285+H285+G285+E285+D285</f>
        <v>2022990.9200000004</v>
      </c>
      <c r="L285" s="31">
        <f>L281+L277+L273</f>
        <v>274901</v>
      </c>
      <c r="M285" s="2"/>
    </row>
    <row r="286" spans="1:14">
      <c r="A286" s="109"/>
      <c r="B286" s="105"/>
      <c r="C286" s="36" t="s">
        <v>14</v>
      </c>
      <c r="D286" s="31">
        <f>D282+D278+D274</f>
        <v>53380.42</v>
      </c>
      <c r="E286" s="31">
        <f t="shared" ref="E286:L287" si="96">E282+E278+E274</f>
        <v>1769116.92</v>
      </c>
      <c r="F286" s="31">
        <f t="shared" si="96"/>
        <v>1822497.34</v>
      </c>
      <c r="G286" s="31">
        <f t="shared" si="96"/>
        <v>0</v>
      </c>
      <c r="H286" s="31">
        <f t="shared" si="96"/>
        <v>0</v>
      </c>
      <c r="I286" s="31">
        <f t="shared" si="96"/>
        <v>0</v>
      </c>
      <c r="J286" s="31">
        <f t="shared" si="96"/>
        <v>0</v>
      </c>
      <c r="K286" s="31">
        <f t="shared" si="96"/>
        <v>1822497.34</v>
      </c>
      <c r="L286" s="31">
        <f t="shared" si="96"/>
        <v>274901</v>
      </c>
      <c r="M286" s="2"/>
    </row>
    <row r="287" spans="1:14">
      <c r="A287" s="109"/>
      <c r="B287" s="105"/>
      <c r="C287" s="30" t="s">
        <v>15</v>
      </c>
      <c r="D287" s="31">
        <f>D283+D279+D275</f>
        <v>1354.1000000000058</v>
      </c>
      <c r="E287" s="31">
        <f t="shared" si="96"/>
        <v>293.23999999999069</v>
      </c>
      <c r="F287" s="31">
        <f t="shared" si="96"/>
        <v>1647.3400000000838</v>
      </c>
      <c r="G287" s="31">
        <f t="shared" si="96"/>
        <v>0</v>
      </c>
      <c r="H287" s="31">
        <f t="shared" si="96"/>
        <v>0</v>
      </c>
      <c r="I287" s="31">
        <f t="shared" si="96"/>
        <v>0</v>
      </c>
      <c r="J287" s="31">
        <f t="shared" si="96"/>
        <v>0</v>
      </c>
      <c r="K287" s="31">
        <f t="shared" si="96"/>
        <v>1647.3400000000838</v>
      </c>
      <c r="L287" s="31">
        <f t="shared" si="96"/>
        <v>0</v>
      </c>
      <c r="M287" s="2"/>
      <c r="N287" s="42"/>
    </row>
    <row r="288" spans="1:14">
      <c r="A288" s="109"/>
      <c r="B288" s="102" t="s">
        <v>28</v>
      </c>
      <c r="C288" s="16" t="s">
        <v>12</v>
      </c>
      <c r="D288" s="17">
        <f>D265+D284</f>
        <v>109642.20000000001</v>
      </c>
      <c r="E288" s="17">
        <f>E265+E284</f>
        <v>3538820.3200000003</v>
      </c>
      <c r="F288" s="17">
        <f>D288+E288</f>
        <v>3648462.5200000005</v>
      </c>
      <c r="G288" s="17">
        <f>G265+G284</f>
        <v>0</v>
      </c>
      <c r="H288" s="17">
        <f>H265+H284</f>
        <v>0</v>
      </c>
      <c r="I288" s="17">
        <f>I265+I284</f>
        <v>0</v>
      </c>
      <c r="J288" s="17">
        <f>J265+J284</f>
        <v>0</v>
      </c>
      <c r="K288" s="17">
        <f>J288+I288+H288+G288+E288+D288</f>
        <v>3648462.5200000005</v>
      </c>
      <c r="L288" s="17">
        <f>L265+L284-858</f>
        <v>547899</v>
      </c>
      <c r="M288" s="2"/>
    </row>
    <row r="289" spans="1:13">
      <c r="A289" s="109"/>
      <c r="B289" s="102"/>
      <c r="C289" s="30" t="s">
        <v>13</v>
      </c>
      <c r="D289" s="31">
        <f>D266+D285</f>
        <v>175153.51</v>
      </c>
      <c r="E289" s="31">
        <f>E266+E285</f>
        <v>3834259.62</v>
      </c>
      <c r="F289" s="31">
        <f>D289+E289</f>
        <v>4009413.13</v>
      </c>
      <c r="G289" s="31">
        <f t="shared" ref="G289:J290" si="97">G285+G266</f>
        <v>0</v>
      </c>
      <c r="H289" s="31">
        <f t="shared" si="97"/>
        <v>0</v>
      </c>
      <c r="I289" s="31">
        <f t="shared" si="97"/>
        <v>0</v>
      </c>
      <c r="J289" s="31">
        <f t="shared" si="97"/>
        <v>0</v>
      </c>
      <c r="K289" s="31">
        <f>J289+I289+H289+G289+E289+D289</f>
        <v>4009413.13</v>
      </c>
      <c r="L289" s="31">
        <f>L268+L285</f>
        <v>548757</v>
      </c>
      <c r="M289" s="2"/>
    </row>
    <row r="290" spans="1:13">
      <c r="A290" s="109"/>
      <c r="B290" s="102"/>
      <c r="C290" s="36" t="s">
        <v>14</v>
      </c>
      <c r="D290" s="31">
        <f>D270+D286</f>
        <v>107157.69</v>
      </c>
      <c r="E290" s="31">
        <f>E270+E286</f>
        <v>3538527.08</v>
      </c>
      <c r="F290" s="31">
        <f>D290+E290</f>
        <v>3645684.77</v>
      </c>
      <c r="G290" s="31">
        <f t="shared" si="97"/>
        <v>0</v>
      </c>
      <c r="H290" s="31">
        <f t="shared" si="97"/>
        <v>0</v>
      </c>
      <c r="I290" s="31">
        <f t="shared" si="97"/>
        <v>0</v>
      </c>
      <c r="J290" s="31">
        <f t="shared" si="97"/>
        <v>0</v>
      </c>
      <c r="K290" s="31">
        <f>J290+I290+H290+G290+E290+D290</f>
        <v>3645684.77</v>
      </c>
      <c r="L290" s="31">
        <f>L286+L270</f>
        <v>548757</v>
      </c>
      <c r="M290" s="2"/>
    </row>
    <row r="291" spans="1:13">
      <c r="A291" s="109"/>
      <c r="B291" s="102"/>
      <c r="C291" s="30" t="s">
        <v>15</v>
      </c>
      <c r="D291" s="31">
        <f>D271+D287</f>
        <v>2484.5100000000093</v>
      </c>
      <c r="E291" s="31">
        <f>E271+E287</f>
        <v>293.23999999999069</v>
      </c>
      <c r="F291" s="31">
        <f t="shared" ref="F291:L291" si="98">F271+F287</f>
        <v>2777.7500000004657</v>
      </c>
      <c r="G291" s="31">
        <f t="shared" si="98"/>
        <v>0</v>
      </c>
      <c r="H291" s="31">
        <f t="shared" si="98"/>
        <v>0</v>
      </c>
      <c r="I291" s="31">
        <f t="shared" si="98"/>
        <v>0</v>
      </c>
      <c r="J291" s="31">
        <f t="shared" si="98"/>
        <v>0</v>
      </c>
      <c r="K291" s="31">
        <f t="shared" si="98"/>
        <v>2777.7500000004657</v>
      </c>
      <c r="L291" s="31">
        <f t="shared" si="98"/>
        <v>0</v>
      </c>
      <c r="M291" s="2"/>
    </row>
    <row r="292" spans="1:13">
      <c r="A292" s="109"/>
      <c r="B292" s="98"/>
      <c r="C292" s="43" t="s">
        <v>47</v>
      </c>
      <c r="D292" s="17">
        <v>175153.52</v>
      </c>
      <c r="E292" s="17">
        <v>3834259.62</v>
      </c>
      <c r="F292" s="17">
        <f>D292+E292</f>
        <v>4009413.14</v>
      </c>
      <c r="G292" s="17">
        <v>0</v>
      </c>
      <c r="H292" s="17">
        <v>0</v>
      </c>
      <c r="I292" s="17"/>
      <c r="J292" s="17"/>
      <c r="K292" s="17">
        <f>F292</f>
        <v>4009413.14</v>
      </c>
      <c r="L292" s="17">
        <v>547899</v>
      </c>
      <c r="M292" s="2"/>
    </row>
    <row r="293" spans="1:13">
      <c r="A293" s="109"/>
      <c r="B293" s="98"/>
      <c r="C293" s="43" t="s">
        <v>43</v>
      </c>
      <c r="D293" s="17">
        <v>2484.5100000000002</v>
      </c>
      <c r="E293" s="17">
        <v>293.24</v>
      </c>
      <c r="F293" s="17">
        <f>D293+E293</f>
        <v>2777.75</v>
      </c>
      <c r="G293" s="17">
        <v>0</v>
      </c>
      <c r="H293" s="17">
        <v>0</v>
      </c>
      <c r="I293" s="17"/>
      <c r="J293" s="17"/>
      <c r="K293" s="17">
        <f>F291</f>
        <v>2777.7500000004657</v>
      </c>
      <c r="L293" s="17">
        <v>-858</v>
      </c>
      <c r="M293" s="2"/>
    </row>
    <row r="294" spans="1:13">
      <c r="A294" s="109"/>
      <c r="B294" s="98"/>
      <c r="C294" s="43" t="s">
        <v>22</v>
      </c>
      <c r="D294" s="17">
        <f>D290+D293</f>
        <v>109642.2</v>
      </c>
      <c r="E294" s="17">
        <f t="shared" ref="E294:L294" si="99">E290+E293</f>
        <v>3538820.3200000003</v>
      </c>
      <c r="F294" s="17">
        <f>D294+E294</f>
        <v>3648462.5200000005</v>
      </c>
      <c r="G294" s="17">
        <f t="shared" si="99"/>
        <v>0</v>
      </c>
      <c r="H294" s="17">
        <f t="shared" si="99"/>
        <v>0</v>
      </c>
      <c r="I294" s="17">
        <f t="shared" si="99"/>
        <v>0</v>
      </c>
      <c r="J294" s="17">
        <f t="shared" si="99"/>
        <v>0</v>
      </c>
      <c r="K294" s="17">
        <f>F294</f>
        <v>3648462.5200000005</v>
      </c>
      <c r="L294" s="17">
        <f t="shared" si="99"/>
        <v>547899</v>
      </c>
      <c r="M294" s="2"/>
    </row>
    <row r="295" spans="1:13">
      <c r="A295" s="109"/>
      <c r="B295" s="98"/>
      <c r="C295" s="44" t="s">
        <v>15</v>
      </c>
      <c r="D295" s="17">
        <f>D288-D294</f>
        <v>0</v>
      </c>
      <c r="E295" s="17">
        <f>E288-E294</f>
        <v>0</v>
      </c>
      <c r="F295" s="17">
        <f>D295+E295</f>
        <v>0</v>
      </c>
      <c r="G295" s="17">
        <f>E295+F295</f>
        <v>0</v>
      </c>
      <c r="H295" s="17">
        <f>F295+G295</f>
        <v>0</v>
      </c>
      <c r="I295" s="17">
        <f>G295+H295</f>
        <v>0</v>
      </c>
      <c r="J295" s="17">
        <f>H295+I295</f>
        <v>0</v>
      </c>
      <c r="K295" s="17">
        <f>I295+J295</f>
        <v>0</v>
      </c>
      <c r="L295" s="17">
        <f>L288-L294</f>
        <v>0</v>
      </c>
      <c r="M295" s="2"/>
    </row>
    <row r="296" spans="1:13">
      <c r="A296" s="109"/>
      <c r="B296" s="97" t="s">
        <v>29</v>
      </c>
      <c r="C296" s="30" t="s">
        <v>12</v>
      </c>
      <c r="D296" s="31">
        <v>38519.279999999999</v>
      </c>
      <c r="E296" s="31">
        <v>589848.5</v>
      </c>
      <c r="F296" s="31">
        <f>SUM(D296:E296)</f>
        <v>628367.78</v>
      </c>
      <c r="G296" s="31">
        <v>0</v>
      </c>
      <c r="H296" s="30">
        <v>0</v>
      </c>
      <c r="I296" s="30">
        <v>0</v>
      </c>
      <c r="J296" s="30">
        <v>0</v>
      </c>
      <c r="K296" s="31">
        <f>D296+E296+G296+H296+I296+J296</f>
        <v>628367.78</v>
      </c>
      <c r="L296" s="31">
        <v>92312</v>
      </c>
      <c r="M296" s="2"/>
    </row>
    <row r="297" spans="1:13">
      <c r="A297" s="109"/>
      <c r="B297" s="97"/>
      <c r="C297" s="30" t="s">
        <v>13</v>
      </c>
      <c r="D297" s="31">
        <v>47836.76</v>
      </c>
      <c r="E297" s="31">
        <v>653236.65</v>
      </c>
      <c r="F297" s="31">
        <f>SUM(D297:E297)</f>
        <v>701073.41</v>
      </c>
      <c r="G297" s="31">
        <v>0</v>
      </c>
      <c r="H297" s="30">
        <v>0</v>
      </c>
      <c r="I297" s="30">
        <v>0</v>
      </c>
      <c r="J297" s="30">
        <v>0</v>
      </c>
      <c r="K297" s="31">
        <f>D297+E297+G297+H297+I297+J297</f>
        <v>701073.41</v>
      </c>
      <c r="L297" s="31">
        <v>92312</v>
      </c>
      <c r="M297" s="2"/>
    </row>
    <row r="298" spans="1:13">
      <c r="A298" s="109"/>
      <c r="B298" s="97"/>
      <c r="C298" s="30" t="s">
        <v>14</v>
      </c>
      <c r="D298" s="31">
        <v>37260.959999999999</v>
      </c>
      <c r="E298" s="31">
        <v>589745.86</v>
      </c>
      <c r="F298" s="31">
        <f>SUM(D298:E298)</f>
        <v>627006.81999999995</v>
      </c>
      <c r="G298" s="31">
        <v>0</v>
      </c>
      <c r="H298" s="30">
        <v>0</v>
      </c>
      <c r="I298" s="30">
        <v>0</v>
      </c>
      <c r="J298" s="30">
        <v>0</v>
      </c>
      <c r="K298" s="31">
        <f>D298+E298+G298+H298+I298+J298</f>
        <v>627006.81999999995</v>
      </c>
      <c r="L298" s="31">
        <v>92312</v>
      </c>
      <c r="M298" s="2"/>
    </row>
    <row r="299" spans="1:13">
      <c r="A299" s="109"/>
      <c r="B299" s="98"/>
      <c r="C299" s="95" t="s">
        <v>23</v>
      </c>
      <c r="D299" s="82">
        <f>D296-D298</f>
        <v>1258.3199999999997</v>
      </c>
      <c r="E299" s="82">
        <f t="shared" ref="E299:L299" si="100">E296-E298</f>
        <v>102.64000000001397</v>
      </c>
      <c r="F299" s="82">
        <f t="shared" si="100"/>
        <v>1360.9600000000792</v>
      </c>
      <c r="G299" s="82">
        <f t="shared" si="100"/>
        <v>0</v>
      </c>
      <c r="H299" s="82">
        <f t="shared" si="100"/>
        <v>0</v>
      </c>
      <c r="I299" s="82">
        <f t="shared" si="100"/>
        <v>0</v>
      </c>
      <c r="J299" s="82">
        <f t="shared" si="100"/>
        <v>0</v>
      </c>
      <c r="K299" s="82">
        <f t="shared" si="100"/>
        <v>1360.9600000000792</v>
      </c>
      <c r="L299" s="82">
        <f t="shared" si="100"/>
        <v>0</v>
      </c>
      <c r="M299" s="2"/>
    </row>
    <row r="300" spans="1:13">
      <c r="A300" s="109"/>
      <c r="B300" s="97" t="s">
        <v>30</v>
      </c>
      <c r="C300" s="30" t="s">
        <v>12</v>
      </c>
      <c r="D300" s="31">
        <v>62593.83</v>
      </c>
      <c r="E300" s="31">
        <v>589848.5</v>
      </c>
      <c r="F300" s="31">
        <f>SUM(D300:E300)</f>
        <v>652442.32999999996</v>
      </c>
      <c r="G300" s="31">
        <v>0</v>
      </c>
      <c r="H300" s="30">
        <v>0</v>
      </c>
      <c r="I300" s="30">
        <v>0</v>
      </c>
      <c r="J300" s="30">
        <v>0</v>
      </c>
      <c r="K300" s="31">
        <f>J300+I300+H300+G300+E300+D300</f>
        <v>652442.32999999996</v>
      </c>
      <c r="L300" s="31">
        <v>94336</v>
      </c>
      <c r="M300" s="2"/>
    </row>
    <row r="301" spans="1:13">
      <c r="A301" s="109"/>
      <c r="B301" s="97"/>
      <c r="C301" s="30" t="s">
        <v>13</v>
      </c>
      <c r="D301" s="31">
        <v>55624.99</v>
      </c>
      <c r="E301" s="31">
        <v>640773.1</v>
      </c>
      <c r="F301" s="31">
        <f>SUM(D301:E301)</f>
        <v>696398.09</v>
      </c>
      <c r="G301" s="31">
        <v>0</v>
      </c>
      <c r="H301" s="30">
        <v>0</v>
      </c>
      <c r="I301" s="30">
        <v>0</v>
      </c>
      <c r="J301" s="30">
        <v>0</v>
      </c>
      <c r="K301" s="31">
        <f>J301+I301+H301+G301+E301+D301</f>
        <v>696398.09</v>
      </c>
      <c r="L301" s="31">
        <v>94336</v>
      </c>
      <c r="M301" s="2"/>
    </row>
    <row r="302" spans="1:13">
      <c r="A302" s="109"/>
      <c r="B302" s="97"/>
      <c r="C302" s="30" t="s">
        <v>14</v>
      </c>
      <c r="D302" s="31">
        <v>55624.99</v>
      </c>
      <c r="E302" s="31">
        <v>589745.86</v>
      </c>
      <c r="F302" s="31">
        <f>SUM(D302:E302)</f>
        <v>645370.85</v>
      </c>
      <c r="G302" s="31">
        <v>0</v>
      </c>
      <c r="H302" s="30">
        <v>0</v>
      </c>
      <c r="I302" s="30">
        <v>0</v>
      </c>
      <c r="J302" s="30">
        <v>0</v>
      </c>
      <c r="K302" s="31">
        <f>J302+I302+H302+G302+E302+D302</f>
        <v>645370.85</v>
      </c>
      <c r="L302" s="31">
        <v>94336</v>
      </c>
      <c r="M302" s="2"/>
    </row>
    <row r="303" spans="1:13">
      <c r="A303" s="109"/>
      <c r="B303" s="98"/>
      <c r="C303" s="91" t="s">
        <v>23</v>
      </c>
      <c r="D303" s="82">
        <f>D300-D302</f>
        <v>6968.8400000000038</v>
      </c>
      <c r="E303" s="82">
        <f t="shared" ref="E303:L303" si="101">E300-E302</f>
        <v>102.64000000001397</v>
      </c>
      <c r="F303" s="82">
        <f t="shared" si="101"/>
        <v>7071.4799999999814</v>
      </c>
      <c r="G303" s="82">
        <f t="shared" si="101"/>
        <v>0</v>
      </c>
      <c r="H303" s="82">
        <f t="shared" si="101"/>
        <v>0</v>
      </c>
      <c r="I303" s="82">
        <f t="shared" si="101"/>
        <v>0</v>
      </c>
      <c r="J303" s="82">
        <f t="shared" si="101"/>
        <v>0</v>
      </c>
      <c r="K303" s="82">
        <f t="shared" si="101"/>
        <v>7071.4799999999814</v>
      </c>
      <c r="L303" s="82">
        <f t="shared" si="101"/>
        <v>0</v>
      </c>
      <c r="M303" s="2"/>
    </row>
    <row r="304" spans="1:13">
      <c r="A304" s="109"/>
      <c r="B304" s="97" t="s">
        <v>31</v>
      </c>
      <c r="C304" s="30" t="s">
        <v>12</v>
      </c>
      <c r="D304" s="31">
        <f>38519.28+24074.55</f>
        <v>62593.83</v>
      </c>
      <c r="E304" s="31">
        <v>589848.5</v>
      </c>
      <c r="F304" s="31">
        <f>SUM(D304:E304)</f>
        <v>652442.32999999996</v>
      </c>
      <c r="G304" s="31">
        <v>0</v>
      </c>
      <c r="H304" s="30">
        <v>0</v>
      </c>
      <c r="I304" s="30">
        <v>0</v>
      </c>
      <c r="J304" s="30">
        <v>0</v>
      </c>
      <c r="K304" s="31">
        <f>J304+I304+H304+G304+E304+D304</f>
        <v>652442.32999999996</v>
      </c>
      <c r="L304" s="31">
        <v>123615.1</v>
      </c>
      <c r="M304" s="2"/>
    </row>
    <row r="305" spans="1:13">
      <c r="A305" s="109"/>
      <c r="B305" s="97"/>
      <c r="C305" s="30" t="s">
        <v>13</v>
      </c>
      <c r="D305" s="31">
        <v>0</v>
      </c>
      <c r="E305" s="31">
        <v>0</v>
      </c>
      <c r="F305" s="31">
        <f>SUM(D305:E305)</f>
        <v>0</v>
      </c>
      <c r="G305" s="31">
        <v>0</v>
      </c>
      <c r="H305" s="30">
        <v>0</v>
      </c>
      <c r="I305" s="30">
        <v>0</v>
      </c>
      <c r="J305" s="30">
        <v>0</v>
      </c>
      <c r="K305" s="31">
        <f>J305+I305+H305+G305+E305+D305</f>
        <v>0</v>
      </c>
      <c r="L305" s="31">
        <v>0</v>
      </c>
      <c r="M305" s="2"/>
    </row>
    <row r="306" spans="1:13">
      <c r="A306" s="109"/>
      <c r="B306" s="97"/>
      <c r="C306" s="30" t="s">
        <v>14</v>
      </c>
      <c r="D306" s="31">
        <v>0</v>
      </c>
      <c r="E306" s="31">
        <v>0</v>
      </c>
      <c r="F306" s="31">
        <f>SUM(D306:E306)</f>
        <v>0</v>
      </c>
      <c r="G306" s="31">
        <v>0</v>
      </c>
      <c r="H306" s="30">
        <v>0</v>
      </c>
      <c r="I306" s="30">
        <v>0</v>
      </c>
      <c r="J306" s="30">
        <v>0</v>
      </c>
      <c r="K306" s="31">
        <f>J306+I306+H306+G306+E306+D306</f>
        <v>0</v>
      </c>
      <c r="L306" s="31">
        <v>0</v>
      </c>
      <c r="M306" s="2"/>
    </row>
    <row r="307" spans="1:13">
      <c r="A307" s="109"/>
      <c r="B307" s="98"/>
      <c r="C307" s="91" t="s">
        <v>23</v>
      </c>
      <c r="D307" s="83">
        <v>0</v>
      </c>
      <c r="E307" s="83">
        <v>0</v>
      </c>
      <c r="F307" s="83">
        <v>0</v>
      </c>
      <c r="G307" s="83">
        <f>G304-G306</f>
        <v>0</v>
      </c>
      <c r="H307" s="83">
        <f>H304-H306</f>
        <v>0</v>
      </c>
      <c r="I307" s="83">
        <f>I304-I306</f>
        <v>0</v>
      </c>
      <c r="J307" s="83">
        <f>J304-J306</f>
        <v>0</v>
      </c>
      <c r="K307" s="83">
        <v>0</v>
      </c>
      <c r="L307" s="83">
        <v>0</v>
      </c>
      <c r="M307" s="2"/>
    </row>
    <row r="308" spans="1:13">
      <c r="A308" s="109"/>
      <c r="B308" s="97" t="s">
        <v>32</v>
      </c>
      <c r="C308" s="30" t="s">
        <v>12</v>
      </c>
      <c r="D308" s="31">
        <f>D296+D300+D304</f>
        <v>163706.94</v>
      </c>
      <c r="E308" s="31">
        <f t="shared" ref="E308:L308" si="102">E296+E300+E304</f>
        <v>1769545.5</v>
      </c>
      <c r="F308" s="31">
        <f t="shared" si="102"/>
        <v>1933252.44</v>
      </c>
      <c r="G308" s="31">
        <f t="shared" si="102"/>
        <v>0</v>
      </c>
      <c r="H308" s="31">
        <f t="shared" si="102"/>
        <v>0</v>
      </c>
      <c r="I308" s="31">
        <f t="shared" si="102"/>
        <v>0</v>
      </c>
      <c r="J308" s="31">
        <f t="shared" si="102"/>
        <v>0</v>
      </c>
      <c r="K308" s="31">
        <f t="shared" si="102"/>
        <v>1933252.44</v>
      </c>
      <c r="L308" s="31">
        <f t="shared" si="102"/>
        <v>310263.09999999998</v>
      </c>
      <c r="M308" s="2"/>
    </row>
    <row r="309" spans="1:13">
      <c r="A309" s="109"/>
      <c r="B309" s="97"/>
      <c r="C309" s="30" t="s">
        <v>13</v>
      </c>
      <c r="D309" s="31">
        <f t="shared" ref="D309:L310" si="103">D297+D301+D305</f>
        <v>103461.75</v>
      </c>
      <c r="E309" s="31">
        <f t="shared" si="103"/>
        <v>1294009.75</v>
      </c>
      <c r="F309" s="31">
        <f t="shared" si="103"/>
        <v>1397471.5</v>
      </c>
      <c r="G309" s="31">
        <f t="shared" si="103"/>
        <v>0</v>
      </c>
      <c r="H309" s="31">
        <f t="shared" si="103"/>
        <v>0</v>
      </c>
      <c r="I309" s="31">
        <f t="shared" si="103"/>
        <v>0</v>
      </c>
      <c r="J309" s="31">
        <f t="shared" si="103"/>
        <v>0</v>
      </c>
      <c r="K309" s="31">
        <f t="shared" si="103"/>
        <v>1397471.5</v>
      </c>
      <c r="L309" s="31">
        <f t="shared" si="103"/>
        <v>186648</v>
      </c>
      <c r="M309" s="2"/>
    </row>
    <row r="310" spans="1:13">
      <c r="A310" s="109"/>
      <c r="B310" s="97"/>
      <c r="C310" s="30" t="s">
        <v>14</v>
      </c>
      <c r="D310" s="31">
        <f>D298+D302+D306</f>
        <v>92885.95</v>
      </c>
      <c r="E310" s="31">
        <f t="shared" si="103"/>
        <v>1179491.72</v>
      </c>
      <c r="F310" s="31">
        <f t="shared" si="103"/>
        <v>1272377.67</v>
      </c>
      <c r="G310" s="31">
        <f t="shared" si="103"/>
        <v>0</v>
      </c>
      <c r="H310" s="31">
        <f t="shared" si="103"/>
        <v>0</v>
      </c>
      <c r="I310" s="31">
        <f t="shared" si="103"/>
        <v>0</v>
      </c>
      <c r="J310" s="31">
        <f t="shared" si="103"/>
        <v>0</v>
      </c>
      <c r="K310" s="31">
        <f t="shared" si="103"/>
        <v>1272377.67</v>
      </c>
      <c r="L310" s="31">
        <f t="shared" si="103"/>
        <v>186648</v>
      </c>
      <c r="M310" s="2"/>
    </row>
    <row r="311" spans="1:13">
      <c r="A311" s="109"/>
      <c r="B311" s="97"/>
      <c r="C311" s="30" t="s">
        <v>33</v>
      </c>
      <c r="D311" s="31">
        <f>D298+D302+D306</f>
        <v>92885.95</v>
      </c>
      <c r="E311" s="31">
        <f t="shared" ref="E311:L312" si="104">E298+E302+E306</f>
        <v>1179491.72</v>
      </c>
      <c r="F311" s="31">
        <f t="shared" si="104"/>
        <v>1272377.67</v>
      </c>
      <c r="G311" s="31">
        <f t="shared" si="104"/>
        <v>0</v>
      </c>
      <c r="H311" s="31">
        <f t="shared" si="104"/>
        <v>0</v>
      </c>
      <c r="I311" s="31">
        <f t="shared" si="104"/>
        <v>0</v>
      </c>
      <c r="J311" s="31">
        <f t="shared" si="104"/>
        <v>0</v>
      </c>
      <c r="K311" s="31">
        <f t="shared" si="104"/>
        <v>1272377.67</v>
      </c>
      <c r="L311" s="31">
        <f t="shared" si="104"/>
        <v>186648</v>
      </c>
      <c r="M311" s="2"/>
    </row>
    <row r="312" spans="1:13">
      <c r="A312" s="109"/>
      <c r="B312" s="113"/>
      <c r="C312" s="30" t="s">
        <v>15</v>
      </c>
      <c r="D312" s="31">
        <f>D299+D303+D307</f>
        <v>8227.1600000000035</v>
      </c>
      <c r="E312" s="31">
        <f t="shared" si="104"/>
        <v>205.28000000002794</v>
      </c>
      <c r="F312" s="31">
        <f t="shared" si="104"/>
        <v>8432.4400000000605</v>
      </c>
      <c r="G312" s="31">
        <f t="shared" si="104"/>
        <v>0</v>
      </c>
      <c r="H312" s="31">
        <f t="shared" si="104"/>
        <v>0</v>
      </c>
      <c r="I312" s="31">
        <f t="shared" si="104"/>
        <v>0</v>
      </c>
      <c r="J312" s="31">
        <f t="shared" si="104"/>
        <v>0</v>
      </c>
      <c r="K312" s="31">
        <f t="shared" si="104"/>
        <v>8432.4400000000605</v>
      </c>
      <c r="L312" s="31">
        <f t="shared" si="104"/>
        <v>0</v>
      </c>
      <c r="M312" s="2"/>
    </row>
    <row r="313" spans="1:13">
      <c r="A313" s="109"/>
      <c r="B313" s="97" t="s">
        <v>34</v>
      </c>
      <c r="C313" s="30" t="s">
        <v>12</v>
      </c>
      <c r="D313" s="31">
        <v>38519.279999999999</v>
      </c>
      <c r="E313" s="31">
        <v>589848.5</v>
      </c>
      <c r="F313" s="31">
        <f>SUM(D313:E313)</f>
        <v>628367.78</v>
      </c>
      <c r="G313" s="31">
        <v>0</v>
      </c>
      <c r="H313" s="30">
        <v>0</v>
      </c>
      <c r="I313" s="30">
        <v>0</v>
      </c>
      <c r="J313" s="30">
        <v>0</v>
      </c>
      <c r="K313" s="31">
        <f>D313+E313+G313+H313+I313+J313</f>
        <v>628367.78</v>
      </c>
      <c r="L313" s="31">
        <v>31482.5</v>
      </c>
      <c r="M313" s="2"/>
    </row>
    <row r="314" spans="1:13">
      <c r="A314" s="109"/>
      <c r="B314" s="97"/>
      <c r="C314" s="30" t="s">
        <v>13</v>
      </c>
      <c r="D314" s="31">
        <v>0</v>
      </c>
      <c r="E314" s="31">
        <v>0</v>
      </c>
      <c r="F314" s="31">
        <f>SUM(D314:E314)</f>
        <v>0</v>
      </c>
      <c r="G314" s="31">
        <v>0</v>
      </c>
      <c r="H314" s="30">
        <v>0</v>
      </c>
      <c r="I314" s="30">
        <v>0</v>
      </c>
      <c r="J314" s="30">
        <v>0</v>
      </c>
      <c r="K314" s="31">
        <f>D314+E314+G314+H314+I314+J314</f>
        <v>0</v>
      </c>
      <c r="L314" s="31">
        <v>0</v>
      </c>
      <c r="M314" s="2"/>
    </row>
    <row r="315" spans="1:13">
      <c r="A315" s="109"/>
      <c r="B315" s="97"/>
      <c r="C315" s="30" t="s">
        <v>14</v>
      </c>
      <c r="D315" s="31">
        <v>0</v>
      </c>
      <c r="E315" s="31">
        <v>0</v>
      </c>
      <c r="F315" s="31">
        <f>SUM(D315:E315)</f>
        <v>0</v>
      </c>
      <c r="G315" s="31">
        <v>0</v>
      </c>
      <c r="H315" s="30">
        <v>0</v>
      </c>
      <c r="I315" s="30">
        <v>0</v>
      </c>
      <c r="J315" s="30">
        <v>0</v>
      </c>
      <c r="K315" s="31">
        <f>D315+E315+G315+H315+I315+J315</f>
        <v>0</v>
      </c>
      <c r="L315" s="31">
        <v>0</v>
      </c>
      <c r="M315" s="2"/>
    </row>
    <row r="316" spans="1:13">
      <c r="A316" s="109"/>
      <c r="B316" s="98"/>
      <c r="C316" s="90" t="s">
        <v>23</v>
      </c>
      <c r="D316" s="83">
        <v>0</v>
      </c>
      <c r="E316" s="83">
        <v>0</v>
      </c>
      <c r="F316" s="83">
        <v>0</v>
      </c>
      <c r="G316" s="83">
        <f>G313-G315</f>
        <v>0</v>
      </c>
      <c r="H316" s="83">
        <f>H313-H315</f>
        <v>0</v>
      </c>
      <c r="I316" s="83">
        <f>I313-I315</f>
        <v>0</v>
      </c>
      <c r="J316" s="83">
        <f>J313-J315</f>
        <v>0</v>
      </c>
      <c r="K316" s="83">
        <v>0</v>
      </c>
      <c r="L316" s="83">
        <v>0</v>
      </c>
      <c r="M316" s="2"/>
    </row>
    <row r="317" spans="1:13">
      <c r="A317" s="109"/>
      <c r="B317" s="97" t="s">
        <v>35</v>
      </c>
      <c r="C317" s="30" t="s">
        <v>12</v>
      </c>
      <c r="D317" s="31">
        <v>38519.279999999999</v>
      </c>
      <c r="E317" s="31">
        <v>589848.5</v>
      </c>
      <c r="F317" s="31">
        <f>SUM(D317:E317)</f>
        <v>628367.78</v>
      </c>
      <c r="G317" s="31">
        <v>0</v>
      </c>
      <c r="H317" s="30">
        <v>0</v>
      </c>
      <c r="I317" s="30">
        <v>0</v>
      </c>
      <c r="J317" s="30">
        <v>0</v>
      </c>
      <c r="K317" s="31">
        <f>D317+E317+G317+H317+I317+J317</f>
        <v>628367.78</v>
      </c>
      <c r="L317" s="31">
        <v>0</v>
      </c>
      <c r="M317" s="2"/>
    </row>
    <row r="318" spans="1:13">
      <c r="A318" s="109"/>
      <c r="B318" s="97"/>
      <c r="C318" s="30" t="s">
        <v>13</v>
      </c>
      <c r="D318" s="31">
        <v>0</v>
      </c>
      <c r="E318" s="31">
        <v>0</v>
      </c>
      <c r="F318" s="31">
        <f>SUM(D318:E318)</f>
        <v>0</v>
      </c>
      <c r="G318" s="31">
        <v>0</v>
      </c>
      <c r="H318" s="30">
        <v>0</v>
      </c>
      <c r="I318" s="30">
        <v>0</v>
      </c>
      <c r="J318" s="30">
        <v>0</v>
      </c>
      <c r="K318" s="31">
        <f>D318+E318+G318+H318+I318+J318</f>
        <v>0</v>
      </c>
      <c r="L318" s="31">
        <v>0</v>
      </c>
      <c r="M318" s="2"/>
    </row>
    <row r="319" spans="1:13">
      <c r="A319" s="109"/>
      <c r="B319" s="97"/>
      <c r="C319" s="30" t="s">
        <v>14</v>
      </c>
      <c r="D319" s="31">
        <v>0</v>
      </c>
      <c r="E319" s="31">
        <v>0</v>
      </c>
      <c r="F319" s="31">
        <f>SUM(D319:E319)</f>
        <v>0</v>
      </c>
      <c r="G319" s="31">
        <v>0</v>
      </c>
      <c r="H319" s="30">
        <v>0</v>
      </c>
      <c r="I319" s="30">
        <v>0</v>
      </c>
      <c r="J319" s="30">
        <v>0</v>
      </c>
      <c r="K319" s="31">
        <f>D319+E319+G319+H319+I319+J319</f>
        <v>0</v>
      </c>
      <c r="L319" s="31">
        <v>0</v>
      </c>
      <c r="M319" s="2"/>
    </row>
    <row r="320" spans="1:13">
      <c r="A320" s="109"/>
      <c r="B320" s="98"/>
      <c r="C320" s="91" t="s">
        <v>23</v>
      </c>
      <c r="D320" s="82">
        <v>0</v>
      </c>
      <c r="E320" s="82">
        <v>0</v>
      </c>
      <c r="F320" s="82">
        <v>0</v>
      </c>
      <c r="G320" s="82">
        <f t="shared" ref="G320:L320" si="105">G317-G319</f>
        <v>0</v>
      </c>
      <c r="H320" s="82">
        <f t="shared" si="105"/>
        <v>0</v>
      </c>
      <c r="I320" s="82">
        <f t="shared" si="105"/>
        <v>0</v>
      </c>
      <c r="J320" s="82">
        <f t="shared" si="105"/>
        <v>0</v>
      </c>
      <c r="K320" s="82">
        <v>0</v>
      </c>
      <c r="L320" s="82">
        <f t="shared" si="105"/>
        <v>0</v>
      </c>
      <c r="M320" s="2"/>
    </row>
    <row r="321" spans="1:16">
      <c r="A321" s="109"/>
      <c r="B321" s="97" t="s">
        <v>36</v>
      </c>
      <c r="C321" s="30" t="s">
        <v>12</v>
      </c>
      <c r="D321" s="31">
        <v>2407.46</v>
      </c>
      <c r="E321" s="31">
        <v>53622.59</v>
      </c>
      <c r="F321" s="31">
        <f>SUM(D321:E321)</f>
        <v>56030.049999999996</v>
      </c>
      <c r="G321" s="31">
        <v>0</v>
      </c>
      <c r="H321" s="30">
        <v>0</v>
      </c>
      <c r="I321" s="30">
        <v>0</v>
      </c>
      <c r="J321" s="30">
        <v>0</v>
      </c>
      <c r="K321" s="31">
        <f>D321+E321+G321+H321+I321+J321</f>
        <v>56030.049999999996</v>
      </c>
      <c r="L321" s="31">
        <v>0</v>
      </c>
      <c r="M321" s="2"/>
    </row>
    <row r="322" spans="1:16">
      <c r="A322" s="109"/>
      <c r="B322" s="97"/>
      <c r="C322" s="30" t="s">
        <v>13</v>
      </c>
      <c r="D322" s="31">
        <v>0</v>
      </c>
      <c r="E322" s="31">
        <v>0</v>
      </c>
      <c r="F322" s="31">
        <f>SUM(D322:E322)</f>
        <v>0</v>
      </c>
      <c r="G322" s="31">
        <v>0</v>
      </c>
      <c r="H322" s="30">
        <v>0</v>
      </c>
      <c r="I322" s="30">
        <v>0</v>
      </c>
      <c r="J322" s="30">
        <v>0</v>
      </c>
      <c r="K322" s="31">
        <f>D322+E322+G322+H322+I322+J322</f>
        <v>0</v>
      </c>
      <c r="L322" s="31">
        <v>0</v>
      </c>
      <c r="M322" s="2"/>
    </row>
    <row r="323" spans="1:16">
      <c r="A323" s="109"/>
      <c r="B323" s="97"/>
      <c r="C323" s="30" t="s">
        <v>14</v>
      </c>
      <c r="D323" s="31">
        <v>0</v>
      </c>
      <c r="E323" s="31">
        <v>0</v>
      </c>
      <c r="F323" s="31">
        <f>SUM(D323:E323)</f>
        <v>0</v>
      </c>
      <c r="G323" s="31">
        <v>0</v>
      </c>
      <c r="H323" s="30">
        <v>0</v>
      </c>
      <c r="I323" s="30">
        <v>0</v>
      </c>
      <c r="J323" s="30">
        <v>0</v>
      </c>
      <c r="K323" s="31">
        <f>D323+E323+G323+H323+I323+J323</f>
        <v>0</v>
      </c>
      <c r="L323" s="31">
        <v>0</v>
      </c>
      <c r="M323" s="2"/>
    </row>
    <row r="324" spans="1:16">
      <c r="A324" s="109"/>
      <c r="B324" s="98"/>
      <c r="C324" s="91" t="s">
        <v>23</v>
      </c>
      <c r="D324" s="82">
        <v>0</v>
      </c>
      <c r="E324" s="82">
        <v>0</v>
      </c>
      <c r="F324" s="82">
        <v>0</v>
      </c>
      <c r="G324" s="82">
        <f t="shared" ref="G324:L324" si="106">G321-G323</f>
        <v>0</v>
      </c>
      <c r="H324" s="82">
        <f t="shared" si="106"/>
        <v>0</v>
      </c>
      <c r="I324" s="82">
        <f t="shared" si="106"/>
        <v>0</v>
      </c>
      <c r="J324" s="82">
        <f t="shared" si="106"/>
        <v>0</v>
      </c>
      <c r="K324" s="82">
        <v>0</v>
      </c>
      <c r="L324" s="82">
        <f t="shared" si="106"/>
        <v>0</v>
      </c>
      <c r="M324" s="2"/>
      <c r="P324" s="45"/>
    </row>
    <row r="325" spans="1:16">
      <c r="A325" s="109"/>
      <c r="B325" s="106" t="s">
        <v>37</v>
      </c>
      <c r="C325" s="30" t="s">
        <v>12</v>
      </c>
      <c r="D325" s="31">
        <f>D313+D317+D321</f>
        <v>79446.02</v>
      </c>
      <c r="E325" s="31">
        <f t="shared" ref="E325:L325" si="107">E313+E317+E321</f>
        <v>1233319.5900000001</v>
      </c>
      <c r="F325" s="31">
        <f t="shared" si="107"/>
        <v>1312765.6100000001</v>
      </c>
      <c r="G325" s="31">
        <f t="shared" si="107"/>
        <v>0</v>
      </c>
      <c r="H325" s="31">
        <f t="shared" si="107"/>
        <v>0</v>
      </c>
      <c r="I325" s="31">
        <f t="shared" si="107"/>
        <v>0</v>
      </c>
      <c r="J325" s="31">
        <f t="shared" si="107"/>
        <v>0</v>
      </c>
      <c r="K325" s="31">
        <f t="shared" si="107"/>
        <v>1312765.6100000001</v>
      </c>
      <c r="L325" s="31">
        <f t="shared" si="107"/>
        <v>31482.5</v>
      </c>
      <c r="M325" s="2"/>
    </row>
    <row r="326" spans="1:16">
      <c r="A326" s="109"/>
      <c r="B326" s="106"/>
      <c r="C326" s="30" t="s">
        <v>13</v>
      </c>
      <c r="D326" s="31">
        <f t="shared" ref="D326:L328" si="108">D314+D318+D322</f>
        <v>0</v>
      </c>
      <c r="E326" s="31">
        <f t="shared" si="108"/>
        <v>0</v>
      </c>
      <c r="F326" s="31">
        <f t="shared" si="108"/>
        <v>0</v>
      </c>
      <c r="G326" s="31">
        <f t="shared" si="108"/>
        <v>0</v>
      </c>
      <c r="H326" s="31">
        <f t="shared" si="108"/>
        <v>0</v>
      </c>
      <c r="I326" s="31">
        <f t="shared" si="108"/>
        <v>0</v>
      </c>
      <c r="J326" s="31">
        <f t="shared" si="108"/>
        <v>0</v>
      </c>
      <c r="K326" s="31">
        <f t="shared" si="108"/>
        <v>0</v>
      </c>
      <c r="L326" s="31">
        <f t="shared" si="108"/>
        <v>0</v>
      </c>
      <c r="M326" s="2"/>
    </row>
    <row r="327" spans="1:16">
      <c r="A327" s="109"/>
      <c r="B327" s="106"/>
      <c r="C327" s="30" t="s">
        <v>14</v>
      </c>
      <c r="D327" s="31">
        <f t="shared" si="108"/>
        <v>0</v>
      </c>
      <c r="E327" s="31">
        <f t="shared" si="108"/>
        <v>0</v>
      </c>
      <c r="F327" s="31">
        <f t="shared" si="108"/>
        <v>0</v>
      </c>
      <c r="G327" s="31">
        <f t="shared" si="108"/>
        <v>0</v>
      </c>
      <c r="H327" s="31">
        <f t="shared" si="108"/>
        <v>0</v>
      </c>
      <c r="I327" s="31">
        <f t="shared" si="108"/>
        <v>0</v>
      </c>
      <c r="J327" s="31">
        <f t="shared" si="108"/>
        <v>0</v>
      </c>
      <c r="K327" s="31">
        <f t="shared" si="108"/>
        <v>0</v>
      </c>
      <c r="L327" s="31">
        <f t="shared" si="108"/>
        <v>0</v>
      </c>
      <c r="M327" s="2"/>
    </row>
    <row r="328" spans="1:16">
      <c r="A328" s="109"/>
      <c r="B328" s="106"/>
      <c r="C328" s="30" t="s">
        <v>38</v>
      </c>
      <c r="D328" s="31">
        <f t="shared" si="108"/>
        <v>0</v>
      </c>
      <c r="E328" s="31">
        <f t="shared" si="108"/>
        <v>0</v>
      </c>
      <c r="F328" s="31">
        <f t="shared" si="108"/>
        <v>0</v>
      </c>
      <c r="G328" s="31">
        <f t="shared" si="108"/>
        <v>0</v>
      </c>
      <c r="H328" s="31">
        <f t="shared" si="108"/>
        <v>0</v>
      </c>
      <c r="I328" s="31">
        <f t="shared" si="108"/>
        <v>0</v>
      </c>
      <c r="J328" s="31">
        <f t="shared" si="108"/>
        <v>0</v>
      </c>
      <c r="K328" s="31">
        <f t="shared" si="108"/>
        <v>0</v>
      </c>
      <c r="L328" s="31">
        <f t="shared" si="108"/>
        <v>0</v>
      </c>
      <c r="M328" s="2"/>
    </row>
    <row r="329" spans="1:16">
      <c r="A329" s="109"/>
      <c r="B329" s="106" t="s">
        <v>39</v>
      </c>
      <c r="C329" s="46" t="s">
        <v>12</v>
      </c>
      <c r="D329" s="47">
        <f>D308+D325</f>
        <v>243152.96000000002</v>
      </c>
      <c r="E329" s="47">
        <f t="shared" ref="E329:L329" si="109">E308+E325</f>
        <v>3002865.09</v>
      </c>
      <c r="F329" s="47">
        <f t="shared" si="109"/>
        <v>3246018.05</v>
      </c>
      <c r="G329" s="47">
        <f t="shared" si="109"/>
        <v>0</v>
      </c>
      <c r="H329" s="47">
        <f t="shared" si="109"/>
        <v>0</v>
      </c>
      <c r="I329" s="47">
        <f t="shared" si="109"/>
        <v>0</v>
      </c>
      <c r="J329" s="47">
        <f t="shared" si="109"/>
        <v>0</v>
      </c>
      <c r="K329" s="47">
        <f t="shared" si="109"/>
        <v>3246018.05</v>
      </c>
      <c r="L329" s="47">
        <f t="shared" si="109"/>
        <v>341745.6</v>
      </c>
      <c r="M329" s="2"/>
    </row>
    <row r="330" spans="1:16">
      <c r="A330" s="109"/>
      <c r="B330" s="106"/>
      <c r="C330" s="46" t="s">
        <v>13</v>
      </c>
      <c r="D330" s="47">
        <f t="shared" ref="D330:L331" si="110">D309+D326</f>
        <v>103461.75</v>
      </c>
      <c r="E330" s="47">
        <f t="shared" si="110"/>
        <v>1294009.75</v>
      </c>
      <c r="F330" s="47">
        <f t="shared" si="110"/>
        <v>1397471.5</v>
      </c>
      <c r="G330" s="47">
        <f t="shared" si="110"/>
        <v>0</v>
      </c>
      <c r="H330" s="47">
        <f t="shared" si="110"/>
        <v>0</v>
      </c>
      <c r="I330" s="47">
        <f t="shared" si="110"/>
        <v>0</v>
      </c>
      <c r="J330" s="47">
        <f t="shared" si="110"/>
        <v>0</v>
      </c>
      <c r="K330" s="47">
        <f t="shared" si="110"/>
        <v>1397471.5</v>
      </c>
      <c r="L330" s="47">
        <f t="shared" si="110"/>
        <v>186648</v>
      </c>
      <c r="M330" s="2"/>
    </row>
    <row r="331" spans="1:16">
      <c r="A331" s="109"/>
      <c r="B331" s="106"/>
      <c r="C331" s="46" t="s">
        <v>14</v>
      </c>
      <c r="D331" s="47">
        <f t="shared" si="110"/>
        <v>92885.95</v>
      </c>
      <c r="E331" s="47">
        <f t="shared" si="110"/>
        <v>1179491.72</v>
      </c>
      <c r="F331" s="47">
        <f t="shared" si="110"/>
        <v>1272377.67</v>
      </c>
      <c r="G331" s="47">
        <f t="shared" si="110"/>
        <v>0</v>
      </c>
      <c r="H331" s="47">
        <f t="shared" si="110"/>
        <v>0</v>
      </c>
      <c r="I331" s="47">
        <f t="shared" si="110"/>
        <v>0</v>
      </c>
      <c r="J331" s="47">
        <f t="shared" si="110"/>
        <v>0</v>
      </c>
      <c r="K331" s="47">
        <f t="shared" si="110"/>
        <v>1272377.67</v>
      </c>
      <c r="L331" s="47">
        <f t="shared" si="110"/>
        <v>186648</v>
      </c>
      <c r="M331" s="2"/>
    </row>
    <row r="332" spans="1:16">
      <c r="A332" s="109"/>
      <c r="B332" s="106"/>
      <c r="C332" s="46" t="s">
        <v>33</v>
      </c>
      <c r="D332" s="47">
        <f>D311+D327</f>
        <v>92885.95</v>
      </c>
      <c r="E332" s="47">
        <f t="shared" ref="E332:L332" si="111">E311+E327</f>
        <v>1179491.72</v>
      </c>
      <c r="F332" s="47">
        <f t="shared" si="111"/>
        <v>1272377.67</v>
      </c>
      <c r="G332" s="47">
        <f t="shared" si="111"/>
        <v>0</v>
      </c>
      <c r="H332" s="47">
        <f t="shared" si="111"/>
        <v>0</v>
      </c>
      <c r="I332" s="47">
        <f t="shared" si="111"/>
        <v>0</v>
      </c>
      <c r="J332" s="47">
        <f t="shared" si="111"/>
        <v>0</v>
      </c>
      <c r="K332" s="47">
        <f t="shared" si="111"/>
        <v>1272377.67</v>
      </c>
      <c r="L332" s="47">
        <f t="shared" si="111"/>
        <v>186648</v>
      </c>
      <c r="M332" s="2"/>
    </row>
    <row r="333" spans="1:16" ht="19.5" customHeight="1">
      <c r="A333" s="119"/>
      <c r="B333" s="118" t="s">
        <v>40</v>
      </c>
      <c r="C333" s="39" t="s">
        <v>12</v>
      </c>
      <c r="D333" s="40">
        <f>D288+D329</f>
        <v>352795.16000000003</v>
      </c>
      <c r="E333" s="40">
        <f t="shared" ref="E333:L333" si="112">E288+E329</f>
        <v>6541685.4100000001</v>
      </c>
      <c r="F333" s="40">
        <f t="shared" si="112"/>
        <v>6894480.5700000003</v>
      </c>
      <c r="G333" s="40">
        <f t="shared" si="112"/>
        <v>0</v>
      </c>
      <c r="H333" s="40">
        <f t="shared" si="112"/>
        <v>0</v>
      </c>
      <c r="I333" s="40">
        <f t="shared" si="112"/>
        <v>0</v>
      </c>
      <c r="J333" s="40">
        <f t="shared" si="112"/>
        <v>0</v>
      </c>
      <c r="K333" s="40">
        <f t="shared" si="112"/>
        <v>6894480.5700000003</v>
      </c>
      <c r="L333" s="40">
        <f t="shared" si="112"/>
        <v>889644.6</v>
      </c>
      <c r="M333" s="2"/>
    </row>
    <row r="334" spans="1:16" ht="18" customHeight="1">
      <c r="A334" s="119"/>
      <c r="B334" s="118"/>
      <c r="C334" s="39" t="s">
        <v>13</v>
      </c>
      <c r="D334" s="40">
        <f>D292+D330</f>
        <v>278615.27</v>
      </c>
      <c r="E334" s="40">
        <f t="shared" ref="E334:L334" si="113">E292+E330</f>
        <v>5128269.37</v>
      </c>
      <c r="F334" s="40">
        <f t="shared" si="113"/>
        <v>5406884.6400000006</v>
      </c>
      <c r="G334" s="40">
        <f t="shared" si="113"/>
        <v>0</v>
      </c>
      <c r="H334" s="40">
        <f t="shared" si="113"/>
        <v>0</v>
      </c>
      <c r="I334" s="40">
        <f t="shared" si="113"/>
        <v>0</v>
      </c>
      <c r="J334" s="40">
        <f t="shared" si="113"/>
        <v>0</v>
      </c>
      <c r="K334" s="40">
        <f t="shared" si="113"/>
        <v>5406884.6400000006</v>
      </c>
      <c r="L334" s="40">
        <f t="shared" si="113"/>
        <v>734547</v>
      </c>
      <c r="M334" s="2"/>
    </row>
    <row r="335" spans="1:16" ht="18.75" customHeight="1">
      <c r="A335" s="119"/>
      <c r="B335" s="118"/>
      <c r="C335" s="41" t="s">
        <v>14</v>
      </c>
      <c r="D335" s="40">
        <f>D294+D331</f>
        <v>202528.15</v>
      </c>
      <c r="E335" s="40">
        <f t="shared" ref="E335:L335" si="114">E294+E331</f>
        <v>4718312.04</v>
      </c>
      <c r="F335" s="40">
        <f t="shared" si="114"/>
        <v>4920840.1900000004</v>
      </c>
      <c r="G335" s="40">
        <f t="shared" si="114"/>
        <v>0</v>
      </c>
      <c r="H335" s="40">
        <f t="shared" si="114"/>
        <v>0</v>
      </c>
      <c r="I335" s="40">
        <f t="shared" si="114"/>
        <v>0</v>
      </c>
      <c r="J335" s="40">
        <f t="shared" si="114"/>
        <v>0</v>
      </c>
      <c r="K335" s="40">
        <f t="shared" si="114"/>
        <v>4920840.1900000004</v>
      </c>
      <c r="L335" s="40">
        <f t="shared" si="114"/>
        <v>734547</v>
      </c>
      <c r="M335" s="2"/>
    </row>
    <row r="336" spans="1:16">
      <c r="A336" s="108" t="s">
        <v>48</v>
      </c>
      <c r="B336" s="98" t="s">
        <v>11</v>
      </c>
      <c r="C336" s="30" t="s">
        <v>12</v>
      </c>
      <c r="D336" s="31">
        <v>0</v>
      </c>
      <c r="E336" s="31">
        <v>0</v>
      </c>
      <c r="F336" s="31">
        <f>D336+E336</f>
        <v>0</v>
      </c>
      <c r="G336" s="31">
        <f>100248.07-10664.27</f>
        <v>89583.8</v>
      </c>
      <c r="H336" s="31">
        <v>0</v>
      </c>
      <c r="I336" s="31">
        <v>0</v>
      </c>
      <c r="J336" s="31">
        <v>0</v>
      </c>
      <c r="K336" s="31">
        <f>J336+I336+H336+G336+E336+D336</f>
        <v>89583.8</v>
      </c>
      <c r="L336" s="31">
        <v>0</v>
      </c>
    </row>
    <row r="337" spans="1:12">
      <c r="A337" s="108"/>
      <c r="B337" s="98"/>
      <c r="C337" s="30" t="s">
        <v>13</v>
      </c>
      <c r="D337" s="31">
        <v>0</v>
      </c>
      <c r="E337" s="31">
        <v>0</v>
      </c>
      <c r="F337" s="31">
        <f>D337+E337</f>
        <v>0</v>
      </c>
      <c r="G337" s="31">
        <v>87931.85</v>
      </c>
      <c r="H337" s="31">
        <v>0</v>
      </c>
      <c r="I337" s="31">
        <v>0</v>
      </c>
      <c r="J337" s="31">
        <v>0</v>
      </c>
      <c r="K337" s="31">
        <f>J337+I337+H337+G337+E337+D337</f>
        <v>87931.85</v>
      </c>
      <c r="L337" s="31">
        <v>0</v>
      </c>
    </row>
    <row r="338" spans="1:12">
      <c r="A338" s="108"/>
      <c r="B338" s="98"/>
      <c r="C338" s="32" t="s">
        <v>14</v>
      </c>
      <c r="D338" s="31">
        <v>0</v>
      </c>
      <c r="E338" s="31">
        <v>0</v>
      </c>
      <c r="F338" s="31">
        <f>D338+E338</f>
        <v>0</v>
      </c>
      <c r="G338" s="31">
        <v>87931.85</v>
      </c>
      <c r="H338" s="31">
        <v>0</v>
      </c>
      <c r="I338" s="31">
        <v>0</v>
      </c>
      <c r="J338" s="31">
        <v>0</v>
      </c>
      <c r="K338" s="31">
        <f>J338+I338+H338+G338+E338+D338</f>
        <v>87931.85</v>
      </c>
      <c r="L338" s="31">
        <v>0</v>
      </c>
    </row>
    <row r="339" spans="1:12">
      <c r="A339" s="108"/>
      <c r="B339" s="98"/>
      <c r="C339" s="30" t="s">
        <v>15</v>
      </c>
      <c r="D339" s="31">
        <f>D336-D338</f>
        <v>0</v>
      </c>
      <c r="E339" s="31">
        <f t="shared" ref="E339:L339" si="115">E336-E338</f>
        <v>0</v>
      </c>
      <c r="F339" s="31">
        <f t="shared" si="115"/>
        <v>0</v>
      </c>
      <c r="G339" s="31">
        <f t="shared" si="115"/>
        <v>1651.9499999999971</v>
      </c>
      <c r="H339" s="31">
        <f t="shared" si="115"/>
        <v>0</v>
      </c>
      <c r="I339" s="31">
        <f t="shared" si="115"/>
        <v>0</v>
      </c>
      <c r="J339" s="31">
        <f t="shared" si="115"/>
        <v>0</v>
      </c>
      <c r="K339" s="31">
        <f t="shared" si="115"/>
        <v>1651.9499999999971</v>
      </c>
      <c r="L339" s="31">
        <f t="shared" si="115"/>
        <v>0</v>
      </c>
    </row>
    <row r="340" spans="1:12">
      <c r="A340" s="108"/>
      <c r="B340" s="98" t="s">
        <v>16</v>
      </c>
      <c r="C340" s="30" t="s">
        <v>12</v>
      </c>
      <c r="D340" s="31">
        <v>0</v>
      </c>
      <c r="E340" s="31">
        <v>0</v>
      </c>
      <c r="F340" s="31">
        <f>D340+E340</f>
        <v>0</v>
      </c>
      <c r="G340" s="31">
        <v>100248.07</v>
      </c>
      <c r="H340" s="31">
        <v>0</v>
      </c>
      <c r="I340" s="31">
        <v>0</v>
      </c>
      <c r="J340" s="31">
        <v>0</v>
      </c>
      <c r="K340" s="31">
        <f>J340+I340+H340+G340+E340+D340</f>
        <v>100248.07</v>
      </c>
      <c r="L340" s="31">
        <v>0</v>
      </c>
    </row>
    <row r="341" spans="1:12">
      <c r="A341" s="108"/>
      <c r="B341" s="98"/>
      <c r="C341" s="30" t="s">
        <v>13</v>
      </c>
      <c r="D341" s="31">
        <v>0</v>
      </c>
      <c r="E341" s="31">
        <v>0</v>
      </c>
      <c r="F341" s="31">
        <f>D341+E341</f>
        <v>0</v>
      </c>
      <c r="G341" s="31">
        <v>96904.24</v>
      </c>
      <c r="H341" s="31">
        <v>0</v>
      </c>
      <c r="I341" s="31">
        <v>0</v>
      </c>
      <c r="J341" s="31">
        <v>0</v>
      </c>
      <c r="K341" s="31">
        <f>J341+I341+H341+G341+E341+D341</f>
        <v>96904.24</v>
      </c>
      <c r="L341" s="31">
        <v>0</v>
      </c>
    </row>
    <row r="342" spans="1:12">
      <c r="A342" s="108"/>
      <c r="B342" s="98"/>
      <c r="C342" s="32" t="s">
        <v>14</v>
      </c>
      <c r="D342" s="31">
        <v>0</v>
      </c>
      <c r="E342" s="31">
        <v>0</v>
      </c>
      <c r="F342" s="31">
        <f>D342+E342</f>
        <v>0</v>
      </c>
      <c r="G342" s="31">
        <v>96904.24</v>
      </c>
      <c r="H342" s="31">
        <v>0</v>
      </c>
      <c r="I342" s="31">
        <v>0</v>
      </c>
      <c r="J342" s="31">
        <v>0</v>
      </c>
      <c r="K342" s="31">
        <f>J342+I342+H342+G342+E342+D342</f>
        <v>96904.24</v>
      </c>
      <c r="L342" s="31">
        <v>0</v>
      </c>
    </row>
    <row r="343" spans="1:12">
      <c r="A343" s="108"/>
      <c r="B343" s="98"/>
      <c r="C343" s="30" t="s">
        <v>17</v>
      </c>
      <c r="D343" s="31">
        <f>D340-D342</f>
        <v>0</v>
      </c>
      <c r="E343" s="31">
        <f t="shared" ref="E343:J343" si="116">E340-E342</f>
        <v>0</v>
      </c>
      <c r="F343" s="31">
        <f t="shared" si="116"/>
        <v>0</v>
      </c>
      <c r="G343" s="31">
        <f t="shared" si="116"/>
        <v>3343.8300000000017</v>
      </c>
      <c r="H343" s="31">
        <f t="shared" si="116"/>
        <v>0</v>
      </c>
      <c r="I343" s="31">
        <f t="shared" si="116"/>
        <v>0</v>
      </c>
      <c r="J343" s="31">
        <f t="shared" si="116"/>
        <v>0</v>
      </c>
      <c r="K343" s="31">
        <f>K340-K342</f>
        <v>3343.8300000000017</v>
      </c>
      <c r="L343" s="31">
        <f>L340-L342</f>
        <v>0</v>
      </c>
    </row>
    <row r="344" spans="1:12">
      <c r="A344" s="108"/>
      <c r="B344" s="98" t="s">
        <v>18</v>
      </c>
      <c r="C344" s="30" t="s">
        <v>12</v>
      </c>
      <c r="D344" s="31">
        <v>0</v>
      </c>
      <c r="E344" s="31">
        <v>0</v>
      </c>
      <c r="F344" s="31">
        <f>D344+E344</f>
        <v>0</v>
      </c>
      <c r="G344" s="31">
        <v>100248.07</v>
      </c>
      <c r="H344" s="31">
        <v>0</v>
      </c>
      <c r="I344" s="31">
        <v>0</v>
      </c>
      <c r="J344" s="31">
        <v>0</v>
      </c>
      <c r="K344" s="31">
        <f>J344+I344+H344+G344+E344+D344</f>
        <v>100248.07</v>
      </c>
      <c r="L344" s="31">
        <v>0</v>
      </c>
    </row>
    <row r="345" spans="1:12">
      <c r="A345" s="108"/>
      <c r="B345" s="98"/>
      <c r="C345" s="30" t="s">
        <v>13</v>
      </c>
      <c r="D345" s="31">
        <v>0</v>
      </c>
      <c r="E345" s="31">
        <v>0</v>
      </c>
      <c r="F345" s="31">
        <f>D345+E345</f>
        <v>0</v>
      </c>
      <c r="G345" s="31">
        <v>103984.46</v>
      </c>
      <c r="H345" s="31">
        <v>0</v>
      </c>
      <c r="I345" s="31">
        <v>0</v>
      </c>
      <c r="J345" s="31">
        <v>0</v>
      </c>
      <c r="K345" s="31">
        <f>J345+I345+H345+G345+E345+D345</f>
        <v>103984.46</v>
      </c>
      <c r="L345" s="31">
        <v>0</v>
      </c>
    </row>
    <row r="346" spans="1:12">
      <c r="A346" s="108"/>
      <c r="B346" s="98"/>
      <c r="C346" s="32" t="s">
        <v>14</v>
      </c>
      <c r="D346" s="31">
        <v>0</v>
      </c>
      <c r="E346" s="31">
        <v>0</v>
      </c>
      <c r="F346" s="31">
        <f>D346+E346</f>
        <v>0</v>
      </c>
      <c r="G346" s="31">
        <v>99990.83</v>
      </c>
      <c r="H346" s="31">
        <v>0</v>
      </c>
      <c r="I346" s="31">
        <v>0</v>
      </c>
      <c r="J346" s="31">
        <v>0</v>
      </c>
      <c r="K346" s="31">
        <f>J346+I346+H346+G346+E346+D346</f>
        <v>99990.83</v>
      </c>
      <c r="L346" s="31">
        <v>0</v>
      </c>
    </row>
    <row r="347" spans="1:12">
      <c r="A347" s="108"/>
      <c r="B347" s="98"/>
      <c r="C347" s="30" t="s">
        <v>17</v>
      </c>
      <c r="D347" s="31">
        <f>D344-D346</f>
        <v>0</v>
      </c>
      <c r="E347" s="31">
        <f t="shared" ref="E347:J347" si="117">E344-E346</f>
        <v>0</v>
      </c>
      <c r="F347" s="31">
        <f t="shared" si="117"/>
        <v>0</v>
      </c>
      <c r="G347" s="31">
        <f t="shared" si="117"/>
        <v>257.24000000000524</v>
      </c>
      <c r="H347" s="31">
        <f t="shared" si="117"/>
        <v>0</v>
      </c>
      <c r="I347" s="31">
        <f t="shared" si="117"/>
        <v>0</v>
      </c>
      <c r="J347" s="31">
        <f t="shared" si="117"/>
        <v>0</v>
      </c>
      <c r="K347" s="31">
        <f>K344-K346</f>
        <v>257.24000000000524</v>
      </c>
      <c r="L347" s="31">
        <f>L344-L346</f>
        <v>0</v>
      </c>
    </row>
    <row r="348" spans="1:12">
      <c r="A348" s="108"/>
      <c r="B348" s="105" t="s">
        <v>19</v>
      </c>
      <c r="C348" s="30" t="s">
        <v>12</v>
      </c>
      <c r="D348" s="31">
        <f>D344+D340+D336</f>
        <v>0</v>
      </c>
      <c r="E348" s="31">
        <f>E344+E340+E336</f>
        <v>0</v>
      </c>
      <c r="F348" s="31">
        <f t="shared" ref="F348:L348" si="118">F344+F340+F336</f>
        <v>0</v>
      </c>
      <c r="G348" s="31">
        <f t="shared" si="118"/>
        <v>290079.94</v>
      </c>
      <c r="H348" s="31">
        <f t="shared" si="118"/>
        <v>0</v>
      </c>
      <c r="I348" s="31">
        <f t="shared" si="118"/>
        <v>0</v>
      </c>
      <c r="J348" s="31">
        <f t="shared" si="118"/>
        <v>0</v>
      </c>
      <c r="K348" s="31">
        <f t="shared" si="118"/>
        <v>290079.94</v>
      </c>
      <c r="L348" s="31">
        <f t="shared" si="118"/>
        <v>0</v>
      </c>
    </row>
    <row r="349" spans="1:12">
      <c r="A349" s="108"/>
      <c r="B349" s="105"/>
      <c r="C349" s="30" t="s">
        <v>13</v>
      </c>
      <c r="D349" s="31">
        <f t="shared" ref="D349:L350" si="119">D345+D341+D337</f>
        <v>0</v>
      </c>
      <c r="E349" s="31">
        <f t="shared" si="119"/>
        <v>0</v>
      </c>
      <c r="F349" s="31">
        <f t="shared" si="119"/>
        <v>0</v>
      </c>
      <c r="G349" s="31">
        <f t="shared" si="119"/>
        <v>288820.55000000005</v>
      </c>
      <c r="H349" s="31">
        <f t="shared" si="119"/>
        <v>0</v>
      </c>
      <c r="I349" s="31">
        <f t="shared" si="119"/>
        <v>0</v>
      </c>
      <c r="J349" s="31">
        <f t="shared" si="119"/>
        <v>0</v>
      </c>
      <c r="K349" s="31">
        <f t="shared" si="119"/>
        <v>288820.55000000005</v>
      </c>
      <c r="L349" s="31">
        <f t="shared" si="119"/>
        <v>0</v>
      </c>
    </row>
    <row r="350" spans="1:12">
      <c r="A350" s="108"/>
      <c r="B350" s="105"/>
      <c r="C350" s="32" t="s">
        <v>14</v>
      </c>
      <c r="D350" s="31">
        <f t="shared" si="119"/>
        <v>0</v>
      </c>
      <c r="E350" s="31">
        <f t="shared" si="119"/>
        <v>0</v>
      </c>
      <c r="F350" s="31">
        <f t="shared" si="119"/>
        <v>0</v>
      </c>
      <c r="G350" s="31">
        <f t="shared" si="119"/>
        <v>284826.92000000004</v>
      </c>
      <c r="H350" s="31">
        <f t="shared" si="119"/>
        <v>0</v>
      </c>
      <c r="I350" s="31">
        <f t="shared" si="119"/>
        <v>0</v>
      </c>
      <c r="J350" s="31">
        <f t="shared" si="119"/>
        <v>0</v>
      </c>
      <c r="K350" s="31">
        <f t="shared" si="119"/>
        <v>284826.92000000004</v>
      </c>
      <c r="L350" s="31">
        <f t="shared" si="119"/>
        <v>0</v>
      </c>
    </row>
    <row r="351" spans="1:12">
      <c r="A351" s="108"/>
      <c r="B351" s="105"/>
      <c r="C351" s="32" t="s">
        <v>49</v>
      </c>
      <c r="D351" s="31">
        <v>0</v>
      </c>
      <c r="E351" s="31">
        <v>0</v>
      </c>
      <c r="F351" s="31">
        <v>0</v>
      </c>
      <c r="G351" s="31">
        <v>290079.94</v>
      </c>
      <c r="H351" s="31">
        <v>0</v>
      </c>
      <c r="I351" s="31"/>
      <c r="J351" s="31"/>
      <c r="K351" s="31">
        <f>G351</f>
        <v>290079.94</v>
      </c>
      <c r="L351" s="31">
        <v>0</v>
      </c>
    </row>
    <row r="352" spans="1:12">
      <c r="A352" s="108"/>
      <c r="B352" s="105"/>
      <c r="C352" s="32" t="s">
        <v>43</v>
      </c>
      <c r="D352" s="31">
        <v>0</v>
      </c>
      <c r="E352" s="31">
        <v>0</v>
      </c>
      <c r="F352" s="31">
        <v>0</v>
      </c>
      <c r="G352" s="31">
        <v>5253.02</v>
      </c>
      <c r="H352" s="31">
        <v>0</v>
      </c>
      <c r="I352" s="31"/>
      <c r="J352" s="31"/>
      <c r="K352" s="31">
        <f>G352</f>
        <v>5253.02</v>
      </c>
      <c r="L352" s="31">
        <v>0</v>
      </c>
    </row>
    <row r="353" spans="1:14">
      <c r="A353" s="108"/>
      <c r="B353" s="105"/>
      <c r="C353" s="32" t="s">
        <v>22</v>
      </c>
      <c r="D353" s="31">
        <v>0</v>
      </c>
      <c r="E353" s="31">
        <v>0</v>
      </c>
      <c r="F353" s="31">
        <v>0</v>
      </c>
      <c r="G353" s="31">
        <f>G350+G352</f>
        <v>290079.94000000006</v>
      </c>
      <c r="H353" s="31">
        <v>0</v>
      </c>
      <c r="I353" s="31"/>
      <c r="J353" s="31"/>
      <c r="K353" s="31">
        <f>G353</f>
        <v>290079.94000000006</v>
      </c>
      <c r="L353" s="31">
        <v>0</v>
      </c>
    </row>
    <row r="354" spans="1:14">
      <c r="A354" s="108"/>
      <c r="B354" s="105"/>
      <c r="C354" s="30" t="s">
        <v>15</v>
      </c>
      <c r="D354" s="31">
        <f>D347+D343+D339</f>
        <v>0</v>
      </c>
      <c r="E354" s="31">
        <f>E347+E343+E339</f>
        <v>0</v>
      </c>
      <c r="F354" s="31">
        <f>F347+F343+F339</f>
        <v>0</v>
      </c>
      <c r="G354" s="31">
        <f>G348-G353</f>
        <v>0</v>
      </c>
      <c r="H354" s="31">
        <f>H347+H343+H339</f>
        <v>0</v>
      </c>
      <c r="I354" s="31">
        <f>I347+I343+I339</f>
        <v>0</v>
      </c>
      <c r="J354" s="31">
        <f>J347+J343+J339</f>
        <v>0</v>
      </c>
      <c r="K354" s="31">
        <f>G354</f>
        <v>0</v>
      </c>
      <c r="L354" s="31">
        <f>L347+L343+L339</f>
        <v>0</v>
      </c>
      <c r="M354" s="13"/>
      <c r="N354" s="12"/>
    </row>
    <row r="355" spans="1:14">
      <c r="A355" s="109"/>
      <c r="B355" s="103" t="s">
        <v>24</v>
      </c>
      <c r="C355" s="30" t="s">
        <v>12</v>
      </c>
      <c r="D355" s="31">
        <v>0</v>
      </c>
      <c r="E355" s="31">
        <v>0</v>
      </c>
      <c r="F355" s="31">
        <f>D355+E355</f>
        <v>0</v>
      </c>
      <c r="G355" s="31">
        <f>100248.07-42993.86</f>
        <v>57254.210000000006</v>
      </c>
      <c r="H355" s="31">
        <v>0</v>
      </c>
      <c r="I355" s="31">
        <v>0</v>
      </c>
      <c r="J355" s="31">
        <v>0</v>
      </c>
      <c r="K355" s="31">
        <f>J355+I355+H355+G355+E355+D355</f>
        <v>57254.210000000006</v>
      </c>
      <c r="L355" s="31">
        <v>0</v>
      </c>
    </row>
    <row r="356" spans="1:14">
      <c r="A356" s="109"/>
      <c r="B356" s="103"/>
      <c r="C356" s="30" t="s">
        <v>13</v>
      </c>
      <c r="D356" s="31">
        <v>0</v>
      </c>
      <c r="E356" s="31">
        <v>0</v>
      </c>
      <c r="F356" s="31">
        <f>D356+E356</f>
        <v>0</v>
      </c>
      <c r="G356" s="31">
        <v>57254.21</v>
      </c>
      <c r="H356" s="31">
        <v>0</v>
      </c>
      <c r="I356" s="31">
        <v>0</v>
      </c>
      <c r="J356" s="31">
        <v>0</v>
      </c>
      <c r="K356" s="31">
        <f>J356+I356+H356+G356+E356+D356</f>
        <v>57254.21</v>
      </c>
      <c r="L356" s="31">
        <v>0</v>
      </c>
    </row>
    <row r="357" spans="1:14">
      <c r="A357" s="109"/>
      <c r="B357" s="103"/>
      <c r="C357" s="32" t="s">
        <v>14</v>
      </c>
      <c r="D357" s="31">
        <v>0</v>
      </c>
      <c r="E357" s="31">
        <v>0</v>
      </c>
      <c r="F357" s="31">
        <f>D357+E357</f>
        <v>0</v>
      </c>
      <c r="G357" s="31">
        <v>57254.21</v>
      </c>
      <c r="H357" s="31">
        <v>0</v>
      </c>
      <c r="I357" s="31">
        <v>0</v>
      </c>
      <c r="J357" s="31">
        <v>0</v>
      </c>
      <c r="K357" s="31">
        <f>J357+I357+H357+G357+E357+D357</f>
        <v>57254.21</v>
      </c>
      <c r="L357" s="31">
        <v>0</v>
      </c>
    </row>
    <row r="358" spans="1:14">
      <c r="A358" s="109"/>
      <c r="B358" s="103"/>
      <c r="C358" s="30" t="s">
        <v>15</v>
      </c>
      <c r="D358" s="31">
        <f>D355-D357</f>
        <v>0</v>
      </c>
      <c r="E358" s="31">
        <f t="shared" ref="E358:L358" si="120">E355-E357</f>
        <v>0</v>
      </c>
      <c r="F358" s="31">
        <f t="shared" si="120"/>
        <v>0</v>
      </c>
      <c r="G358" s="31">
        <f t="shared" si="120"/>
        <v>0</v>
      </c>
      <c r="H358" s="31">
        <f t="shared" si="120"/>
        <v>0</v>
      </c>
      <c r="I358" s="31">
        <f t="shared" si="120"/>
        <v>0</v>
      </c>
      <c r="J358" s="31">
        <f t="shared" si="120"/>
        <v>0</v>
      </c>
      <c r="K358" s="31">
        <f t="shared" si="120"/>
        <v>0</v>
      </c>
      <c r="L358" s="31">
        <f t="shared" si="120"/>
        <v>0</v>
      </c>
    </row>
    <row r="359" spans="1:14">
      <c r="A359" s="109"/>
      <c r="B359" s="103" t="s">
        <v>25</v>
      </c>
      <c r="C359" s="30" t="s">
        <v>12</v>
      </c>
      <c r="D359" s="31">
        <v>0</v>
      </c>
      <c r="E359" s="31">
        <v>0</v>
      </c>
      <c r="F359" s="31">
        <f>D359+E359</f>
        <v>0</v>
      </c>
      <c r="G359" s="31">
        <f>100248.07</f>
        <v>100248.07</v>
      </c>
      <c r="H359" s="31">
        <v>0</v>
      </c>
      <c r="I359" s="31">
        <v>0</v>
      </c>
      <c r="J359" s="31">
        <v>0</v>
      </c>
      <c r="K359" s="31">
        <f>J359+I359+H359+G359+E359+D359</f>
        <v>100248.07</v>
      </c>
      <c r="L359" s="31">
        <v>0</v>
      </c>
    </row>
    <row r="360" spans="1:14">
      <c r="A360" s="109"/>
      <c r="B360" s="103"/>
      <c r="C360" s="30" t="s">
        <v>13</v>
      </c>
      <c r="D360" s="31">
        <v>0</v>
      </c>
      <c r="E360" s="31">
        <v>0</v>
      </c>
      <c r="F360" s="31">
        <f>D360+E360</f>
        <v>0</v>
      </c>
      <c r="G360" s="77">
        <v>99271.26</v>
      </c>
      <c r="H360" s="31">
        <v>0</v>
      </c>
      <c r="I360" s="31">
        <v>0</v>
      </c>
      <c r="J360" s="31">
        <v>0</v>
      </c>
      <c r="K360" s="31">
        <f>J360+I360+H360+G360+E360+D360</f>
        <v>99271.26</v>
      </c>
      <c r="L360" s="31">
        <v>0</v>
      </c>
    </row>
    <row r="361" spans="1:14">
      <c r="A361" s="109"/>
      <c r="B361" s="103"/>
      <c r="C361" s="32" t="s">
        <v>14</v>
      </c>
      <c r="D361" s="31">
        <v>0</v>
      </c>
      <c r="E361" s="31">
        <v>0</v>
      </c>
      <c r="F361" s="31">
        <f>D361+E361</f>
        <v>0</v>
      </c>
      <c r="G361" s="31">
        <v>99271.26</v>
      </c>
      <c r="H361" s="31">
        <v>0</v>
      </c>
      <c r="I361" s="31">
        <v>0</v>
      </c>
      <c r="J361" s="31">
        <v>0</v>
      </c>
      <c r="K361" s="31">
        <f>J361+I361+H361+G361+E361+D361</f>
        <v>99271.26</v>
      </c>
      <c r="L361" s="31">
        <v>0</v>
      </c>
    </row>
    <row r="362" spans="1:14">
      <c r="A362" s="109"/>
      <c r="B362" s="103"/>
      <c r="C362" s="30" t="s">
        <v>23</v>
      </c>
      <c r="D362" s="31">
        <f>D359-D361</f>
        <v>0</v>
      </c>
      <c r="E362" s="31">
        <f t="shared" ref="E362:L362" si="121">E359-E361</f>
        <v>0</v>
      </c>
      <c r="F362" s="31">
        <f t="shared" si="121"/>
        <v>0</v>
      </c>
      <c r="G362" s="31">
        <f t="shared" si="121"/>
        <v>976.81000000001222</v>
      </c>
      <c r="H362" s="31">
        <f t="shared" si="121"/>
        <v>0</v>
      </c>
      <c r="I362" s="31">
        <f t="shared" si="121"/>
        <v>0</v>
      </c>
      <c r="J362" s="31">
        <f t="shared" si="121"/>
        <v>0</v>
      </c>
      <c r="K362" s="31">
        <f t="shared" si="121"/>
        <v>976.81000000001222</v>
      </c>
      <c r="L362" s="31">
        <f t="shared" si="121"/>
        <v>0</v>
      </c>
    </row>
    <row r="363" spans="1:14">
      <c r="A363" s="109"/>
      <c r="B363" s="104" t="s">
        <v>26</v>
      </c>
      <c r="C363" s="30" t="s">
        <v>12</v>
      </c>
      <c r="D363" s="31">
        <v>0</v>
      </c>
      <c r="E363" s="31">
        <v>0</v>
      </c>
      <c r="F363" s="31">
        <f>SUM(D363:E363)</f>
        <v>0</v>
      </c>
      <c r="G363" s="31">
        <f>100248.07-5683.15</f>
        <v>94564.920000000013</v>
      </c>
      <c r="H363" s="31">
        <v>0</v>
      </c>
      <c r="I363" s="31">
        <v>0</v>
      </c>
      <c r="J363" s="31">
        <v>0</v>
      </c>
      <c r="K363" s="31">
        <f>J363+I363+H363+G363+E363+D363</f>
        <v>94564.920000000013</v>
      </c>
      <c r="L363" s="31">
        <v>0</v>
      </c>
    </row>
    <row r="364" spans="1:14">
      <c r="A364" s="109"/>
      <c r="B364" s="104"/>
      <c r="C364" s="30" t="s">
        <v>13</v>
      </c>
      <c r="D364" s="31">
        <v>0</v>
      </c>
      <c r="E364" s="31">
        <v>0</v>
      </c>
      <c r="F364" s="31">
        <f>SUM(D364:E364)</f>
        <v>0</v>
      </c>
      <c r="G364" s="31">
        <f>95965.26</f>
        <v>95965.26</v>
      </c>
      <c r="H364" s="31">
        <v>0</v>
      </c>
      <c r="I364" s="31">
        <v>0</v>
      </c>
      <c r="J364" s="31">
        <v>0</v>
      </c>
      <c r="K364" s="31">
        <f>J364+I364+H364+G364+E364+D364</f>
        <v>95965.26</v>
      </c>
      <c r="L364" s="31">
        <v>0</v>
      </c>
    </row>
    <row r="365" spans="1:14">
      <c r="A365" s="109"/>
      <c r="B365" s="104"/>
      <c r="C365" s="32" t="s">
        <v>14</v>
      </c>
      <c r="D365" s="31">
        <v>0</v>
      </c>
      <c r="E365" s="31">
        <v>0</v>
      </c>
      <c r="F365" s="31">
        <f>SUM(D365:E365)</f>
        <v>0</v>
      </c>
      <c r="G365" s="31">
        <v>95965.26</v>
      </c>
      <c r="H365" s="31">
        <v>0</v>
      </c>
      <c r="I365" s="31">
        <v>0</v>
      </c>
      <c r="J365" s="31">
        <v>0</v>
      </c>
      <c r="K365" s="31">
        <f>J365+I365+H365+G365+E365+D365</f>
        <v>95965.26</v>
      </c>
      <c r="L365" s="31">
        <v>0</v>
      </c>
    </row>
    <row r="366" spans="1:14">
      <c r="A366" s="109"/>
      <c r="B366" s="98"/>
      <c r="C366" s="30" t="s">
        <v>23</v>
      </c>
      <c r="D366" s="31">
        <f>D363-D365</f>
        <v>0</v>
      </c>
      <c r="E366" s="31">
        <f t="shared" ref="E366:L366" si="122">E363-E365</f>
        <v>0</v>
      </c>
      <c r="F366" s="31">
        <f t="shared" si="122"/>
        <v>0</v>
      </c>
      <c r="G366" s="31">
        <f t="shared" si="122"/>
        <v>-1400.339999999982</v>
      </c>
      <c r="H366" s="31">
        <f t="shared" si="122"/>
        <v>0</v>
      </c>
      <c r="I366" s="31">
        <f t="shared" si="122"/>
        <v>0</v>
      </c>
      <c r="J366" s="31">
        <f t="shared" si="122"/>
        <v>0</v>
      </c>
      <c r="K366" s="31">
        <f t="shared" si="122"/>
        <v>-1400.339999999982</v>
      </c>
      <c r="L366" s="31">
        <f t="shared" si="122"/>
        <v>0</v>
      </c>
    </row>
    <row r="367" spans="1:14">
      <c r="A367" s="109"/>
      <c r="B367" s="105" t="s">
        <v>27</v>
      </c>
      <c r="C367" s="30" t="s">
        <v>12</v>
      </c>
      <c r="D367" s="31">
        <f t="shared" ref="D367:J367" si="123">D363+D359+D355</f>
        <v>0</v>
      </c>
      <c r="E367" s="31">
        <f t="shared" si="123"/>
        <v>0</v>
      </c>
      <c r="F367" s="31">
        <f t="shared" si="123"/>
        <v>0</v>
      </c>
      <c r="G367" s="31">
        <f t="shared" si="123"/>
        <v>252067.20000000001</v>
      </c>
      <c r="H367" s="31">
        <f t="shared" si="123"/>
        <v>0</v>
      </c>
      <c r="I367" s="31">
        <f t="shared" si="123"/>
        <v>0</v>
      </c>
      <c r="J367" s="31">
        <f t="shared" si="123"/>
        <v>0</v>
      </c>
      <c r="K367" s="31">
        <f>J367+I367+H367+G367+E367+D367</f>
        <v>252067.20000000001</v>
      </c>
      <c r="L367" s="31">
        <f>L363+L359+L355</f>
        <v>0</v>
      </c>
    </row>
    <row r="368" spans="1:14">
      <c r="A368" s="109"/>
      <c r="B368" s="105"/>
      <c r="C368" s="30" t="s">
        <v>13</v>
      </c>
      <c r="D368" s="31">
        <f>D364+D360+D356</f>
        <v>0</v>
      </c>
      <c r="E368" s="31">
        <f>E364+E360+E356</f>
        <v>0</v>
      </c>
      <c r="F368" s="31">
        <f>D368+E368</f>
        <v>0</v>
      </c>
      <c r="G368" s="31">
        <f>G364+G360+G356</f>
        <v>252490.72999999998</v>
      </c>
      <c r="H368" s="31">
        <v>0</v>
      </c>
      <c r="I368" s="31">
        <f>I364+I360+I356</f>
        <v>0</v>
      </c>
      <c r="J368" s="31">
        <f>J364+J360+J356</f>
        <v>0</v>
      </c>
      <c r="K368" s="31">
        <f>J368+I368+H368+G368+E368+D368</f>
        <v>252490.72999999998</v>
      </c>
      <c r="L368" s="31">
        <f>L364+L360+L356</f>
        <v>0</v>
      </c>
    </row>
    <row r="369" spans="1:12">
      <c r="A369" s="109"/>
      <c r="B369" s="105"/>
      <c r="C369" s="32" t="s">
        <v>14</v>
      </c>
      <c r="D369" s="31">
        <f>D365+D361+D357</f>
        <v>0</v>
      </c>
      <c r="E369" s="31">
        <f>E365+E361+E357</f>
        <v>0</v>
      </c>
      <c r="F369" s="31">
        <f>D369+E369</f>
        <v>0</v>
      </c>
      <c r="G369" s="31">
        <f>G365+G361+G357</f>
        <v>252490.72999999998</v>
      </c>
      <c r="H369" s="31">
        <f>H365+H361+H357</f>
        <v>0</v>
      </c>
      <c r="I369" s="31">
        <f>I365+I361+I357</f>
        <v>0</v>
      </c>
      <c r="J369" s="31">
        <f>J365+J361+J357</f>
        <v>0</v>
      </c>
      <c r="K369" s="31">
        <f>J369+I369+H369+G369+E369+D369</f>
        <v>252490.72999999998</v>
      </c>
      <c r="L369" s="31">
        <f>L365+L361+L357</f>
        <v>0</v>
      </c>
    </row>
    <row r="370" spans="1:12">
      <c r="A370" s="109"/>
      <c r="B370" s="105"/>
      <c r="C370" s="30" t="s">
        <v>15</v>
      </c>
      <c r="D370" s="30">
        <f>D367-D369</f>
        <v>0</v>
      </c>
      <c r="E370" s="30">
        <f t="shared" ref="E370:L370" si="124">E367-E369</f>
        <v>0</v>
      </c>
      <c r="F370" s="30">
        <f t="shared" si="124"/>
        <v>0</v>
      </c>
      <c r="G370" s="30">
        <f>G367-G369</f>
        <v>-423.52999999996973</v>
      </c>
      <c r="H370" s="30">
        <f t="shared" si="124"/>
        <v>0</v>
      </c>
      <c r="I370" s="30">
        <f t="shared" si="124"/>
        <v>0</v>
      </c>
      <c r="J370" s="30">
        <f t="shared" si="124"/>
        <v>0</v>
      </c>
      <c r="K370" s="30">
        <f t="shared" si="124"/>
        <v>-423.52999999996973</v>
      </c>
      <c r="L370" s="30">
        <f t="shared" si="124"/>
        <v>0</v>
      </c>
    </row>
    <row r="371" spans="1:12">
      <c r="A371" s="109"/>
      <c r="B371" s="102" t="s">
        <v>28</v>
      </c>
      <c r="C371" s="16" t="s">
        <v>12</v>
      </c>
      <c r="D371" s="17">
        <f t="shared" ref="D371:E373" si="125">D348+D367</f>
        <v>0</v>
      </c>
      <c r="E371" s="17">
        <f t="shared" si="125"/>
        <v>0</v>
      </c>
      <c r="F371" s="17">
        <f>D371+E371</f>
        <v>0</v>
      </c>
      <c r="G371" s="17">
        <f>G348+G367</f>
        <v>542147.14</v>
      </c>
      <c r="H371" s="17">
        <f>H348+H367</f>
        <v>0</v>
      </c>
      <c r="I371" s="17">
        <f>I348+I367</f>
        <v>0</v>
      </c>
      <c r="J371" s="17">
        <f>J348+J367</f>
        <v>0</v>
      </c>
      <c r="K371" s="17">
        <f>J371+I371+H371+G371+E371+D371</f>
        <v>542147.14</v>
      </c>
      <c r="L371" s="17">
        <f>L348+L367</f>
        <v>0</v>
      </c>
    </row>
    <row r="372" spans="1:12">
      <c r="A372" s="109"/>
      <c r="B372" s="102"/>
      <c r="C372" s="3" t="s">
        <v>13</v>
      </c>
      <c r="D372" s="4">
        <f t="shared" si="125"/>
        <v>0</v>
      </c>
      <c r="E372" s="4">
        <f t="shared" si="125"/>
        <v>0</v>
      </c>
      <c r="F372" s="5">
        <f>D372+E372</f>
        <v>0</v>
      </c>
      <c r="G372" s="4">
        <f>G351+G368</f>
        <v>542570.66999999993</v>
      </c>
      <c r="H372" s="4">
        <f t="shared" ref="H372:J373" si="126">H368+H349</f>
        <v>0</v>
      </c>
      <c r="I372" s="4">
        <f t="shared" si="126"/>
        <v>0</v>
      </c>
      <c r="J372" s="4">
        <f t="shared" si="126"/>
        <v>0</v>
      </c>
      <c r="K372" s="5">
        <f>J372+I372+H372+G372+E372+D372</f>
        <v>542570.66999999993</v>
      </c>
      <c r="L372" s="7">
        <f>L368+L349</f>
        <v>0</v>
      </c>
    </row>
    <row r="373" spans="1:12">
      <c r="A373" s="109"/>
      <c r="B373" s="102"/>
      <c r="C373" s="10" t="s">
        <v>14</v>
      </c>
      <c r="D373" s="4">
        <f t="shared" si="125"/>
        <v>0</v>
      </c>
      <c r="E373" s="4">
        <f t="shared" si="125"/>
        <v>0</v>
      </c>
      <c r="F373" s="5">
        <f>D373+E373</f>
        <v>0</v>
      </c>
      <c r="G373" s="14">
        <f>G353+G369</f>
        <v>542570.67000000004</v>
      </c>
      <c r="H373" s="14">
        <f t="shared" si="126"/>
        <v>0</v>
      </c>
      <c r="I373" s="14">
        <f t="shared" si="126"/>
        <v>0</v>
      </c>
      <c r="J373" s="14">
        <f t="shared" si="126"/>
        <v>0</v>
      </c>
      <c r="K373" s="5">
        <f>J373+I373+H373+G373+E373+D373</f>
        <v>542570.67000000004</v>
      </c>
      <c r="L373" s="15">
        <f>L369+L350</f>
        <v>0</v>
      </c>
    </row>
    <row r="374" spans="1:12">
      <c r="A374" s="109"/>
      <c r="B374" s="102"/>
      <c r="C374" s="3" t="s">
        <v>15</v>
      </c>
      <c r="D374" s="4">
        <f>D354+D370</f>
        <v>0</v>
      </c>
      <c r="E374" s="4">
        <f>E354+E370</f>
        <v>0</v>
      </c>
      <c r="F374" s="4">
        <f t="shared" ref="F374:L374" si="127">F354+F370</f>
        <v>0</v>
      </c>
      <c r="G374" s="4">
        <f>G354+G370</f>
        <v>-423.52999999996973</v>
      </c>
      <c r="H374" s="4">
        <f t="shared" si="127"/>
        <v>0</v>
      </c>
      <c r="I374" s="4">
        <f t="shared" si="127"/>
        <v>0</v>
      </c>
      <c r="J374" s="4">
        <f t="shared" si="127"/>
        <v>0</v>
      </c>
      <c r="K374" s="4">
        <f t="shared" si="127"/>
        <v>-423.52999999996973</v>
      </c>
      <c r="L374" s="4">
        <f t="shared" si="127"/>
        <v>0</v>
      </c>
    </row>
    <row r="375" spans="1:12">
      <c r="A375" s="109"/>
      <c r="B375" s="98"/>
      <c r="C375" s="48" t="s">
        <v>49</v>
      </c>
      <c r="D375" s="17"/>
      <c r="E375" s="17"/>
      <c r="F375" s="17"/>
      <c r="G375" s="17">
        <v>542147.14</v>
      </c>
      <c r="H375" s="17"/>
      <c r="I375" s="17"/>
      <c r="J375" s="17"/>
      <c r="K375" s="17">
        <f>G375</f>
        <v>542147.14</v>
      </c>
      <c r="L375" s="17"/>
    </row>
    <row r="376" spans="1:12">
      <c r="A376" s="109"/>
      <c r="B376" s="98"/>
      <c r="C376" s="48" t="s">
        <v>43</v>
      </c>
      <c r="D376" s="17"/>
      <c r="E376" s="17"/>
      <c r="F376" s="17"/>
      <c r="G376" s="17">
        <v>-423.53</v>
      </c>
      <c r="H376" s="17"/>
      <c r="I376" s="17"/>
      <c r="J376" s="17"/>
      <c r="K376" s="17">
        <f>G376</f>
        <v>-423.53</v>
      </c>
      <c r="L376" s="17"/>
    </row>
    <row r="377" spans="1:12">
      <c r="A377" s="109"/>
      <c r="B377" s="98"/>
      <c r="C377" s="48" t="s">
        <v>22</v>
      </c>
      <c r="D377" s="17"/>
      <c r="E377" s="17"/>
      <c r="F377" s="17"/>
      <c r="G377" s="17">
        <f>G376+G373</f>
        <v>542147.14</v>
      </c>
      <c r="H377" s="17"/>
      <c r="I377" s="17"/>
      <c r="J377" s="17"/>
      <c r="K377" s="17">
        <f>G377</f>
        <v>542147.14</v>
      </c>
      <c r="L377" s="17"/>
    </row>
    <row r="378" spans="1:12">
      <c r="A378" s="109"/>
      <c r="B378" s="98"/>
      <c r="C378" s="16" t="s">
        <v>15</v>
      </c>
      <c r="D378" s="17"/>
      <c r="E378" s="17"/>
      <c r="F378" s="17"/>
      <c r="G378" s="17">
        <f>G371-G377</f>
        <v>0</v>
      </c>
      <c r="H378" s="17">
        <f>H371-H377</f>
        <v>0</v>
      </c>
      <c r="I378" s="17">
        <f>I371-I377</f>
        <v>0</v>
      </c>
      <c r="J378" s="17">
        <f>J371-J377</f>
        <v>0</v>
      </c>
      <c r="K378" s="17">
        <f>K371-K377</f>
        <v>0</v>
      </c>
      <c r="L378" s="17"/>
    </row>
    <row r="379" spans="1:12">
      <c r="A379" s="109"/>
      <c r="B379" s="97" t="s">
        <v>29</v>
      </c>
      <c r="C379" s="30" t="s">
        <v>12</v>
      </c>
      <c r="D379" s="31">
        <v>0</v>
      </c>
      <c r="E379" s="31">
        <v>0</v>
      </c>
      <c r="F379" s="31">
        <f>SUM(D379:E379)</f>
        <v>0</v>
      </c>
      <c r="G379" s="31">
        <v>109533</v>
      </c>
      <c r="H379" s="30">
        <v>0</v>
      </c>
      <c r="I379" s="30">
        <v>0</v>
      </c>
      <c r="J379" s="30">
        <v>0</v>
      </c>
      <c r="K379" s="31">
        <f>D379+E379+G379+H379+I379+J379</f>
        <v>109533</v>
      </c>
      <c r="L379" s="31">
        <v>0</v>
      </c>
    </row>
    <row r="380" spans="1:12">
      <c r="A380" s="109"/>
      <c r="B380" s="97"/>
      <c r="C380" s="30" t="s">
        <v>13</v>
      </c>
      <c r="D380" s="31">
        <v>0</v>
      </c>
      <c r="E380" s="31">
        <v>0</v>
      </c>
      <c r="F380" s="31">
        <f>SUM(D380:E380)</f>
        <v>0</v>
      </c>
      <c r="G380" s="31">
        <v>93070</v>
      </c>
      <c r="H380" s="30">
        <v>0</v>
      </c>
      <c r="I380" s="30">
        <v>0</v>
      </c>
      <c r="J380" s="30">
        <v>0</v>
      </c>
      <c r="K380" s="31">
        <f>D380+E380+G380+H380+I380+J380</f>
        <v>93070</v>
      </c>
      <c r="L380" s="31">
        <v>0</v>
      </c>
    </row>
    <row r="381" spans="1:12">
      <c r="A381" s="109"/>
      <c r="B381" s="97"/>
      <c r="C381" s="30" t="s">
        <v>14</v>
      </c>
      <c r="D381" s="31">
        <v>0</v>
      </c>
      <c r="E381" s="31">
        <f>E357+E373</f>
        <v>0</v>
      </c>
      <c r="F381" s="31">
        <f>SUM(D381:E381)</f>
        <v>0</v>
      </c>
      <c r="G381" s="31">
        <v>93070</v>
      </c>
      <c r="H381" s="30">
        <v>0</v>
      </c>
      <c r="I381" s="30">
        <v>0</v>
      </c>
      <c r="J381" s="30">
        <v>0</v>
      </c>
      <c r="K381" s="31">
        <f>D381+E381+G381+H381+I381+J381</f>
        <v>93070</v>
      </c>
      <c r="L381" s="31">
        <v>0</v>
      </c>
    </row>
    <row r="382" spans="1:12">
      <c r="A382" s="109"/>
      <c r="B382" s="98"/>
      <c r="C382" s="95" t="s">
        <v>23</v>
      </c>
      <c r="D382" s="82">
        <f>D379-D381</f>
        <v>0</v>
      </c>
      <c r="E382" s="82">
        <f t="shared" ref="E382:L382" si="128">E379-E381</f>
        <v>0</v>
      </c>
      <c r="F382" s="82">
        <f t="shared" si="128"/>
        <v>0</v>
      </c>
      <c r="G382" s="82">
        <f t="shared" si="128"/>
        <v>16463</v>
      </c>
      <c r="H382" s="82">
        <f t="shared" si="128"/>
        <v>0</v>
      </c>
      <c r="I382" s="82">
        <f t="shared" si="128"/>
        <v>0</v>
      </c>
      <c r="J382" s="82">
        <f t="shared" si="128"/>
        <v>0</v>
      </c>
      <c r="K382" s="82">
        <f t="shared" si="128"/>
        <v>16463</v>
      </c>
      <c r="L382" s="82">
        <f t="shared" si="128"/>
        <v>0</v>
      </c>
    </row>
    <row r="383" spans="1:12">
      <c r="A383" s="109"/>
      <c r="B383" s="97" t="s">
        <v>30</v>
      </c>
      <c r="C383" s="30" t="s">
        <v>12</v>
      </c>
      <c r="D383" s="31">
        <v>0</v>
      </c>
      <c r="E383" s="31">
        <f>E361+E381</f>
        <v>0</v>
      </c>
      <c r="F383" s="31">
        <f>SUM(D383:E383)</f>
        <v>0</v>
      </c>
      <c r="G383" s="31">
        <v>109533</v>
      </c>
      <c r="H383" s="30">
        <v>0</v>
      </c>
      <c r="I383" s="30">
        <v>0</v>
      </c>
      <c r="J383" s="30">
        <v>0</v>
      </c>
      <c r="K383" s="31">
        <f>J383+I383+H383+G383+E383+D383</f>
        <v>109533</v>
      </c>
      <c r="L383" s="31">
        <v>0</v>
      </c>
    </row>
    <row r="384" spans="1:12">
      <c r="A384" s="109"/>
      <c r="B384" s="97"/>
      <c r="C384" s="30" t="s">
        <v>13</v>
      </c>
      <c r="D384" s="31">
        <v>0</v>
      </c>
      <c r="E384" s="31">
        <v>0</v>
      </c>
      <c r="F384" s="31">
        <f>SUM(D384:E384)</f>
        <v>0</v>
      </c>
      <c r="G384" s="31">
        <v>88439</v>
      </c>
      <c r="H384" s="30">
        <v>0</v>
      </c>
      <c r="I384" s="30">
        <v>0</v>
      </c>
      <c r="J384" s="30">
        <v>0</v>
      </c>
      <c r="K384" s="31">
        <f>J384+I384+H384+G384+E384+D384</f>
        <v>88439</v>
      </c>
      <c r="L384" s="31">
        <v>0</v>
      </c>
    </row>
    <row r="385" spans="1:12">
      <c r="A385" s="109"/>
      <c r="B385" s="97"/>
      <c r="C385" s="30" t="s">
        <v>14</v>
      </c>
      <c r="D385" s="31">
        <v>0</v>
      </c>
      <c r="E385" s="31">
        <v>0</v>
      </c>
      <c r="F385" s="31">
        <f>SUM(D385:E385)</f>
        <v>0</v>
      </c>
      <c r="G385" s="31">
        <v>88439</v>
      </c>
      <c r="H385" s="30">
        <v>0</v>
      </c>
      <c r="I385" s="30">
        <v>0</v>
      </c>
      <c r="J385" s="30">
        <v>0</v>
      </c>
      <c r="K385" s="31">
        <f>J385+I385+H385+G385+E385+D385</f>
        <v>88439</v>
      </c>
      <c r="L385" s="31">
        <v>0</v>
      </c>
    </row>
    <row r="386" spans="1:12">
      <c r="A386" s="109"/>
      <c r="B386" s="98"/>
      <c r="C386" s="91" t="s">
        <v>23</v>
      </c>
      <c r="D386" s="82">
        <f>D383-D385</f>
        <v>0</v>
      </c>
      <c r="E386" s="82">
        <f t="shared" ref="E386:L386" si="129">E383-E385</f>
        <v>0</v>
      </c>
      <c r="F386" s="82">
        <f t="shared" si="129"/>
        <v>0</v>
      </c>
      <c r="G386" s="82">
        <f t="shared" si="129"/>
        <v>21094</v>
      </c>
      <c r="H386" s="82">
        <f t="shared" si="129"/>
        <v>0</v>
      </c>
      <c r="I386" s="82">
        <f t="shared" si="129"/>
        <v>0</v>
      </c>
      <c r="J386" s="82">
        <f t="shared" si="129"/>
        <v>0</v>
      </c>
      <c r="K386" s="82">
        <f t="shared" si="129"/>
        <v>21094</v>
      </c>
      <c r="L386" s="82">
        <f t="shared" si="129"/>
        <v>0</v>
      </c>
    </row>
    <row r="387" spans="1:12">
      <c r="A387" s="109"/>
      <c r="B387" s="97" t="s">
        <v>31</v>
      </c>
      <c r="C387" s="30" t="s">
        <v>12</v>
      </c>
      <c r="D387" s="31">
        <v>0</v>
      </c>
      <c r="E387" s="31">
        <f>E367+E385</f>
        <v>0</v>
      </c>
      <c r="F387" s="31">
        <f>SUM(D387:E387)</f>
        <v>0</v>
      </c>
      <c r="G387" s="31">
        <v>109533</v>
      </c>
      <c r="H387" s="30">
        <v>0</v>
      </c>
      <c r="I387" s="30">
        <v>0</v>
      </c>
      <c r="J387" s="30">
        <v>0</v>
      </c>
      <c r="K387" s="31">
        <f>J387+I387+H387+G387+E387+D387</f>
        <v>109533</v>
      </c>
      <c r="L387" s="31">
        <v>0</v>
      </c>
    </row>
    <row r="388" spans="1:12">
      <c r="A388" s="109"/>
      <c r="B388" s="97"/>
      <c r="C388" s="30" t="s">
        <v>13</v>
      </c>
      <c r="D388" s="31">
        <v>0</v>
      </c>
      <c r="E388" s="31">
        <v>0</v>
      </c>
      <c r="F388" s="31">
        <f>SUM(D388:E388)</f>
        <v>0</v>
      </c>
      <c r="G388" s="31">
        <v>0</v>
      </c>
      <c r="H388" s="30">
        <v>0</v>
      </c>
      <c r="I388" s="30">
        <v>0</v>
      </c>
      <c r="J388" s="30">
        <v>0</v>
      </c>
      <c r="K388" s="31">
        <f>J388+I388+H388+G388+E388+D388</f>
        <v>0</v>
      </c>
      <c r="L388" s="31">
        <v>0</v>
      </c>
    </row>
    <row r="389" spans="1:12">
      <c r="A389" s="109"/>
      <c r="B389" s="97"/>
      <c r="C389" s="30" t="s">
        <v>14</v>
      </c>
      <c r="D389" s="31">
        <v>0</v>
      </c>
      <c r="E389" s="31">
        <v>0</v>
      </c>
      <c r="F389" s="31">
        <f>SUM(D389:E389)</f>
        <v>0</v>
      </c>
      <c r="G389" s="31">
        <v>0</v>
      </c>
      <c r="H389" s="30">
        <v>0</v>
      </c>
      <c r="I389" s="30">
        <v>0</v>
      </c>
      <c r="J389" s="30">
        <v>0</v>
      </c>
      <c r="K389" s="31">
        <f>J389+I389+H389+G389+E389+D389</f>
        <v>0</v>
      </c>
      <c r="L389" s="31">
        <v>0</v>
      </c>
    </row>
    <row r="390" spans="1:12">
      <c r="A390" s="109"/>
      <c r="B390" s="98"/>
      <c r="C390" s="91" t="s">
        <v>23</v>
      </c>
      <c r="D390" s="83">
        <f>D387-D393</f>
        <v>0</v>
      </c>
      <c r="E390" s="83">
        <f>E387-E389</f>
        <v>0</v>
      </c>
      <c r="F390" s="83">
        <f>F387-F393</f>
        <v>0</v>
      </c>
      <c r="G390" s="83">
        <v>0</v>
      </c>
      <c r="H390" s="83">
        <f>H387-H389</f>
        <v>0</v>
      </c>
      <c r="I390" s="83">
        <f>I387-I389</f>
        <v>0</v>
      </c>
      <c r="J390" s="83">
        <f>J387-J389</f>
        <v>0</v>
      </c>
      <c r="K390" s="83">
        <v>0</v>
      </c>
      <c r="L390" s="83">
        <f>L387-L389</f>
        <v>0</v>
      </c>
    </row>
    <row r="391" spans="1:12">
      <c r="A391" s="109"/>
      <c r="B391" s="97" t="s">
        <v>32</v>
      </c>
      <c r="C391" s="30" t="s">
        <v>12</v>
      </c>
      <c r="D391" s="31">
        <f>D379+D383+D387</f>
        <v>0</v>
      </c>
      <c r="E391" s="31">
        <f t="shared" ref="E391:L391" si="130">E379+E383+E387</f>
        <v>0</v>
      </c>
      <c r="F391" s="31">
        <f t="shared" si="130"/>
        <v>0</v>
      </c>
      <c r="G391" s="31">
        <f t="shared" si="130"/>
        <v>328599</v>
      </c>
      <c r="H391" s="31">
        <f t="shared" si="130"/>
        <v>0</v>
      </c>
      <c r="I391" s="31">
        <f t="shared" si="130"/>
        <v>0</v>
      </c>
      <c r="J391" s="31">
        <f t="shared" si="130"/>
        <v>0</v>
      </c>
      <c r="K391" s="31">
        <f t="shared" si="130"/>
        <v>328599</v>
      </c>
      <c r="L391" s="31">
        <f t="shared" si="130"/>
        <v>0</v>
      </c>
    </row>
    <row r="392" spans="1:12">
      <c r="A392" s="109"/>
      <c r="B392" s="97"/>
      <c r="C392" s="30" t="s">
        <v>13</v>
      </c>
      <c r="D392" s="31">
        <f t="shared" ref="D392:L394" si="131">D380+D384+D388</f>
        <v>0</v>
      </c>
      <c r="E392" s="31">
        <f t="shared" si="131"/>
        <v>0</v>
      </c>
      <c r="F392" s="31">
        <f t="shared" si="131"/>
        <v>0</v>
      </c>
      <c r="G392" s="31">
        <f t="shared" si="131"/>
        <v>181509</v>
      </c>
      <c r="H392" s="31">
        <f t="shared" si="131"/>
        <v>0</v>
      </c>
      <c r="I392" s="31">
        <f t="shared" si="131"/>
        <v>0</v>
      </c>
      <c r="J392" s="31">
        <f t="shared" si="131"/>
        <v>0</v>
      </c>
      <c r="K392" s="31">
        <f t="shared" si="131"/>
        <v>181509</v>
      </c>
      <c r="L392" s="31">
        <f t="shared" si="131"/>
        <v>0</v>
      </c>
    </row>
    <row r="393" spans="1:12">
      <c r="A393" s="109"/>
      <c r="B393" s="97"/>
      <c r="C393" s="30" t="s">
        <v>14</v>
      </c>
      <c r="D393" s="31">
        <f t="shared" si="131"/>
        <v>0</v>
      </c>
      <c r="E393" s="31">
        <f t="shared" si="131"/>
        <v>0</v>
      </c>
      <c r="F393" s="31">
        <f t="shared" si="131"/>
        <v>0</v>
      </c>
      <c r="G393" s="31">
        <f t="shared" si="131"/>
        <v>181509</v>
      </c>
      <c r="H393" s="31">
        <f t="shared" si="131"/>
        <v>0</v>
      </c>
      <c r="I393" s="31">
        <f t="shared" si="131"/>
        <v>0</v>
      </c>
      <c r="J393" s="31">
        <f t="shared" si="131"/>
        <v>0</v>
      </c>
      <c r="K393" s="31">
        <f t="shared" si="131"/>
        <v>181509</v>
      </c>
      <c r="L393" s="31">
        <f t="shared" si="131"/>
        <v>0</v>
      </c>
    </row>
    <row r="394" spans="1:12">
      <c r="A394" s="109"/>
      <c r="B394" s="97"/>
      <c r="C394" s="30" t="s">
        <v>15</v>
      </c>
      <c r="D394" s="31">
        <f t="shared" si="131"/>
        <v>0</v>
      </c>
      <c r="E394" s="31">
        <f t="shared" si="131"/>
        <v>0</v>
      </c>
      <c r="F394" s="31">
        <f t="shared" si="131"/>
        <v>0</v>
      </c>
      <c r="G394" s="31">
        <f>G382+G386+G390</f>
        <v>37557</v>
      </c>
      <c r="H394" s="31">
        <f>H382+H386+H390</f>
        <v>0</v>
      </c>
      <c r="I394" s="31">
        <f>I382+I386+I390</f>
        <v>0</v>
      </c>
      <c r="J394" s="31">
        <f>J382+J386+J390</f>
        <v>0</v>
      </c>
      <c r="K394" s="31">
        <f>K382+K386+K390</f>
        <v>37557</v>
      </c>
      <c r="L394" s="31">
        <f t="shared" si="131"/>
        <v>0</v>
      </c>
    </row>
    <row r="395" spans="1:12">
      <c r="A395" s="109"/>
      <c r="B395" s="97" t="s">
        <v>34</v>
      </c>
      <c r="C395" s="30" t="s">
        <v>12</v>
      </c>
      <c r="D395" s="31">
        <v>0</v>
      </c>
      <c r="E395" s="31">
        <v>0</v>
      </c>
      <c r="F395" s="31">
        <f>SUM(D395:E395)</f>
        <v>0</v>
      </c>
      <c r="G395" s="31">
        <v>109533</v>
      </c>
      <c r="H395" s="30">
        <v>0</v>
      </c>
      <c r="I395" s="30">
        <v>0</v>
      </c>
      <c r="J395" s="30">
        <v>0</v>
      </c>
      <c r="K395" s="31">
        <f>D395+E395+G395+H395+I395+J395</f>
        <v>109533</v>
      </c>
      <c r="L395" s="31">
        <v>0</v>
      </c>
    </row>
    <row r="396" spans="1:12">
      <c r="A396" s="109"/>
      <c r="B396" s="97"/>
      <c r="C396" s="30" t="s">
        <v>13</v>
      </c>
      <c r="D396" s="31">
        <v>0</v>
      </c>
      <c r="E396" s="31">
        <v>0</v>
      </c>
      <c r="F396" s="31">
        <f>SUM(D396:E396)</f>
        <v>0</v>
      </c>
      <c r="G396" s="31">
        <v>0</v>
      </c>
      <c r="H396" s="30">
        <v>0</v>
      </c>
      <c r="I396" s="30">
        <v>0</v>
      </c>
      <c r="J396" s="30">
        <v>0</v>
      </c>
      <c r="K396" s="31">
        <f>D396+E396+G396+H396+I396+J396</f>
        <v>0</v>
      </c>
      <c r="L396" s="31">
        <v>0</v>
      </c>
    </row>
    <row r="397" spans="1:12">
      <c r="A397" s="109"/>
      <c r="B397" s="97"/>
      <c r="C397" s="30" t="s">
        <v>14</v>
      </c>
      <c r="D397" s="31">
        <v>0</v>
      </c>
      <c r="E397" s="31">
        <v>0</v>
      </c>
      <c r="F397" s="31">
        <f>SUM(D397:E397)</f>
        <v>0</v>
      </c>
      <c r="G397" s="31">
        <v>0</v>
      </c>
      <c r="H397" s="30">
        <v>0</v>
      </c>
      <c r="I397" s="30">
        <v>0</v>
      </c>
      <c r="J397" s="30">
        <v>0</v>
      </c>
      <c r="K397" s="31">
        <f>D397+E397+G397+H397+I397+J397</f>
        <v>0</v>
      </c>
      <c r="L397" s="31">
        <v>0</v>
      </c>
    </row>
    <row r="398" spans="1:12">
      <c r="A398" s="109"/>
      <c r="B398" s="98"/>
      <c r="C398" s="90" t="s">
        <v>23</v>
      </c>
      <c r="D398" s="83">
        <f>D395-D397</f>
        <v>0</v>
      </c>
      <c r="E398" s="83">
        <f t="shared" ref="E398:L398" si="132">E395-E397</f>
        <v>0</v>
      </c>
      <c r="F398" s="83">
        <f t="shared" si="132"/>
        <v>0</v>
      </c>
      <c r="G398" s="83">
        <v>0</v>
      </c>
      <c r="H398" s="83">
        <f t="shared" si="132"/>
        <v>0</v>
      </c>
      <c r="I398" s="83">
        <f t="shared" si="132"/>
        <v>0</v>
      </c>
      <c r="J398" s="83">
        <f t="shared" si="132"/>
        <v>0</v>
      </c>
      <c r="K398" s="83">
        <f t="shared" si="132"/>
        <v>109533</v>
      </c>
      <c r="L398" s="83">
        <f t="shared" si="132"/>
        <v>0</v>
      </c>
    </row>
    <row r="399" spans="1:12">
      <c r="A399" s="109"/>
      <c r="B399" s="97" t="s">
        <v>35</v>
      </c>
      <c r="C399" s="30" t="s">
        <v>12</v>
      </c>
      <c r="D399" s="31">
        <v>0</v>
      </c>
      <c r="E399" s="31">
        <v>0</v>
      </c>
      <c r="F399" s="31">
        <f>SUM(D399:E399)</f>
        <v>0</v>
      </c>
      <c r="G399" s="31">
        <v>109533</v>
      </c>
      <c r="H399" s="30">
        <v>0</v>
      </c>
      <c r="I399" s="30">
        <v>0</v>
      </c>
      <c r="J399" s="30">
        <v>0</v>
      </c>
      <c r="K399" s="31">
        <f>D399+E399+G399+H399+I399+J399</f>
        <v>109533</v>
      </c>
      <c r="L399" s="31">
        <v>0</v>
      </c>
    </row>
    <row r="400" spans="1:12">
      <c r="A400" s="109"/>
      <c r="B400" s="97"/>
      <c r="C400" s="30" t="s">
        <v>13</v>
      </c>
      <c r="D400" s="31">
        <v>0</v>
      </c>
      <c r="E400" s="31">
        <v>0</v>
      </c>
      <c r="F400" s="31">
        <f>SUM(D400:E400)</f>
        <v>0</v>
      </c>
      <c r="G400" s="31">
        <v>0</v>
      </c>
      <c r="H400" s="30">
        <v>0</v>
      </c>
      <c r="I400" s="30">
        <v>0</v>
      </c>
      <c r="J400" s="30">
        <v>0</v>
      </c>
      <c r="K400" s="31">
        <f>D400+E400+G400+H400+I400+J400</f>
        <v>0</v>
      </c>
      <c r="L400" s="31">
        <v>0</v>
      </c>
    </row>
    <row r="401" spans="1:12">
      <c r="A401" s="109"/>
      <c r="B401" s="97"/>
      <c r="C401" s="30" t="s">
        <v>14</v>
      </c>
      <c r="D401" s="31">
        <v>0</v>
      </c>
      <c r="E401" s="31">
        <v>0</v>
      </c>
      <c r="F401" s="31">
        <f>SUM(D401:E401)</f>
        <v>0</v>
      </c>
      <c r="G401" s="31">
        <v>0</v>
      </c>
      <c r="H401" s="30">
        <v>0</v>
      </c>
      <c r="I401" s="30">
        <v>0</v>
      </c>
      <c r="J401" s="30">
        <v>0</v>
      </c>
      <c r="K401" s="31">
        <f>D401+E401+G401+H401+I401+J401</f>
        <v>0</v>
      </c>
      <c r="L401" s="31">
        <v>0</v>
      </c>
    </row>
    <row r="402" spans="1:12">
      <c r="A402" s="109"/>
      <c r="B402" s="98"/>
      <c r="C402" s="91" t="s">
        <v>23</v>
      </c>
      <c r="D402" s="82">
        <f>D399-D401</f>
        <v>0</v>
      </c>
      <c r="E402" s="82">
        <f t="shared" ref="E402:L402" si="133">E399-E401</f>
        <v>0</v>
      </c>
      <c r="F402" s="82">
        <f t="shared" si="133"/>
        <v>0</v>
      </c>
      <c r="G402" s="82">
        <v>0</v>
      </c>
      <c r="H402" s="82">
        <f t="shared" si="133"/>
        <v>0</v>
      </c>
      <c r="I402" s="82">
        <f t="shared" si="133"/>
        <v>0</v>
      </c>
      <c r="J402" s="82">
        <f t="shared" si="133"/>
        <v>0</v>
      </c>
      <c r="K402" s="82">
        <f t="shared" si="133"/>
        <v>109533</v>
      </c>
      <c r="L402" s="82">
        <f t="shared" si="133"/>
        <v>0</v>
      </c>
    </row>
    <row r="403" spans="1:12">
      <c r="A403" s="109"/>
      <c r="B403" s="97" t="s">
        <v>36</v>
      </c>
      <c r="C403" s="30" t="s">
        <v>12</v>
      </c>
      <c r="D403" s="31">
        <v>0</v>
      </c>
      <c r="E403" s="31">
        <v>0</v>
      </c>
      <c r="F403" s="31">
        <f>SUM(D403:E403)</f>
        <v>0</v>
      </c>
      <c r="G403" s="31">
        <v>452</v>
      </c>
      <c r="H403" s="30">
        <v>0</v>
      </c>
      <c r="I403" s="30">
        <v>0</v>
      </c>
      <c r="J403" s="30">
        <v>0</v>
      </c>
      <c r="K403" s="31">
        <f>D403+E403+G403+H403+I403+J403</f>
        <v>452</v>
      </c>
      <c r="L403" s="31">
        <v>0</v>
      </c>
    </row>
    <row r="404" spans="1:12">
      <c r="A404" s="109"/>
      <c r="B404" s="97"/>
      <c r="C404" s="30" t="s">
        <v>13</v>
      </c>
      <c r="D404" s="31">
        <v>0</v>
      </c>
      <c r="E404" s="31">
        <v>0</v>
      </c>
      <c r="F404" s="31">
        <f>SUM(D404:E404)</f>
        <v>0</v>
      </c>
      <c r="G404" s="31">
        <v>0</v>
      </c>
      <c r="H404" s="30">
        <v>0</v>
      </c>
      <c r="I404" s="30">
        <v>0</v>
      </c>
      <c r="J404" s="30">
        <v>0</v>
      </c>
      <c r="K404" s="31">
        <f>D404+E404+G404+H404+I404+J404</f>
        <v>0</v>
      </c>
      <c r="L404" s="31">
        <v>0</v>
      </c>
    </row>
    <row r="405" spans="1:12">
      <c r="A405" s="109"/>
      <c r="B405" s="97"/>
      <c r="C405" s="30" t="s">
        <v>14</v>
      </c>
      <c r="D405" s="31">
        <v>0</v>
      </c>
      <c r="E405" s="31">
        <v>0</v>
      </c>
      <c r="F405" s="31">
        <f>SUM(D405:E405)</f>
        <v>0</v>
      </c>
      <c r="G405" s="31">
        <v>0</v>
      </c>
      <c r="H405" s="30">
        <v>0</v>
      </c>
      <c r="I405" s="30">
        <v>0</v>
      </c>
      <c r="J405" s="30">
        <v>0</v>
      </c>
      <c r="K405" s="31">
        <f>D405+E405+G405+H405+I405+J405</f>
        <v>0</v>
      </c>
      <c r="L405" s="31">
        <v>0</v>
      </c>
    </row>
    <row r="406" spans="1:12">
      <c r="A406" s="109"/>
      <c r="B406" s="98"/>
      <c r="C406" s="91" t="s">
        <v>23</v>
      </c>
      <c r="D406" s="82">
        <f>D403-D405</f>
        <v>0</v>
      </c>
      <c r="E406" s="82">
        <f t="shared" ref="E406:L406" si="134">E403-E405</f>
        <v>0</v>
      </c>
      <c r="F406" s="82">
        <f t="shared" si="134"/>
        <v>0</v>
      </c>
      <c r="G406" s="82">
        <v>0</v>
      </c>
      <c r="H406" s="82">
        <f t="shared" si="134"/>
        <v>0</v>
      </c>
      <c r="I406" s="82">
        <f t="shared" si="134"/>
        <v>0</v>
      </c>
      <c r="J406" s="82">
        <f t="shared" si="134"/>
        <v>0</v>
      </c>
      <c r="K406" s="82">
        <f t="shared" si="134"/>
        <v>452</v>
      </c>
      <c r="L406" s="82">
        <f t="shared" si="134"/>
        <v>0</v>
      </c>
    </row>
    <row r="407" spans="1:12">
      <c r="A407" s="109"/>
      <c r="B407" s="106" t="s">
        <v>37</v>
      </c>
      <c r="C407" s="30" t="s">
        <v>12</v>
      </c>
      <c r="D407" s="31">
        <f>D395+D399+D403</f>
        <v>0</v>
      </c>
      <c r="E407" s="31">
        <f t="shared" ref="E407:L407" si="135">E395+E399+E403</f>
        <v>0</v>
      </c>
      <c r="F407" s="31">
        <f t="shared" si="135"/>
        <v>0</v>
      </c>
      <c r="G407" s="31">
        <f t="shared" si="135"/>
        <v>219518</v>
      </c>
      <c r="H407" s="31">
        <f t="shared" si="135"/>
        <v>0</v>
      </c>
      <c r="I407" s="31">
        <f t="shared" si="135"/>
        <v>0</v>
      </c>
      <c r="J407" s="31">
        <f t="shared" si="135"/>
        <v>0</v>
      </c>
      <c r="K407" s="31">
        <f t="shared" si="135"/>
        <v>219518</v>
      </c>
      <c r="L407" s="31">
        <f t="shared" si="135"/>
        <v>0</v>
      </c>
    </row>
    <row r="408" spans="1:12">
      <c r="A408" s="109"/>
      <c r="B408" s="106"/>
      <c r="C408" s="30" t="s">
        <v>13</v>
      </c>
      <c r="D408" s="31">
        <f t="shared" ref="D408:L410" si="136">D396+D400+D404</f>
        <v>0</v>
      </c>
      <c r="E408" s="31">
        <f t="shared" si="136"/>
        <v>0</v>
      </c>
      <c r="F408" s="31">
        <f t="shared" si="136"/>
        <v>0</v>
      </c>
      <c r="G408" s="31">
        <f t="shared" si="136"/>
        <v>0</v>
      </c>
      <c r="H408" s="31">
        <f t="shared" si="136"/>
        <v>0</v>
      </c>
      <c r="I408" s="31">
        <f t="shared" si="136"/>
        <v>0</v>
      </c>
      <c r="J408" s="31">
        <f t="shared" si="136"/>
        <v>0</v>
      </c>
      <c r="K408" s="31">
        <f t="shared" si="136"/>
        <v>0</v>
      </c>
      <c r="L408" s="31">
        <f t="shared" si="136"/>
        <v>0</v>
      </c>
    </row>
    <row r="409" spans="1:12">
      <c r="A409" s="109"/>
      <c r="B409" s="106"/>
      <c r="C409" s="30" t="s">
        <v>14</v>
      </c>
      <c r="D409" s="31">
        <f t="shared" si="136"/>
        <v>0</v>
      </c>
      <c r="E409" s="31">
        <f t="shared" si="136"/>
        <v>0</v>
      </c>
      <c r="F409" s="31">
        <f t="shared" si="136"/>
        <v>0</v>
      </c>
      <c r="G409" s="31">
        <f t="shared" si="136"/>
        <v>0</v>
      </c>
      <c r="H409" s="31">
        <f t="shared" si="136"/>
        <v>0</v>
      </c>
      <c r="I409" s="31">
        <f t="shared" si="136"/>
        <v>0</v>
      </c>
      <c r="J409" s="31">
        <f t="shared" si="136"/>
        <v>0</v>
      </c>
      <c r="K409" s="31">
        <f t="shared" si="136"/>
        <v>0</v>
      </c>
      <c r="L409" s="31">
        <f t="shared" si="136"/>
        <v>0</v>
      </c>
    </row>
    <row r="410" spans="1:12">
      <c r="A410" s="109"/>
      <c r="B410" s="106"/>
      <c r="C410" s="30" t="s">
        <v>38</v>
      </c>
      <c r="D410" s="31">
        <f t="shared" si="136"/>
        <v>0</v>
      </c>
      <c r="E410" s="31">
        <f t="shared" si="136"/>
        <v>0</v>
      </c>
      <c r="F410" s="31">
        <f t="shared" si="136"/>
        <v>0</v>
      </c>
      <c r="G410" s="31">
        <f t="shared" si="136"/>
        <v>0</v>
      </c>
      <c r="H410" s="31">
        <f t="shared" si="136"/>
        <v>0</v>
      </c>
      <c r="I410" s="31">
        <f t="shared" si="136"/>
        <v>0</v>
      </c>
      <c r="J410" s="31">
        <f t="shared" si="136"/>
        <v>0</v>
      </c>
      <c r="K410" s="31">
        <f t="shared" si="136"/>
        <v>219518</v>
      </c>
      <c r="L410" s="31">
        <f t="shared" si="136"/>
        <v>0</v>
      </c>
    </row>
    <row r="411" spans="1:12">
      <c r="A411" s="109"/>
      <c r="B411" s="106" t="s">
        <v>39</v>
      </c>
      <c r="C411" s="16" t="s">
        <v>12</v>
      </c>
      <c r="D411" s="17">
        <f t="shared" ref="D411:L413" si="137">D391+D407</f>
        <v>0</v>
      </c>
      <c r="E411" s="17">
        <f t="shared" si="137"/>
        <v>0</v>
      </c>
      <c r="F411" s="17">
        <f t="shared" si="137"/>
        <v>0</v>
      </c>
      <c r="G411" s="17">
        <f t="shared" si="137"/>
        <v>548117</v>
      </c>
      <c r="H411" s="17">
        <f t="shared" si="137"/>
        <v>0</v>
      </c>
      <c r="I411" s="17">
        <f t="shared" si="137"/>
        <v>0</v>
      </c>
      <c r="J411" s="17">
        <f t="shared" si="137"/>
        <v>0</v>
      </c>
      <c r="K411" s="17">
        <f t="shared" si="137"/>
        <v>548117</v>
      </c>
      <c r="L411" s="17">
        <f t="shared" si="137"/>
        <v>0</v>
      </c>
    </row>
    <row r="412" spans="1:12">
      <c r="A412" s="109"/>
      <c r="B412" s="106"/>
      <c r="C412" s="16" t="s">
        <v>13</v>
      </c>
      <c r="D412" s="17">
        <f t="shared" si="137"/>
        <v>0</v>
      </c>
      <c r="E412" s="17">
        <f t="shared" si="137"/>
        <v>0</v>
      </c>
      <c r="F412" s="17">
        <f t="shared" si="137"/>
        <v>0</v>
      </c>
      <c r="G412" s="17">
        <f t="shared" si="137"/>
        <v>181509</v>
      </c>
      <c r="H412" s="17">
        <f t="shared" si="137"/>
        <v>0</v>
      </c>
      <c r="I412" s="17">
        <f t="shared" si="137"/>
        <v>0</v>
      </c>
      <c r="J412" s="17">
        <f t="shared" si="137"/>
        <v>0</v>
      </c>
      <c r="K412" s="17">
        <f t="shared" si="137"/>
        <v>181509</v>
      </c>
      <c r="L412" s="17">
        <f t="shared" si="137"/>
        <v>0</v>
      </c>
    </row>
    <row r="413" spans="1:12">
      <c r="A413" s="109"/>
      <c r="B413" s="106"/>
      <c r="C413" s="16" t="s">
        <v>14</v>
      </c>
      <c r="D413" s="17">
        <f t="shared" si="137"/>
        <v>0</v>
      </c>
      <c r="E413" s="17">
        <f t="shared" si="137"/>
        <v>0</v>
      </c>
      <c r="F413" s="17">
        <f t="shared" si="137"/>
        <v>0</v>
      </c>
      <c r="G413" s="17">
        <f t="shared" si="137"/>
        <v>181509</v>
      </c>
      <c r="H413" s="17">
        <f t="shared" si="137"/>
        <v>0</v>
      </c>
      <c r="I413" s="17">
        <f t="shared" si="137"/>
        <v>0</v>
      </c>
      <c r="J413" s="17">
        <f t="shared" si="137"/>
        <v>0</v>
      </c>
      <c r="K413" s="17">
        <f t="shared" si="137"/>
        <v>181509</v>
      </c>
      <c r="L413" s="17">
        <f t="shared" si="137"/>
        <v>0</v>
      </c>
    </row>
    <row r="414" spans="1:12">
      <c r="A414" s="109"/>
      <c r="B414" s="106"/>
      <c r="C414" s="16" t="s">
        <v>33</v>
      </c>
      <c r="D414" s="17">
        <f>D394+D410</f>
        <v>0</v>
      </c>
      <c r="E414" s="17">
        <f>E394+E410</f>
        <v>0</v>
      </c>
      <c r="F414" s="17">
        <f>F394+F410</f>
        <v>0</v>
      </c>
      <c r="G414" s="17">
        <f>G393+G410</f>
        <v>181509</v>
      </c>
      <c r="H414" s="17">
        <f>H394+H410</f>
        <v>0</v>
      </c>
      <c r="I414" s="17">
        <f>I394+I410</f>
        <v>0</v>
      </c>
      <c r="J414" s="17">
        <f>J394+J410</f>
        <v>0</v>
      </c>
      <c r="K414" s="17">
        <f>K413</f>
        <v>181509</v>
      </c>
      <c r="L414" s="17">
        <f>L394+L410</f>
        <v>0</v>
      </c>
    </row>
    <row r="415" spans="1:12">
      <c r="A415" s="110"/>
      <c r="B415" s="120" t="s">
        <v>40</v>
      </c>
      <c r="C415" s="49" t="s">
        <v>12</v>
      </c>
      <c r="D415" s="50">
        <f t="shared" ref="D415:L417" si="138">D371+D411</f>
        <v>0</v>
      </c>
      <c r="E415" s="50">
        <f t="shared" si="138"/>
        <v>0</v>
      </c>
      <c r="F415" s="50">
        <f t="shared" si="138"/>
        <v>0</v>
      </c>
      <c r="G415" s="50">
        <f t="shared" si="138"/>
        <v>1090264.1400000001</v>
      </c>
      <c r="H415" s="50">
        <f t="shared" si="138"/>
        <v>0</v>
      </c>
      <c r="I415" s="50">
        <f t="shared" si="138"/>
        <v>0</v>
      </c>
      <c r="J415" s="50">
        <f t="shared" si="138"/>
        <v>0</v>
      </c>
      <c r="K415" s="50">
        <f t="shared" si="138"/>
        <v>1090264.1400000001</v>
      </c>
      <c r="L415" s="50">
        <f t="shared" si="138"/>
        <v>0</v>
      </c>
    </row>
    <row r="416" spans="1:12">
      <c r="A416" s="110"/>
      <c r="B416" s="120"/>
      <c r="C416" s="49" t="s">
        <v>13</v>
      </c>
      <c r="D416" s="50">
        <f t="shared" si="138"/>
        <v>0</v>
      </c>
      <c r="E416" s="50">
        <f t="shared" si="138"/>
        <v>0</v>
      </c>
      <c r="F416" s="50">
        <f t="shared" si="138"/>
        <v>0</v>
      </c>
      <c r="G416" s="50">
        <f>G375+G412</f>
        <v>723656.14</v>
      </c>
      <c r="H416" s="50">
        <f t="shared" si="138"/>
        <v>0</v>
      </c>
      <c r="I416" s="50">
        <f t="shared" si="138"/>
        <v>0</v>
      </c>
      <c r="J416" s="50">
        <f t="shared" si="138"/>
        <v>0</v>
      </c>
      <c r="K416" s="50">
        <f>K375+K412</f>
        <v>723656.14</v>
      </c>
      <c r="L416" s="50">
        <f>L372+L412</f>
        <v>0</v>
      </c>
    </row>
    <row r="417" spans="1:12">
      <c r="A417" s="110"/>
      <c r="B417" s="120"/>
      <c r="C417" s="51" t="s">
        <v>14</v>
      </c>
      <c r="D417" s="50">
        <f t="shared" si="138"/>
        <v>0</v>
      </c>
      <c r="E417" s="50">
        <f t="shared" si="138"/>
        <v>0</v>
      </c>
      <c r="F417" s="50">
        <f t="shared" si="138"/>
        <v>0</v>
      </c>
      <c r="G417" s="50">
        <f>G377+G413</f>
        <v>723656.14</v>
      </c>
      <c r="H417" s="50">
        <f t="shared" si="138"/>
        <v>0</v>
      </c>
      <c r="I417" s="50">
        <f t="shared" si="138"/>
        <v>0</v>
      </c>
      <c r="J417" s="50">
        <f t="shared" si="138"/>
        <v>0</v>
      </c>
      <c r="K417" s="50">
        <f>K413+K377</f>
        <v>723656.14</v>
      </c>
      <c r="L417" s="50">
        <f>L373+L413</f>
        <v>0</v>
      </c>
    </row>
    <row r="418" spans="1:12">
      <c r="A418" s="121" t="s">
        <v>50</v>
      </c>
      <c r="B418" s="98" t="s">
        <v>11</v>
      </c>
      <c r="C418" s="30" t="s">
        <v>12</v>
      </c>
      <c r="D418" s="31">
        <v>0</v>
      </c>
      <c r="E418" s="31">
        <v>225564.08</v>
      </c>
      <c r="F418" s="31">
        <f>D418+E418</f>
        <v>225564.08</v>
      </c>
      <c r="G418" s="31">
        <v>0</v>
      </c>
      <c r="H418" s="31">
        <v>0</v>
      </c>
      <c r="I418" s="31">
        <v>0</v>
      </c>
      <c r="J418" s="31">
        <v>0</v>
      </c>
      <c r="K418" s="31">
        <f>J418+I418+H418+G418+E418+D418</f>
        <v>225564.08</v>
      </c>
      <c r="L418" s="31">
        <v>0</v>
      </c>
    </row>
    <row r="419" spans="1:12">
      <c r="A419" s="121"/>
      <c r="B419" s="98"/>
      <c r="C419" s="30" t="s">
        <v>13</v>
      </c>
      <c r="D419" s="31">
        <v>0</v>
      </c>
      <c r="E419" s="31">
        <v>290830.2</v>
      </c>
      <c r="F419" s="31">
        <f>D419+E419</f>
        <v>290830.2</v>
      </c>
      <c r="G419" s="31">
        <v>0</v>
      </c>
      <c r="H419" s="31">
        <v>0</v>
      </c>
      <c r="I419" s="31">
        <v>0</v>
      </c>
      <c r="J419" s="31">
        <v>0</v>
      </c>
      <c r="K419" s="31">
        <f>J419+I419+H419+G419+E419+D419</f>
        <v>290830.2</v>
      </c>
      <c r="L419" s="31">
        <v>0</v>
      </c>
    </row>
    <row r="420" spans="1:12">
      <c r="A420" s="121"/>
      <c r="B420" s="98"/>
      <c r="C420" s="36" t="s">
        <v>14</v>
      </c>
      <c r="D420" s="37">
        <v>0</v>
      </c>
      <c r="E420" s="31">
        <v>225564.08</v>
      </c>
      <c r="F420" s="37">
        <f>D420+E420</f>
        <v>225564.08</v>
      </c>
      <c r="G420" s="37">
        <v>0</v>
      </c>
      <c r="H420" s="37">
        <v>0</v>
      </c>
      <c r="I420" s="37">
        <v>0</v>
      </c>
      <c r="J420" s="37">
        <v>0</v>
      </c>
      <c r="K420" s="37">
        <f>J420+I420+H420+G420+E420+D420</f>
        <v>225564.08</v>
      </c>
      <c r="L420" s="37">
        <v>0</v>
      </c>
    </row>
    <row r="421" spans="1:12">
      <c r="A421" s="121"/>
      <c r="B421" s="98"/>
      <c r="C421" s="38" t="s">
        <v>15</v>
      </c>
      <c r="D421" s="37">
        <f>D418-D420</f>
        <v>0</v>
      </c>
      <c r="E421" s="37">
        <f t="shared" ref="E421:L421" si="139">E418-E420</f>
        <v>0</v>
      </c>
      <c r="F421" s="37">
        <f t="shared" si="139"/>
        <v>0</v>
      </c>
      <c r="G421" s="37">
        <f t="shared" si="139"/>
        <v>0</v>
      </c>
      <c r="H421" s="37">
        <f t="shared" si="139"/>
        <v>0</v>
      </c>
      <c r="I421" s="37">
        <f t="shared" si="139"/>
        <v>0</v>
      </c>
      <c r="J421" s="37">
        <f t="shared" si="139"/>
        <v>0</v>
      </c>
      <c r="K421" s="37">
        <f t="shared" si="139"/>
        <v>0</v>
      </c>
      <c r="L421" s="37">
        <f t="shared" si="139"/>
        <v>0</v>
      </c>
    </row>
    <row r="422" spans="1:12">
      <c r="A422" s="121"/>
      <c r="B422" s="98" t="s">
        <v>16</v>
      </c>
      <c r="C422" s="30" t="s">
        <v>12</v>
      </c>
      <c r="D422" s="31">
        <v>0</v>
      </c>
      <c r="E422" s="31">
        <v>225564.08</v>
      </c>
      <c r="F422" s="31">
        <f>D422+E422</f>
        <v>225564.08</v>
      </c>
      <c r="G422" s="31">
        <v>0</v>
      </c>
      <c r="H422" s="31">
        <v>0</v>
      </c>
      <c r="I422" s="31">
        <v>0</v>
      </c>
      <c r="J422" s="31">
        <v>0</v>
      </c>
      <c r="K422" s="31">
        <f>J422+I422+H422+G422+E422+D422</f>
        <v>225564.08</v>
      </c>
      <c r="L422" s="31">
        <v>0</v>
      </c>
    </row>
    <row r="423" spans="1:12">
      <c r="A423" s="121"/>
      <c r="B423" s="98"/>
      <c r="C423" s="30" t="s">
        <v>13</v>
      </c>
      <c r="D423" s="31">
        <v>0</v>
      </c>
      <c r="E423" s="31">
        <v>267618.40000000002</v>
      </c>
      <c r="F423" s="31">
        <f>D423+E423</f>
        <v>267618.40000000002</v>
      </c>
      <c r="G423" s="31">
        <v>0</v>
      </c>
      <c r="H423" s="31">
        <v>0</v>
      </c>
      <c r="I423" s="31">
        <v>0</v>
      </c>
      <c r="J423" s="31">
        <v>0</v>
      </c>
      <c r="K423" s="31">
        <f>J423+I423+H423+G423+E423+D423</f>
        <v>267618.40000000002</v>
      </c>
      <c r="L423" s="31">
        <v>0</v>
      </c>
    </row>
    <row r="424" spans="1:12">
      <c r="A424" s="121"/>
      <c r="B424" s="98"/>
      <c r="C424" s="36" t="s">
        <v>14</v>
      </c>
      <c r="D424" s="37">
        <v>0</v>
      </c>
      <c r="E424" s="37">
        <v>225564.08</v>
      </c>
      <c r="F424" s="37">
        <f>D424+E424</f>
        <v>225564.08</v>
      </c>
      <c r="G424" s="37">
        <v>0</v>
      </c>
      <c r="H424" s="37">
        <v>0</v>
      </c>
      <c r="I424" s="37">
        <v>0</v>
      </c>
      <c r="J424" s="37">
        <v>0</v>
      </c>
      <c r="K424" s="37">
        <f>J424+I424+H424+G424+E424+D424</f>
        <v>225564.08</v>
      </c>
      <c r="L424" s="37">
        <v>0</v>
      </c>
    </row>
    <row r="425" spans="1:12">
      <c r="A425" s="121"/>
      <c r="B425" s="98"/>
      <c r="C425" s="38" t="s">
        <v>17</v>
      </c>
      <c r="D425" s="37">
        <f>D422-D424</f>
        <v>0</v>
      </c>
      <c r="E425" s="37">
        <f t="shared" ref="E425:J425" si="140">E422-E424</f>
        <v>0</v>
      </c>
      <c r="F425" s="37">
        <f t="shared" si="140"/>
        <v>0</v>
      </c>
      <c r="G425" s="37">
        <f t="shared" si="140"/>
        <v>0</v>
      </c>
      <c r="H425" s="37">
        <f t="shared" si="140"/>
        <v>0</v>
      </c>
      <c r="I425" s="37">
        <f t="shared" si="140"/>
        <v>0</v>
      </c>
      <c r="J425" s="37">
        <f t="shared" si="140"/>
        <v>0</v>
      </c>
      <c r="K425" s="37">
        <f>K422-K424</f>
        <v>0</v>
      </c>
      <c r="L425" s="37">
        <f>L422-L424</f>
        <v>0</v>
      </c>
    </row>
    <row r="426" spans="1:12">
      <c r="A426" s="121"/>
      <c r="B426" s="98" t="s">
        <v>18</v>
      </c>
      <c r="C426" s="30" t="s">
        <v>12</v>
      </c>
      <c r="D426" s="31">
        <v>0</v>
      </c>
      <c r="E426" s="31">
        <v>225564.08</v>
      </c>
      <c r="F426" s="31">
        <f>D426+E426</f>
        <v>225564.08</v>
      </c>
      <c r="G426" s="31">
        <v>0</v>
      </c>
      <c r="H426" s="31">
        <v>0</v>
      </c>
      <c r="I426" s="31">
        <v>0</v>
      </c>
      <c r="J426" s="31">
        <v>0</v>
      </c>
      <c r="K426" s="31">
        <f>J426+I426+H426+G426+E426+D426</f>
        <v>225564.08</v>
      </c>
      <c r="L426" s="31">
        <v>0</v>
      </c>
    </row>
    <row r="427" spans="1:12">
      <c r="A427" s="121"/>
      <c r="B427" s="98"/>
      <c r="C427" s="30" t="s">
        <v>13</v>
      </c>
      <c r="D427" s="31">
        <v>0</v>
      </c>
      <c r="E427" s="31">
        <v>294107.15999999997</v>
      </c>
      <c r="F427" s="31">
        <f>D427+E427</f>
        <v>294107.15999999997</v>
      </c>
      <c r="G427" s="31">
        <v>0</v>
      </c>
      <c r="H427" s="31">
        <v>0</v>
      </c>
      <c r="I427" s="31">
        <v>0</v>
      </c>
      <c r="J427" s="31">
        <v>0</v>
      </c>
      <c r="K427" s="31">
        <f>J427+I427+H427+G427+E427+D427</f>
        <v>294107.15999999997</v>
      </c>
      <c r="L427" s="31">
        <v>0</v>
      </c>
    </row>
    <row r="428" spans="1:12">
      <c r="A428" s="121"/>
      <c r="B428" s="98"/>
      <c r="C428" s="36" t="s">
        <v>14</v>
      </c>
      <c r="D428" s="37">
        <v>0</v>
      </c>
      <c r="E428" s="37">
        <v>225564.08</v>
      </c>
      <c r="F428" s="37">
        <f>D428+E428</f>
        <v>225564.08</v>
      </c>
      <c r="G428" s="37">
        <v>0</v>
      </c>
      <c r="H428" s="37">
        <v>0</v>
      </c>
      <c r="I428" s="37">
        <v>0</v>
      </c>
      <c r="J428" s="37">
        <v>0</v>
      </c>
      <c r="K428" s="37">
        <f>J428+I428+H428+G428+E428+D428</f>
        <v>225564.08</v>
      </c>
      <c r="L428" s="37">
        <v>0</v>
      </c>
    </row>
    <row r="429" spans="1:12">
      <c r="A429" s="121"/>
      <c r="B429" s="98"/>
      <c r="C429" s="38" t="s">
        <v>17</v>
      </c>
      <c r="D429" s="37">
        <f>D426-D428</f>
        <v>0</v>
      </c>
      <c r="E429" s="37">
        <f t="shared" ref="E429:J429" si="141">E426-E428</f>
        <v>0</v>
      </c>
      <c r="F429" s="37">
        <f t="shared" si="141"/>
        <v>0</v>
      </c>
      <c r="G429" s="37">
        <f t="shared" si="141"/>
        <v>0</v>
      </c>
      <c r="H429" s="37">
        <f t="shared" si="141"/>
        <v>0</v>
      </c>
      <c r="I429" s="37">
        <f t="shared" si="141"/>
        <v>0</v>
      </c>
      <c r="J429" s="37">
        <f t="shared" si="141"/>
        <v>0</v>
      </c>
      <c r="K429" s="37">
        <f>K426-K428</f>
        <v>0</v>
      </c>
      <c r="L429" s="37">
        <f>L426-L428</f>
        <v>0</v>
      </c>
    </row>
    <row r="430" spans="1:12">
      <c r="A430" s="121"/>
      <c r="B430" s="105" t="s">
        <v>19</v>
      </c>
      <c r="C430" s="30" t="s">
        <v>12</v>
      </c>
      <c r="D430" s="31">
        <f>D426+D422+D418</f>
        <v>0</v>
      </c>
      <c r="E430" s="31">
        <f>E426+E422+E418</f>
        <v>676692.24</v>
      </c>
      <c r="F430" s="31">
        <f t="shared" ref="F430:L430" si="142">F426+F422+F418</f>
        <v>676692.24</v>
      </c>
      <c r="G430" s="31">
        <f t="shared" si="142"/>
        <v>0</v>
      </c>
      <c r="H430" s="31">
        <f t="shared" si="142"/>
        <v>0</v>
      </c>
      <c r="I430" s="31">
        <f t="shared" si="142"/>
        <v>0</v>
      </c>
      <c r="J430" s="31">
        <f t="shared" si="142"/>
        <v>0</v>
      </c>
      <c r="K430" s="31">
        <f t="shared" si="142"/>
        <v>676692.24</v>
      </c>
      <c r="L430" s="31">
        <f t="shared" si="142"/>
        <v>0</v>
      </c>
    </row>
    <row r="431" spans="1:12">
      <c r="A431" s="121"/>
      <c r="B431" s="105"/>
      <c r="C431" s="30" t="s">
        <v>13</v>
      </c>
      <c r="D431" s="31">
        <f t="shared" ref="D431:L432" si="143">D427+D423+D419</f>
        <v>0</v>
      </c>
      <c r="E431" s="31">
        <f t="shared" si="143"/>
        <v>852555.76</v>
      </c>
      <c r="F431" s="31">
        <f t="shared" si="143"/>
        <v>852555.76</v>
      </c>
      <c r="G431" s="31">
        <f t="shared" si="143"/>
        <v>0</v>
      </c>
      <c r="H431" s="31">
        <f t="shared" si="143"/>
        <v>0</v>
      </c>
      <c r="I431" s="31">
        <f t="shared" si="143"/>
        <v>0</v>
      </c>
      <c r="J431" s="31">
        <f t="shared" si="143"/>
        <v>0</v>
      </c>
      <c r="K431" s="31">
        <f t="shared" si="143"/>
        <v>852555.76</v>
      </c>
      <c r="L431" s="31">
        <f t="shared" si="143"/>
        <v>0</v>
      </c>
    </row>
    <row r="432" spans="1:12">
      <c r="A432" s="121"/>
      <c r="B432" s="105"/>
      <c r="C432" s="36" t="s">
        <v>14</v>
      </c>
      <c r="D432" s="31">
        <f t="shared" si="143"/>
        <v>0</v>
      </c>
      <c r="E432" s="31">
        <f t="shared" si="143"/>
        <v>676692.24</v>
      </c>
      <c r="F432" s="31">
        <f t="shared" si="143"/>
        <v>676692.24</v>
      </c>
      <c r="G432" s="31">
        <f t="shared" si="143"/>
        <v>0</v>
      </c>
      <c r="H432" s="31">
        <f t="shared" si="143"/>
        <v>0</v>
      </c>
      <c r="I432" s="31">
        <f t="shared" si="143"/>
        <v>0</v>
      </c>
      <c r="J432" s="31">
        <f t="shared" si="143"/>
        <v>0</v>
      </c>
      <c r="K432" s="31">
        <f t="shared" si="143"/>
        <v>676692.24</v>
      </c>
      <c r="L432" s="31">
        <f t="shared" si="143"/>
        <v>0</v>
      </c>
    </row>
    <row r="433" spans="1:12">
      <c r="A433" s="121"/>
      <c r="B433" s="105"/>
      <c r="C433" s="36" t="s">
        <v>45</v>
      </c>
      <c r="D433" s="31">
        <v>0</v>
      </c>
      <c r="E433" s="31">
        <v>852555.76</v>
      </c>
      <c r="F433" s="31">
        <f>D433+E433</f>
        <v>852555.76</v>
      </c>
      <c r="G433" s="31">
        <v>0</v>
      </c>
      <c r="H433" s="31">
        <v>0</v>
      </c>
      <c r="I433" s="31"/>
      <c r="J433" s="31"/>
      <c r="K433" s="31">
        <f>F433</f>
        <v>852555.76</v>
      </c>
      <c r="L433" s="31">
        <v>0</v>
      </c>
    </row>
    <row r="434" spans="1:12">
      <c r="A434" s="121"/>
      <c r="B434" s="105"/>
      <c r="C434" s="36" t="s">
        <v>43</v>
      </c>
      <c r="D434" s="31">
        <v>0</v>
      </c>
      <c r="E434" s="31">
        <v>0</v>
      </c>
      <c r="F434" s="31">
        <f>D434+E434</f>
        <v>0</v>
      </c>
      <c r="G434" s="31">
        <v>0</v>
      </c>
      <c r="H434" s="31">
        <v>0</v>
      </c>
      <c r="I434" s="31"/>
      <c r="J434" s="31"/>
      <c r="K434" s="31">
        <f>F434</f>
        <v>0</v>
      </c>
      <c r="L434" s="31">
        <v>0</v>
      </c>
    </row>
    <row r="435" spans="1:12">
      <c r="A435" s="121"/>
      <c r="B435" s="105"/>
      <c r="C435" s="36" t="s">
        <v>22</v>
      </c>
      <c r="D435" s="31">
        <v>0</v>
      </c>
      <c r="E435" s="31">
        <f>E432+E434</f>
        <v>676692.24</v>
      </c>
      <c r="F435" s="31">
        <f>D435+E435</f>
        <v>676692.24</v>
      </c>
      <c r="G435" s="31">
        <v>0</v>
      </c>
      <c r="H435" s="31">
        <v>0</v>
      </c>
      <c r="I435" s="31"/>
      <c r="J435" s="31"/>
      <c r="K435" s="31">
        <f>F435</f>
        <v>676692.24</v>
      </c>
      <c r="L435" s="31">
        <v>0</v>
      </c>
    </row>
    <row r="436" spans="1:12">
      <c r="A436" s="121"/>
      <c r="B436" s="105"/>
      <c r="C436" s="30" t="s">
        <v>15</v>
      </c>
      <c r="D436" s="31">
        <f t="shared" ref="D436:L436" si="144">D429+D425+D421</f>
        <v>0</v>
      </c>
      <c r="E436" s="31">
        <f t="shared" si="144"/>
        <v>0</v>
      </c>
      <c r="F436" s="31">
        <f t="shared" si="144"/>
        <v>0</v>
      </c>
      <c r="G436" s="31">
        <f t="shared" si="144"/>
        <v>0</v>
      </c>
      <c r="H436" s="31">
        <f t="shared" si="144"/>
        <v>0</v>
      </c>
      <c r="I436" s="31">
        <f t="shared" si="144"/>
        <v>0</v>
      </c>
      <c r="J436" s="31">
        <f t="shared" si="144"/>
        <v>0</v>
      </c>
      <c r="K436" s="31">
        <f t="shared" si="144"/>
        <v>0</v>
      </c>
      <c r="L436" s="31">
        <f t="shared" si="144"/>
        <v>0</v>
      </c>
    </row>
    <row r="437" spans="1:12">
      <c r="A437" s="122"/>
      <c r="B437" s="103" t="s">
        <v>24</v>
      </c>
      <c r="C437" s="30" t="s">
        <v>12</v>
      </c>
      <c r="D437" s="31">
        <v>0</v>
      </c>
      <c r="E437" s="31">
        <v>225564.08</v>
      </c>
      <c r="F437" s="31">
        <f>D437+E437</f>
        <v>225564.08</v>
      </c>
      <c r="G437" s="31">
        <v>0</v>
      </c>
      <c r="H437" s="31">
        <v>0</v>
      </c>
      <c r="I437" s="31">
        <v>0</v>
      </c>
      <c r="J437" s="31">
        <v>0</v>
      </c>
      <c r="K437" s="31">
        <f>J437+I437+H437+G437+E437+D437</f>
        <v>225564.08</v>
      </c>
      <c r="L437" s="31">
        <v>0</v>
      </c>
    </row>
    <row r="438" spans="1:12">
      <c r="A438" s="122"/>
      <c r="B438" s="103"/>
      <c r="C438" s="30" t="s">
        <v>13</v>
      </c>
      <c r="D438" s="31">
        <v>0</v>
      </c>
      <c r="E438" s="31">
        <v>283183.96000000002</v>
      </c>
      <c r="F438" s="31">
        <f>D438+E438</f>
        <v>283183.96000000002</v>
      </c>
      <c r="G438" s="31">
        <v>0</v>
      </c>
      <c r="H438" s="31">
        <v>0</v>
      </c>
      <c r="I438" s="31">
        <v>0</v>
      </c>
      <c r="J438" s="31">
        <v>0</v>
      </c>
      <c r="K438" s="31">
        <f>J438+I438+H438+G438+E438+D438</f>
        <v>283183.96000000002</v>
      </c>
      <c r="L438" s="31">
        <v>0</v>
      </c>
    </row>
    <row r="439" spans="1:12">
      <c r="A439" s="122"/>
      <c r="B439" s="103"/>
      <c r="C439" s="36" t="s">
        <v>14</v>
      </c>
      <c r="D439" s="31">
        <v>0</v>
      </c>
      <c r="E439" s="31">
        <v>225564.08</v>
      </c>
      <c r="F439" s="31">
        <f>D439+E439</f>
        <v>225564.08</v>
      </c>
      <c r="G439" s="31">
        <v>0</v>
      </c>
      <c r="H439" s="31">
        <v>0</v>
      </c>
      <c r="I439" s="31">
        <v>0</v>
      </c>
      <c r="J439" s="31">
        <v>0</v>
      </c>
      <c r="K439" s="31">
        <f>J439+I439+H439+G439+E439+D439</f>
        <v>225564.08</v>
      </c>
      <c r="L439" s="31">
        <v>0</v>
      </c>
    </row>
    <row r="440" spans="1:12">
      <c r="A440" s="122"/>
      <c r="B440" s="103"/>
      <c r="C440" s="30" t="s">
        <v>15</v>
      </c>
      <c r="D440" s="31">
        <f>D437-D439</f>
        <v>0</v>
      </c>
      <c r="E440" s="31">
        <f t="shared" ref="E440:L440" si="145">E437-E439</f>
        <v>0</v>
      </c>
      <c r="F440" s="31">
        <f t="shared" si="145"/>
        <v>0</v>
      </c>
      <c r="G440" s="31">
        <f t="shared" si="145"/>
        <v>0</v>
      </c>
      <c r="H440" s="31">
        <f t="shared" si="145"/>
        <v>0</v>
      </c>
      <c r="I440" s="31">
        <f t="shared" si="145"/>
        <v>0</v>
      </c>
      <c r="J440" s="31">
        <f t="shared" si="145"/>
        <v>0</v>
      </c>
      <c r="K440" s="31">
        <f t="shared" si="145"/>
        <v>0</v>
      </c>
      <c r="L440" s="31">
        <f t="shared" si="145"/>
        <v>0</v>
      </c>
    </row>
    <row r="441" spans="1:12">
      <c r="A441" s="122"/>
      <c r="B441" s="103" t="s">
        <v>25</v>
      </c>
      <c r="C441" s="30" t="s">
        <v>12</v>
      </c>
      <c r="D441" s="31">
        <v>0</v>
      </c>
      <c r="E441" s="31">
        <v>225564.08</v>
      </c>
      <c r="F441" s="31">
        <f>D441+E441</f>
        <v>225564.08</v>
      </c>
      <c r="G441" s="31">
        <v>0</v>
      </c>
      <c r="H441" s="31">
        <v>0</v>
      </c>
      <c r="I441" s="31">
        <v>0</v>
      </c>
      <c r="J441" s="31">
        <v>0</v>
      </c>
      <c r="K441" s="31">
        <f>J441+I441+H441+G441+E441+D441</f>
        <v>225564.08</v>
      </c>
      <c r="L441" s="31">
        <v>0</v>
      </c>
    </row>
    <row r="442" spans="1:12">
      <c r="A442" s="122"/>
      <c r="B442" s="103"/>
      <c r="C442" s="30" t="s">
        <v>13</v>
      </c>
      <c r="D442" s="31">
        <v>0</v>
      </c>
      <c r="E442" s="31">
        <v>295199.48</v>
      </c>
      <c r="F442" s="31">
        <f>D442+E442</f>
        <v>295199.48</v>
      </c>
      <c r="G442" s="80">
        <v>0</v>
      </c>
      <c r="H442" s="31">
        <v>0</v>
      </c>
      <c r="I442" s="31">
        <v>0</v>
      </c>
      <c r="J442" s="31">
        <v>0</v>
      </c>
      <c r="K442" s="31">
        <f>J442+I442+H442+G442+E442+D442</f>
        <v>295199.48</v>
      </c>
      <c r="L442" s="80">
        <v>0</v>
      </c>
    </row>
    <row r="443" spans="1:12">
      <c r="A443" s="122"/>
      <c r="B443" s="103"/>
      <c r="C443" s="36" t="s">
        <v>14</v>
      </c>
      <c r="D443" s="31">
        <v>0</v>
      </c>
      <c r="E443" s="31">
        <v>225564.08</v>
      </c>
      <c r="F443" s="31">
        <f>D443+E443</f>
        <v>225564.08</v>
      </c>
      <c r="G443" s="31">
        <v>0</v>
      </c>
      <c r="H443" s="31">
        <v>0</v>
      </c>
      <c r="I443" s="31">
        <v>0</v>
      </c>
      <c r="J443" s="31">
        <v>0</v>
      </c>
      <c r="K443" s="31">
        <f>J443+I443+H443+G443+E443+D443</f>
        <v>225564.08</v>
      </c>
      <c r="L443" s="31">
        <v>0</v>
      </c>
    </row>
    <row r="444" spans="1:12">
      <c r="A444" s="122"/>
      <c r="B444" s="103"/>
      <c r="C444" s="30" t="s">
        <v>23</v>
      </c>
      <c r="D444" s="31">
        <f>D441-D443</f>
        <v>0</v>
      </c>
      <c r="E444" s="31">
        <f t="shared" ref="E444:L444" si="146">E441-E443</f>
        <v>0</v>
      </c>
      <c r="F444" s="31">
        <f t="shared" si="146"/>
        <v>0</v>
      </c>
      <c r="G444" s="31">
        <f t="shared" si="146"/>
        <v>0</v>
      </c>
      <c r="H444" s="31">
        <f t="shared" si="146"/>
        <v>0</v>
      </c>
      <c r="I444" s="31">
        <f t="shared" si="146"/>
        <v>0</v>
      </c>
      <c r="J444" s="31">
        <f t="shared" si="146"/>
        <v>0</v>
      </c>
      <c r="K444" s="31">
        <f t="shared" si="146"/>
        <v>0</v>
      </c>
      <c r="L444" s="31">
        <f t="shared" si="146"/>
        <v>0</v>
      </c>
    </row>
    <row r="445" spans="1:12">
      <c r="A445" s="122"/>
      <c r="B445" s="104" t="s">
        <v>26</v>
      </c>
      <c r="C445" s="38" t="s">
        <v>12</v>
      </c>
      <c r="D445" s="37">
        <v>0</v>
      </c>
      <c r="E445" s="31">
        <v>225564.08</v>
      </c>
      <c r="F445" s="37">
        <f>SUM(D445:E445)</f>
        <v>225564.08</v>
      </c>
      <c r="G445" s="37">
        <v>0</v>
      </c>
      <c r="H445" s="37">
        <v>0</v>
      </c>
      <c r="I445" s="37">
        <v>0</v>
      </c>
      <c r="J445" s="37">
        <v>0</v>
      </c>
      <c r="K445" s="37">
        <f>J445+I445+H445+G445+E445+D445</f>
        <v>225564.08</v>
      </c>
      <c r="L445" s="37">
        <v>0</v>
      </c>
    </row>
    <row r="446" spans="1:12">
      <c r="A446" s="122"/>
      <c r="B446" s="104"/>
      <c r="C446" s="38" t="s">
        <v>13</v>
      </c>
      <c r="D446" s="37">
        <v>0</v>
      </c>
      <c r="E446" s="37">
        <v>285641.68</v>
      </c>
      <c r="F446" s="37">
        <f>SUM(D446:E446)</f>
        <v>285641.68</v>
      </c>
      <c r="G446" s="37">
        <v>0</v>
      </c>
      <c r="H446" s="37">
        <v>0</v>
      </c>
      <c r="I446" s="37">
        <v>0</v>
      </c>
      <c r="J446" s="37">
        <v>0</v>
      </c>
      <c r="K446" s="37">
        <f>J446+I446+H446+G446+E446+D446</f>
        <v>285641.68</v>
      </c>
      <c r="L446" s="37">
        <v>0</v>
      </c>
    </row>
    <row r="447" spans="1:12">
      <c r="A447" s="122"/>
      <c r="B447" s="104"/>
      <c r="C447" s="36" t="s">
        <v>14</v>
      </c>
      <c r="D447" s="37">
        <v>0</v>
      </c>
      <c r="E447" s="37">
        <v>225564.08</v>
      </c>
      <c r="F447" s="37">
        <f>SUM(D447:E447)</f>
        <v>225564.08</v>
      </c>
      <c r="G447" s="37">
        <v>0</v>
      </c>
      <c r="H447" s="37">
        <v>0</v>
      </c>
      <c r="I447" s="37">
        <v>0</v>
      </c>
      <c r="J447" s="37">
        <v>0</v>
      </c>
      <c r="K447" s="37">
        <f>J447+I447+H447+G447+E447+D447</f>
        <v>225564.08</v>
      </c>
      <c r="L447" s="37">
        <v>0</v>
      </c>
    </row>
    <row r="448" spans="1:12">
      <c r="A448" s="122"/>
      <c r="B448" s="98"/>
      <c r="C448" s="38" t="s">
        <v>23</v>
      </c>
      <c r="D448" s="37">
        <f>D445-D447</f>
        <v>0</v>
      </c>
      <c r="E448" s="37">
        <f t="shared" ref="E448:L448" si="147">E445-E447</f>
        <v>0</v>
      </c>
      <c r="F448" s="37">
        <f t="shared" si="147"/>
        <v>0</v>
      </c>
      <c r="G448" s="37">
        <f t="shared" si="147"/>
        <v>0</v>
      </c>
      <c r="H448" s="37">
        <f t="shared" si="147"/>
        <v>0</v>
      </c>
      <c r="I448" s="37">
        <f t="shared" si="147"/>
        <v>0</v>
      </c>
      <c r="J448" s="37">
        <f t="shared" si="147"/>
        <v>0</v>
      </c>
      <c r="K448" s="37">
        <f t="shared" si="147"/>
        <v>0</v>
      </c>
      <c r="L448" s="37">
        <f t="shared" si="147"/>
        <v>0</v>
      </c>
    </row>
    <row r="449" spans="1:12">
      <c r="A449" s="122"/>
      <c r="B449" s="105" t="s">
        <v>27</v>
      </c>
      <c r="C449" s="30" t="s">
        <v>12</v>
      </c>
      <c r="D449" s="31">
        <f t="shared" ref="D449:J449" si="148">D445+D441+D437</f>
        <v>0</v>
      </c>
      <c r="E449" s="31">
        <f t="shared" si="148"/>
        <v>676692.24</v>
      </c>
      <c r="F449" s="31">
        <f t="shared" si="148"/>
        <v>676692.24</v>
      </c>
      <c r="G449" s="31">
        <f t="shared" si="148"/>
        <v>0</v>
      </c>
      <c r="H449" s="31">
        <f t="shared" si="148"/>
        <v>0</v>
      </c>
      <c r="I449" s="31">
        <f t="shared" si="148"/>
        <v>0</v>
      </c>
      <c r="J449" s="31">
        <f t="shared" si="148"/>
        <v>0</v>
      </c>
      <c r="K449" s="31">
        <f>J449+I449+H449+G449+E449+D449</f>
        <v>676692.24</v>
      </c>
      <c r="L449" s="31">
        <f>L445+L441+L437</f>
        <v>0</v>
      </c>
    </row>
    <row r="450" spans="1:12">
      <c r="A450" s="122"/>
      <c r="B450" s="105"/>
      <c r="C450" s="30" t="s">
        <v>13</v>
      </c>
      <c r="D450" s="31">
        <f>D446+D442+D438</f>
        <v>0</v>
      </c>
      <c r="E450" s="31">
        <f>E446+E442+E438</f>
        <v>864025.11999999988</v>
      </c>
      <c r="F450" s="31">
        <f>D450+E450</f>
        <v>864025.11999999988</v>
      </c>
      <c r="G450" s="31">
        <f>G446+G442+G438</f>
        <v>0</v>
      </c>
      <c r="H450" s="31">
        <v>0</v>
      </c>
      <c r="I450" s="31">
        <f>I446+I442+I438</f>
        <v>0</v>
      </c>
      <c r="J450" s="31">
        <f>J446+J442+J438</f>
        <v>0</v>
      </c>
      <c r="K450" s="31">
        <f>J450+I450+H450+G450+E450+D450</f>
        <v>864025.11999999988</v>
      </c>
      <c r="L450" s="31">
        <f>L446+L442+L438</f>
        <v>0</v>
      </c>
    </row>
    <row r="451" spans="1:12">
      <c r="A451" s="122"/>
      <c r="B451" s="105"/>
      <c r="C451" s="36" t="s">
        <v>14</v>
      </c>
      <c r="D451" s="31">
        <f>D447+D443+D439</f>
        <v>0</v>
      </c>
      <c r="E451" s="31">
        <f>E447+E443+E439</f>
        <v>676692.24</v>
      </c>
      <c r="F451" s="31">
        <f>D451+E451</f>
        <v>676692.24</v>
      </c>
      <c r="G451" s="31">
        <f>G447+G443+G439</f>
        <v>0</v>
      </c>
      <c r="H451" s="31">
        <f>H447+H443+H439</f>
        <v>0</v>
      </c>
      <c r="I451" s="31">
        <f>I447+I443+I439</f>
        <v>0</v>
      </c>
      <c r="J451" s="31">
        <f>J447+J443+J439</f>
        <v>0</v>
      </c>
      <c r="K451" s="31">
        <f>J451+I451+H451+G451+E451+D451</f>
        <v>676692.24</v>
      </c>
      <c r="L451" s="31">
        <f>L447+L443+L439</f>
        <v>0</v>
      </c>
    </row>
    <row r="452" spans="1:12">
      <c r="A452" s="122"/>
      <c r="B452" s="105"/>
      <c r="C452" s="30" t="s">
        <v>15</v>
      </c>
      <c r="D452" s="30">
        <f>D449-D451</f>
        <v>0</v>
      </c>
      <c r="E452" s="30">
        <f t="shared" ref="E452:L452" si="149">E449-E451</f>
        <v>0</v>
      </c>
      <c r="F452" s="30">
        <f t="shared" si="149"/>
        <v>0</v>
      </c>
      <c r="G452" s="30">
        <f t="shared" si="149"/>
        <v>0</v>
      </c>
      <c r="H452" s="30">
        <f t="shared" si="149"/>
        <v>0</v>
      </c>
      <c r="I452" s="30">
        <f t="shared" si="149"/>
        <v>0</v>
      </c>
      <c r="J452" s="30">
        <f t="shared" si="149"/>
        <v>0</v>
      </c>
      <c r="K452" s="30">
        <f t="shared" si="149"/>
        <v>0</v>
      </c>
      <c r="L452" s="30">
        <f t="shared" si="149"/>
        <v>0</v>
      </c>
    </row>
    <row r="453" spans="1:12">
      <c r="A453" s="122"/>
      <c r="B453" s="102" t="s">
        <v>28</v>
      </c>
      <c r="C453" s="16" t="s">
        <v>12</v>
      </c>
      <c r="D453" s="17">
        <f>D430+D449</f>
        <v>0</v>
      </c>
      <c r="E453" s="17">
        <f>E430+E449</f>
        <v>1353384.48</v>
      </c>
      <c r="F453" s="17">
        <f>D453+E453</f>
        <v>1353384.48</v>
      </c>
      <c r="G453" s="17">
        <f>G430+G449</f>
        <v>0</v>
      </c>
      <c r="H453" s="17">
        <f>H430+H449</f>
        <v>0</v>
      </c>
      <c r="I453" s="17">
        <f>I430+I449</f>
        <v>0</v>
      </c>
      <c r="J453" s="17">
        <f>J430+J449</f>
        <v>0</v>
      </c>
      <c r="K453" s="17">
        <f>J453+I453+H453+G453+E453+D453</f>
        <v>1353384.48</v>
      </c>
      <c r="L453" s="17">
        <f>L430+L449</f>
        <v>0</v>
      </c>
    </row>
    <row r="454" spans="1:12">
      <c r="A454" s="122"/>
      <c r="B454" s="102"/>
      <c r="C454" s="30" t="s">
        <v>13</v>
      </c>
      <c r="D454" s="31">
        <f>D431+D450</f>
        <v>0</v>
      </c>
      <c r="E454" s="31">
        <f>E433+E450</f>
        <v>1716580.88</v>
      </c>
      <c r="F454" s="31">
        <f>D454+E454</f>
        <v>1716580.88</v>
      </c>
      <c r="G454" s="31">
        <f t="shared" ref="G454:J455" si="150">G450+G431</f>
        <v>0</v>
      </c>
      <c r="H454" s="31">
        <f t="shared" si="150"/>
        <v>0</v>
      </c>
      <c r="I454" s="31">
        <f t="shared" si="150"/>
        <v>0</v>
      </c>
      <c r="J454" s="31">
        <f t="shared" si="150"/>
        <v>0</v>
      </c>
      <c r="K454" s="31">
        <f>J454+I454+H454+G454+E454+D454</f>
        <v>1716580.88</v>
      </c>
      <c r="L454" s="31">
        <f>L450+L431</f>
        <v>0</v>
      </c>
    </row>
    <row r="455" spans="1:12">
      <c r="A455" s="122"/>
      <c r="B455" s="102"/>
      <c r="C455" s="36" t="s">
        <v>14</v>
      </c>
      <c r="D455" s="31">
        <f>D432+D451</f>
        <v>0</v>
      </c>
      <c r="E455" s="31">
        <f>E432+E451</f>
        <v>1353384.48</v>
      </c>
      <c r="F455" s="31">
        <f>D455+E455</f>
        <v>1353384.48</v>
      </c>
      <c r="G455" s="31">
        <f t="shared" si="150"/>
        <v>0</v>
      </c>
      <c r="H455" s="31">
        <f t="shared" si="150"/>
        <v>0</v>
      </c>
      <c r="I455" s="31">
        <f t="shared" si="150"/>
        <v>0</v>
      </c>
      <c r="J455" s="31">
        <f t="shared" si="150"/>
        <v>0</v>
      </c>
      <c r="K455" s="31">
        <f>J455+I455+H455+G455+E455+D455</f>
        <v>1353384.48</v>
      </c>
      <c r="L455" s="31">
        <f>L451+L432</f>
        <v>0</v>
      </c>
    </row>
    <row r="456" spans="1:12">
      <c r="A456" s="122"/>
      <c r="B456" s="102"/>
      <c r="C456" s="30" t="s">
        <v>15</v>
      </c>
      <c r="D456" s="31">
        <f>D436+D452</f>
        <v>0</v>
      </c>
      <c r="E456" s="31">
        <f>E436+E452</f>
        <v>0</v>
      </c>
      <c r="F456" s="31">
        <f t="shared" ref="F456:L456" si="151">F436+F452</f>
        <v>0</v>
      </c>
      <c r="G456" s="31">
        <f t="shared" si="151"/>
        <v>0</v>
      </c>
      <c r="H456" s="31">
        <f t="shared" si="151"/>
        <v>0</v>
      </c>
      <c r="I456" s="31">
        <f t="shared" si="151"/>
        <v>0</v>
      </c>
      <c r="J456" s="31">
        <f t="shared" si="151"/>
        <v>0</v>
      </c>
      <c r="K456" s="31">
        <f t="shared" si="151"/>
        <v>0</v>
      </c>
      <c r="L456" s="31">
        <f t="shared" si="151"/>
        <v>0</v>
      </c>
    </row>
    <row r="457" spans="1:12">
      <c r="A457" s="122"/>
      <c r="B457" s="98"/>
      <c r="C457" s="48" t="s">
        <v>45</v>
      </c>
      <c r="D457" s="17">
        <v>0</v>
      </c>
      <c r="E457" s="17">
        <f>E433+864025.12</f>
        <v>1716580.88</v>
      </c>
      <c r="F457" s="17">
        <f t="shared" ref="F457:K457" si="152">F433+864025.12</f>
        <v>1716580.88</v>
      </c>
      <c r="G457" s="17">
        <v>0</v>
      </c>
      <c r="H457" s="17">
        <v>0</v>
      </c>
      <c r="I457" s="17">
        <f t="shared" si="152"/>
        <v>864025.12</v>
      </c>
      <c r="J457" s="17">
        <f t="shared" si="152"/>
        <v>864025.12</v>
      </c>
      <c r="K457" s="17">
        <f t="shared" si="152"/>
        <v>1716580.88</v>
      </c>
      <c r="L457" s="17">
        <v>0</v>
      </c>
    </row>
    <row r="458" spans="1:12">
      <c r="A458" s="122"/>
      <c r="B458" s="98"/>
      <c r="C458" s="48" t="s">
        <v>43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</row>
    <row r="459" spans="1:12">
      <c r="A459" s="122"/>
      <c r="B459" s="98"/>
      <c r="C459" s="48" t="s">
        <v>22</v>
      </c>
      <c r="D459" s="17">
        <v>0</v>
      </c>
      <c r="E459" s="17">
        <f t="shared" ref="E459:L459" si="153">E458+E455</f>
        <v>1353384.48</v>
      </c>
      <c r="F459" s="17">
        <f t="shared" si="153"/>
        <v>1353384.48</v>
      </c>
      <c r="G459" s="17">
        <f t="shared" si="153"/>
        <v>0</v>
      </c>
      <c r="H459" s="17">
        <f t="shared" si="153"/>
        <v>0</v>
      </c>
      <c r="I459" s="17">
        <f t="shared" si="153"/>
        <v>0</v>
      </c>
      <c r="J459" s="17">
        <f t="shared" si="153"/>
        <v>0</v>
      </c>
      <c r="K459" s="17">
        <f t="shared" si="153"/>
        <v>1353384.48</v>
      </c>
      <c r="L459" s="17">
        <f t="shared" si="153"/>
        <v>0</v>
      </c>
    </row>
    <row r="460" spans="1:12">
      <c r="A460" s="122"/>
      <c r="B460" s="98"/>
      <c r="C460" s="16" t="s">
        <v>15</v>
      </c>
      <c r="D460" s="17">
        <v>0</v>
      </c>
      <c r="E460" s="17">
        <f>E453-E459</f>
        <v>0</v>
      </c>
      <c r="F460" s="17">
        <f t="shared" ref="F460:L460" si="154">F453-F459</f>
        <v>0</v>
      </c>
      <c r="G460" s="17">
        <f t="shared" si="154"/>
        <v>0</v>
      </c>
      <c r="H460" s="17">
        <f t="shared" si="154"/>
        <v>0</v>
      </c>
      <c r="I460" s="17">
        <f t="shared" si="154"/>
        <v>0</v>
      </c>
      <c r="J460" s="17">
        <f t="shared" si="154"/>
        <v>0</v>
      </c>
      <c r="K460" s="17">
        <f t="shared" si="154"/>
        <v>0</v>
      </c>
      <c r="L460" s="17">
        <f t="shared" si="154"/>
        <v>0</v>
      </c>
    </row>
    <row r="461" spans="1:12">
      <c r="A461" s="122"/>
      <c r="B461" s="97" t="s">
        <v>29</v>
      </c>
      <c r="C461" s="30" t="s">
        <v>12</v>
      </c>
      <c r="D461" s="31">
        <v>0</v>
      </c>
      <c r="E461" s="31">
        <v>254783.64</v>
      </c>
      <c r="F461" s="31">
        <f>SUM(D461:E461)</f>
        <v>254783.64</v>
      </c>
      <c r="G461" s="31">
        <v>0</v>
      </c>
      <c r="H461" s="30">
        <v>0</v>
      </c>
      <c r="I461" s="30">
        <v>0</v>
      </c>
      <c r="J461" s="30">
        <v>0</v>
      </c>
      <c r="K461" s="31">
        <f>D461+E461+G461+H461+I461+J461</f>
        <v>254783.64</v>
      </c>
      <c r="L461" s="31">
        <v>0</v>
      </c>
    </row>
    <row r="462" spans="1:12">
      <c r="A462" s="122"/>
      <c r="B462" s="97"/>
      <c r="C462" s="30" t="s">
        <v>13</v>
      </c>
      <c r="D462" s="31">
        <v>0</v>
      </c>
      <c r="E462" s="31">
        <v>290010.96000000002</v>
      </c>
      <c r="F462" s="31">
        <f>SUM(D462:E462)</f>
        <v>290010.96000000002</v>
      </c>
      <c r="G462" s="31">
        <v>0</v>
      </c>
      <c r="H462" s="30">
        <v>0</v>
      </c>
      <c r="I462" s="30">
        <v>0</v>
      </c>
      <c r="J462" s="30">
        <v>0</v>
      </c>
      <c r="K462" s="31">
        <f>D462+E462+G462+H462+I462+J462</f>
        <v>290010.96000000002</v>
      </c>
      <c r="L462" s="31">
        <v>0</v>
      </c>
    </row>
    <row r="463" spans="1:12">
      <c r="A463" s="122"/>
      <c r="B463" s="97"/>
      <c r="C463" s="30" t="s">
        <v>14</v>
      </c>
      <c r="D463" s="31">
        <v>0</v>
      </c>
      <c r="E463" s="31">
        <v>254783.64</v>
      </c>
      <c r="F463" s="31">
        <f>SUM(D463:E463)</f>
        <v>254783.64</v>
      </c>
      <c r="G463" s="31">
        <v>0</v>
      </c>
      <c r="H463" s="30">
        <v>0</v>
      </c>
      <c r="I463" s="30">
        <v>0</v>
      </c>
      <c r="J463" s="30">
        <v>0</v>
      </c>
      <c r="K463" s="31">
        <f>D463+E463+G463+H463+I463+J463</f>
        <v>254783.64</v>
      </c>
      <c r="L463" s="31">
        <v>0</v>
      </c>
    </row>
    <row r="464" spans="1:12">
      <c r="A464" s="122"/>
      <c r="B464" s="98"/>
      <c r="C464" s="95" t="s">
        <v>23</v>
      </c>
      <c r="D464" s="82">
        <f>D461-D463</f>
        <v>0</v>
      </c>
      <c r="E464" s="82">
        <f t="shared" ref="E464:L464" si="155">E461-E463</f>
        <v>0</v>
      </c>
      <c r="F464" s="82">
        <f t="shared" si="155"/>
        <v>0</v>
      </c>
      <c r="G464" s="82">
        <f t="shared" si="155"/>
        <v>0</v>
      </c>
      <c r="H464" s="82">
        <f t="shared" si="155"/>
        <v>0</v>
      </c>
      <c r="I464" s="82">
        <f t="shared" si="155"/>
        <v>0</v>
      </c>
      <c r="J464" s="82">
        <f t="shared" si="155"/>
        <v>0</v>
      </c>
      <c r="K464" s="82">
        <f t="shared" si="155"/>
        <v>0</v>
      </c>
      <c r="L464" s="82">
        <f t="shared" si="155"/>
        <v>0</v>
      </c>
    </row>
    <row r="465" spans="1:12">
      <c r="A465" s="122"/>
      <c r="B465" s="97" t="s">
        <v>30</v>
      </c>
      <c r="C465" s="30" t="s">
        <v>12</v>
      </c>
      <c r="D465" s="31">
        <v>0</v>
      </c>
      <c r="E465" s="31">
        <v>254783.64</v>
      </c>
      <c r="F465" s="31">
        <f>SUM(D465:E465)</f>
        <v>254783.64</v>
      </c>
      <c r="G465" s="31">
        <v>0</v>
      </c>
      <c r="H465" s="30">
        <v>0</v>
      </c>
      <c r="I465" s="30">
        <v>0</v>
      </c>
      <c r="J465" s="30">
        <v>0</v>
      </c>
      <c r="K465" s="31">
        <f>J465+I465+H465+G465+E465+D465</f>
        <v>254783.64</v>
      </c>
      <c r="L465" s="31">
        <v>0</v>
      </c>
    </row>
    <row r="466" spans="1:12">
      <c r="A466" s="122"/>
      <c r="B466" s="97"/>
      <c r="C466" s="30" t="s">
        <v>13</v>
      </c>
      <c r="D466" s="31">
        <v>0</v>
      </c>
      <c r="E466" s="31">
        <v>293561</v>
      </c>
      <c r="F466" s="31">
        <f>SUM(D466:E466)</f>
        <v>293561</v>
      </c>
      <c r="G466" s="31">
        <v>0</v>
      </c>
      <c r="H466" s="30">
        <v>0</v>
      </c>
      <c r="I466" s="30">
        <v>0</v>
      </c>
      <c r="J466" s="30">
        <v>0</v>
      </c>
      <c r="K466" s="31">
        <f>J466+I466+H466+G466+E466+D466</f>
        <v>293561</v>
      </c>
      <c r="L466" s="31">
        <v>0</v>
      </c>
    </row>
    <row r="467" spans="1:12">
      <c r="A467" s="122"/>
      <c r="B467" s="97"/>
      <c r="C467" s="30" t="s">
        <v>14</v>
      </c>
      <c r="D467" s="31">
        <v>0</v>
      </c>
      <c r="E467" s="31">
        <v>254783.64</v>
      </c>
      <c r="F467" s="31">
        <f>SUM(D467:E467)</f>
        <v>254783.64</v>
      </c>
      <c r="G467" s="31">
        <v>0</v>
      </c>
      <c r="H467" s="30">
        <v>0</v>
      </c>
      <c r="I467" s="30">
        <v>0</v>
      </c>
      <c r="J467" s="30">
        <v>0</v>
      </c>
      <c r="K467" s="31">
        <f>J467+I467+H467+G467+E467+D467</f>
        <v>254783.64</v>
      </c>
      <c r="L467" s="31">
        <v>0</v>
      </c>
    </row>
    <row r="468" spans="1:12">
      <c r="A468" s="122"/>
      <c r="B468" s="98"/>
      <c r="C468" s="91" t="s">
        <v>23</v>
      </c>
      <c r="D468" s="82">
        <f>D465-D467</f>
        <v>0</v>
      </c>
      <c r="E468" s="82">
        <f t="shared" ref="E468:L468" si="156">E465-E467</f>
        <v>0</v>
      </c>
      <c r="F468" s="82">
        <f t="shared" si="156"/>
        <v>0</v>
      </c>
      <c r="G468" s="82">
        <f t="shared" si="156"/>
        <v>0</v>
      </c>
      <c r="H468" s="82">
        <f t="shared" si="156"/>
        <v>0</v>
      </c>
      <c r="I468" s="82">
        <f t="shared" si="156"/>
        <v>0</v>
      </c>
      <c r="J468" s="82">
        <f t="shared" si="156"/>
        <v>0</v>
      </c>
      <c r="K468" s="82">
        <f t="shared" si="156"/>
        <v>0</v>
      </c>
      <c r="L468" s="82">
        <f t="shared" si="156"/>
        <v>0</v>
      </c>
    </row>
    <row r="469" spans="1:12">
      <c r="A469" s="122"/>
      <c r="B469" s="97" t="s">
        <v>31</v>
      </c>
      <c r="C469" s="30" t="s">
        <v>12</v>
      </c>
      <c r="D469" s="31">
        <v>0</v>
      </c>
      <c r="E469" s="31">
        <v>254783.64</v>
      </c>
      <c r="F469" s="31">
        <f>SUM(D469:E469)</f>
        <v>254783.64</v>
      </c>
      <c r="G469" s="31">
        <v>0</v>
      </c>
      <c r="H469" s="30">
        <v>0</v>
      </c>
      <c r="I469" s="30">
        <v>0</v>
      </c>
      <c r="J469" s="30">
        <v>0</v>
      </c>
      <c r="K469" s="31">
        <f>J469+I469+H469+G469+E469+D469</f>
        <v>254783.64</v>
      </c>
      <c r="L469" s="31">
        <v>0</v>
      </c>
    </row>
    <row r="470" spans="1:12">
      <c r="A470" s="122"/>
      <c r="B470" s="97"/>
      <c r="C470" s="30" t="s">
        <v>13</v>
      </c>
      <c r="D470" s="31">
        <v>0</v>
      </c>
      <c r="E470" s="31">
        <v>0</v>
      </c>
      <c r="F470" s="31">
        <f>SUM(D470:E470)</f>
        <v>0</v>
      </c>
      <c r="G470" s="31">
        <v>0</v>
      </c>
      <c r="H470" s="30">
        <v>0</v>
      </c>
      <c r="I470" s="30">
        <v>0</v>
      </c>
      <c r="J470" s="30">
        <v>0</v>
      </c>
      <c r="K470" s="31">
        <f>J470+I470+H470+G470+E470+D470</f>
        <v>0</v>
      </c>
      <c r="L470" s="31">
        <v>0</v>
      </c>
    </row>
    <row r="471" spans="1:12">
      <c r="A471" s="122"/>
      <c r="B471" s="97"/>
      <c r="C471" s="30" t="s">
        <v>14</v>
      </c>
      <c r="D471" s="31">
        <v>0</v>
      </c>
      <c r="E471" s="31">
        <v>0</v>
      </c>
      <c r="F471" s="31">
        <f>SUM(D471:E471)</f>
        <v>0</v>
      </c>
      <c r="G471" s="31">
        <v>0</v>
      </c>
      <c r="H471" s="30">
        <v>0</v>
      </c>
      <c r="I471" s="30">
        <v>0</v>
      </c>
      <c r="J471" s="30">
        <v>0</v>
      </c>
      <c r="K471" s="31">
        <f>J471+I471+H471+G471+E471+D471</f>
        <v>0</v>
      </c>
      <c r="L471" s="31">
        <v>0</v>
      </c>
    </row>
    <row r="472" spans="1:12">
      <c r="A472" s="122"/>
      <c r="B472" s="98"/>
      <c r="C472" s="91" t="s">
        <v>23</v>
      </c>
      <c r="D472" s="83">
        <f>D469-D475</f>
        <v>0</v>
      </c>
      <c r="E472" s="83">
        <v>0</v>
      </c>
      <c r="F472" s="83">
        <v>0</v>
      </c>
      <c r="G472" s="83">
        <f t="shared" ref="G472:L472" si="157">G469-G475</f>
        <v>0</v>
      </c>
      <c r="H472" s="83">
        <f t="shared" si="157"/>
        <v>0</v>
      </c>
      <c r="I472" s="83">
        <f t="shared" si="157"/>
        <v>0</v>
      </c>
      <c r="J472" s="83">
        <f t="shared" si="157"/>
        <v>0</v>
      </c>
      <c r="K472" s="83">
        <f t="shared" si="157"/>
        <v>-254783.64</v>
      </c>
      <c r="L472" s="83">
        <f t="shared" si="157"/>
        <v>0</v>
      </c>
    </row>
    <row r="473" spans="1:12">
      <c r="A473" s="122"/>
      <c r="B473" s="106" t="s">
        <v>32</v>
      </c>
      <c r="C473" s="30" t="s">
        <v>12</v>
      </c>
      <c r="D473" s="31">
        <f>D461+D465+D469</f>
        <v>0</v>
      </c>
      <c r="E473" s="31">
        <f t="shared" ref="E473:L473" si="158">E461+E465+E469</f>
        <v>764350.92</v>
      </c>
      <c r="F473" s="31">
        <f t="shared" si="158"/>
        <v>764350.92</v>
      </c>
      <c r="G473" s="31">
        <f t="shared" si="158"/>
        <v>0</v>
      </c>
      <c r="H473" s="31">
        <f t="shared" si="158"/>
        <v>0</v>
      </c>
      <c r="I473" s="31">
        <f t="shared" si="158"/>
        <v>0</v>
      </c>
      <c r="J473" s="31">
        <f t="shared" si="158"/>
        <v>0</v>
      </c>
      <c r="K473" s="31">
        <f t="shared" si="158"/>
        <v>764350.92</v>
      </c>
      <c r="L473" s="31">
        <f t="shared" si="158"/>
        <v>0</v>
      </c>
    </row>
    <row r="474" spans="1:12">
      <c r="A474" s="122"/>
      <c r="B474" s="106"/>
      <c r="C474" s="30" t="s">
        <v>13</v>
      </c>
      <c r="D474" s="31">
        <f t="shared" ref="D474:L477" si="159">D462+D466+D470</f>
        <v>0</v>
      </c>
      <c r="E474" s="31">
        <f t="shared" si="159"/>
        <v>583571.96</v>
      </c>
      <c r="F474" s="31">
        <f t="shared" si="159"/>
        <v>583571.96</v>
      </c>
      <c r="G474" s="31">
        <f t="shared" si="159"/>
        <v>0</v>
      </c>
      <c r="H474" s="31">
        <f t="shared" si="159"/>
        <v>0</v>
      </c>
      <c r="I474" s="31">
        <f t="shared" si="159"/>
        <v>0</v>
      </c>
      <c r="J474" s="31">
        <f t="shared" si="159"/>
        <v>0</v>
      </c>
      <c r="K474" s="31">
        <f t="shared" si="159"/>
        <v>583571.96</v>
      </c>
      <c r="L474" s="31">
        <f t="shared" si="159"/>
        <v>0</v>
      </c>
    </row>
    <row r="475" spans="1:12">
      <c r="A475" s="122"/>
      <c r="B475" s="106"/>
      <c r="C475" s="30" t="s">
        <v>14</v>
      </c>
      <c r="D475" s="31">
        <f t="shared" si="159"/>
        <v>0</v>
      </c>
      <c r="E475" s="31">
        <f t="shared" si="159"/>
        <v>509567.28</v>
      </c>
      <c r="F475" s="31">
        <f t="shared" si="159"/>
        <v>509567.28</v>
      </c>
      <c r="G475" s="31">
        <f t="shared" si="159"/>
        <v>0</v>
      </c>
      <c r="H475" s="31">
        <f t="shared" si="159"/>
        <v>0</v>
      </c>
      <c r="I475" s="31">
        <f t="shared" si="159"/>
        <v>0</v>
      </c>
      <c r="J475" s="31">
        <f t="shared" si="159"/>
        <v>0</v>
      </c>
      <c r="K475" s="31">
        <f t="shared" si="159"/>
        <v>509567.28</v>
      </c>
      <c r="L475" s="31">
        <f t="shared" si="159"/>
        <v>0</v>
      </c>
    </row>
    <row r="476" spans="1:12">
      <c r="A476" s="122"/>
      <c r="B476" s="106"/>
      <c r="C476" s="30" t="s">
        <v>33</v>
      </c>
      <c r="D476" s="31">
        <f t="shared" si="159"/>
        <v>0</v>
      </c>
      <c r="E476" s="31">
        <f t="shared" ref="E476:K476" si="160">E467+E471+E463</f>
        <v>509567.28</v>
      </c>
      <c r="F476" s="31">
        <f t="shared" si="160"/>
        <v>509567.28</v>
      </c>
      <c r="G476" s="31">
        <f t="shared" si="160"/>
        <v>0</v>
      </c>
      <c r="H476" s="31">
        <f t="shared" si="160"/>
        <v>0</v>
      </c>
      <c r="I476" s="31">
        <f t="shared" si="160"/>
        <v>0</v>
      </c>
      <c r="J476" s="31">
        <f t="shared" si="160"/>
        <v>0</v>
      </c>
      <c r="K476" s="31">
        <f t="shared" si="160"/>
        <v>509567.28</v>
      </c>
      <c r="L476" s="31">
        <f t="shared" si="159"/>
        <v>0</v>
      </c>
    </row>
    <row r="477" spans="1:12">
      <c r="A477" s="122"/>
      <c r="B477" s="81"/>
      <c r="C477" s="30" t="s">
        <v>15</v>
      </c>
      <c r="D477" s="31">
        <f t="shared" si="159"/>
        <v>0</v>
      </c>
      <c r="E477" s="31">
        <f>E464+E468+E472</f>
        <v>0</v>
      </c>
      <c r="F477" s="31">
        <f>E477</f>
        <v>0</v>
      </c>
      <c r="G477" s="31">
        <f t="shared" si="159"/>
        <v>0</v>
      </c>
      <c r="H477" s="31">
        <f t="shared" si="159"/>
        <v>0</v>
      </c>
      <c r="I477" s="31">
        <f t="shared" si="159"/>
        <v>0</v>
      </c>
      <c r="J477" s="31">
        <f t="shared" si="159"/>
        <v>0</v>
      </c>
      <c r="K477" s="31">
        <f>F477</f>
        <v>0</v>
      </c>
      <c r="L477" s="31">
        <f t="shared" si="159"/>
        <v>0</v>
      </c>
    </row>
    <row r="478" spans="1:12">
      <c r="A478" s="122"/>
      <c r="B478" s="97" t="s">
        <v>34</v>
      </c>
      <c r="C478" s="30" t="s">
        <v>12</v>
      </c>
      <c r="D478" s="31">
        <v>0</v>
      </c>
      <c r="E478" s="31">
        <v>254783.64</v>
      </c>
      <c r="F478" s="31">
        <f>SUM(D478:E478)</f>
        <v>254783.64</v>
      </c>
      <c r="G478" s="31">
        <v>0</v>
      </c>
      <c r="H478" s="30">
        <v>0</v>
      </c>
      <c r="I478" s="30">
        <v>0</v>
      </c>
      <c r="J478" s="30">
        <v>0</v>
      </c>
      <c r="K478" s="31">
        <f>D478+E478+G478+H478+I478+J478</f>
        <v>254783.64</v>
      </c>
      <c r="L478" s="31">
        <v>0</v>
      </c>
    </row>
    <row r="479" spans="1:12">
      <c r="A479" s="122"/>
      <c r="B479" s="97"/>
      <c r="C479" s="30" t="s">
        <v>13</v>
      </c>
      <c r="D479" s="31">
        <v>0</v>
      </c>
      <c r="E479" s="31">
        <v>0</v>
      </c>
      <c r="F479" s="31">
        <f>SUM(D479:E479)</f>
        <v>0</v>
      </c>
      <c r="G479" s="31">
        <v>0</v>
      </c>
      <c r="H479" s="30">
        <v>0</v>
      </c>
      <c r="I479" s="30">
        <v>0</v>
      </c>
      <c r="J479" s="30">
        <v>0</v>
      </c>
      <c r="K479" s="31">
        <f>D479+E479+G479+H479+I479+J479</f>
        <v>0</v>
      </c>
      <c r="L479" s="31">
        <v>0</v>
      </c>
    </row>
    <row r="480" spans="1:12">
      <c r="A480" s="122"/>
      <c r="B480" s="97"/>
      <c r="C480" s="30" t="s">
        <v>14</v>
      </c>
      <c r="D480" s="31">
        <v>0</v>
      </c>
      <c r="E480" s="31">
        <v>0</v>
      </c>
      <c r="F480" s="31">
        <f>SUM(D480:E480)</f>
        <v>0</v>
      </c>
      <c r="G480" s="31">
        <v>0</v>
      </c>
      <c r="H480" s="30">
        <v>0</v>
      </c>
      <c r="I480" s="30">
        <v>0</v>
      </c>
      <c r="J480" s="30">
        <v>0</v>
      </c>
      <c r="K480" s="31">
        <f>D480+E480+G480+H480+I480+J480</f>
        <v>0</v>
      </c>
      <c r="L480" s="31">
        <v>0</v>
      </c>
    </row>
    <row r="481" spans="1:12">
      <c r="A481" s="122"/>
      <c r="B481" s="98"/>
      <c r="C481" s="90" t="s">
        <v>23</v>
      </c>
      <c r="D481" s="83">
        <f>D478-D480</f>
        <v>0</v>
      </c>
      <c r="E481" s="83">
        <v>0</v>
      </c>
      <c r="F481" s="83">
        <v>0</v>
      </c>
      <c r="G481" s="83">
        <f t="shared" ref="G481:L481" si="161">G478-G480</f>
        <v>0</v>
      </c>
      <c r="H481" s="83">
        <f t="shared" si="161"/>
        <v>0</v>
      </c>
      <c r="I481" s="83">
        <f t="shared" si="161"/>
        <v>0</v>
      </c>
      <c r="J481" s="83">
        <f t="shared" si="161"/>
        <v>0</v>
      </c>
      <c r="K481" s="83">
        <v>0</v>
      </c>
      <c r="L481" s="83">
        <f t="shared" si="161"/>
        <v>0</v>
      </c>
    </row>
    <row r="482" spans="1:12">
      <c r="A482" s="122"/>
      <c r="B482" s="97" t="s">
        <v>35</v>
      </c>
      <c r="C482" s="30" t="s">
        <v>12</v>
      </c>
      <c r="D482" s="31">
        <v>0</v>
      </c>
      <c r="E482" s="31">
        <v>254783.64</v>
      </c>
      <c r="F482" s="31">
        <f>SUM(D482:E482)</f>
        <v>254783.64</v>
      </c>
      <c r="G482" s="31">
        <v>0</v>
      </c>
      <c r="H482" s="30">
        <v>0</v>
      </c>
      <c r="I482" s="30">
        <v>0</v>
      </c>
      <c r="J482" s="30">
        <v>0</v>
      </c>
      <c r="K482" s="31">
        <f>D482+E482+G482+H482+I482+J482</f>
        <v>254783.64</v>
      </c>
      <c r="L482" s="31">
        <v>0</v>
      </c>
    </row>
    <row r="483" spans="1:12">
      <c r="A483" s="122"/>
      <c r="B483" s="97"/>
      <c r="C483" s="30" t="s">
        <v>13</v>
      </c>
      <c r="D483" s="31">
        <v>0</v>
      </c>
      <c r="E483" s="31">
        <v>0</v>
      </c>
      <c r="F483" s="31">
        <f>SUM(D483:E483)</f>
        <v>0</v>
      </c>
      <c r="G483" s="31">
        <v>0</v>
      </c>
      <c r="H483" s="30">
        <v>0</v>
      </c>
      <c r="I483" s="30">
        <v>0</v>
      </c>
      <c r="J483" s="30">
        <v>0</v>
      </c>
      <c r="K483" s="31">
        <f>D483+E483+G483+H483+I483+J483</f>
        <v>0</v>
      </c>
      <c r="L483" s="31">
        <v>0</v>
      </c>
    </row>
    <row r="484" spans="1:12">
      <c r="A484" s="122"/>
      <c r="B484" s="97"/>
      <c r="C484" s="30" t="s">
        <v>14</v>
      </c>
      <c r="D484" s="31">
        <v>0</v>
      </c>
      <c r="E484" s="31">
        <v>0</v>
      </c>
      <c r="F484" s="31">
        <f>SUM(D484:E484)</f>
        <v>0</v>
      </c>
      <c r="G484" s="31">
        <v>0</v>
      </c>
      <c r="H484" s="30">
        <v>0</v>
      </c>
      <c r="I484" s="30">
        <v>0</v>
      </c>
      <c r="J484" s="30">
        <v>0</v>
      </c>
      <c r="K484" s="31">
        <f>D484+E484+G484+H484+I484+J484</f>
        <v>0</v>
      </c>
      <c r="L484" s="31">
        <v>0</v>
      </c>
    </row>
    <row r="485" spans="1:12">
      <c r="A485" s="122"/>
      <c r="B485" s="98"/>
      <c r="C485" s="91" t="s">
        <v>23</v>
      </c>
      <c r="D485" s="82">
        <f>D482-D484</f>
        <v>0</v>
      </c>
      <c r="E485" s="82">
        <v>0</v>
      </c>
      <c r="F485" s="82">
        <v>0</v>
      </c>
      <c r="G485" s="82">
        <f t="shared" ref="G485:L485" si="162">G482-G484</f>
        <v>0</v>
      </c>
      <c r="H485" s="82">
        <f t="shared" si="162"/>
        <v>0</v>
      </c>
      <c r="I485" s="82">
        <f t="shared" si="162"/>
        <v>0</v>
      </c>
      <c r="J485" s="82">
        <f t="shared" si="162"/>
        <v>0</v>
      </c>
      <c r="K485" s="82">
        <v>0</v>
      </c>
      <c r="L485" s="82">
        <f t="shared" si="162"/>
        <v>0</v>
      </c>
    </row>
    <row r="486" spans="1:12">
      <c r="A486" s="122"/>
      <c r="B486" s="97" t="s">
        <v>36</v>
      </c>
      <c r="C486" s="30" t="s">
        <v>12</v>
      </c>
      <c r="D486" s="31">
        <v>0</v>
      </c>
      <c r="E486" s="31">
        <v>7373.16</v>
      </c>
      <c r="F486" s="31">
        <f>SUM(D486:E486)</f>
        <v>7373.16</v>
      </c>
      <c r="G486" s="31">
        <v>0</v>
      </c>
      <c r="H486" s="30">
        <v>0</v>
      </c>
      <c r="I486" s="30">
        <v>0</v>
      </c>
      <c r="J486" s="30">
        <v>0</v>
      </c>
      <c r="K486" s="31">
        <f>D486+E486+G486+H486+I486+J486</f>
        <v>7373.16</v>
      </c>
      <c r="L486" s="31">
        <v>0</v>
      </c>
    </row>
    <row r="487" spans="1:12">
      <c r="A487" s="122"/>
      <c r="B487" s="97"/>
      <c r="C487" s="30" t="s">
        <v>13</v>
      </c>
      <c r="D487" s="31">
        <v>0</v>
      </c>
      <c r="E487" s="31">
        <v>0</v>
      </c>
      <c r="F487" s="31">
        <f>SUM(D487:E487)</f>
        <v>0</v>
      </c>
      <c r="G487" s="31">
        <v>0</v>
      </c>
      <c r="H487" s="30">
        <v>0</v>
      </c>
      <c r="I487" s="30">
        <v>0</v>
      </c>
      <c r="J487" s="30">
        <v>0</v>
      </c>
      <c r="K487" s="31">
        <f>D487+E487+G487+H487+I487+J487</f>
        <v>0</v>
      </c>
      <c r="L487" s="31">
        <v>0</v>
      </c>
    </row>
    <row r="488" spans="1:12">
      <c r="A488" s="122"/>
      <c r="B488" s="97"/>
      <c r="C488" s="30" t="s">
        <v>14</v>
      </c>
      <c r="D488" s="31">
        <v>0</v>
      </c>
      <c r="E488" s="31">
        <v>0</v>
      </c>
      <c r="F488" s="31">
        <f>SUM(D488:E488)</f>
        <v>0</v>
      </c>
      <c r="G488" s="31">
        <v>0</v>
      </c>
      <c r="H488" s="30">
        <v>0</v>
      </c>
      <c r="I488" s="30">
        <v>0</v>
      </c>
      <c r="J488" s="30">
        <v>0</v>
      </c>
      <c r="K488" s="31">
        <f>D488+E488+G488+H488+I488+J488</f>
        <v>0</v>
      </c>
      <c r="L488" s="31">
        <v>0</v>
      </c>
    </row>
    <row r="489" spans="1:12">
      <c r="A489" s="122"/>
      <c r="B489" s="98"/>
      <c r="C489" s="91" t="s">
        <v>23</v>
      </c>
      <c r="D489" s="82">
        <f>D486-D488</f>
        <v>0</v>
      </c>
      <c r="E489" s="82">
        <v>0</v>
      </c>
      <c r="F489" s="82">
        <v>0</v>
      </c>
      <c r="G489" s="82">
        <f t="shared" ref="G489:L489" si="163">G486-G488</f>
        <v>0</v>
      </c>
      <c r="H489" s="82">
        <f t="shared" si="163"/>
        <v>0</v>
      </c>
      <c r="I489" s="82">
        <f t="shared" si="163"/>
        <v>0</v>
      </c>
      <c r="J489" s="82">
        <f t="shared" si="163"/>
        <v>0</v>
      </c>
      <c r="K489" s="82">
        <v>0</v>
      </c>
      <c r="L489" s="82">
        <f t="shared" si="163"/>
        <v>0</v>
      </c>
    </row>
    <row r="490" spans="1:12">
      <c r="A490" s="122"/>
      <c r="B490" s="106" t="s">
        <v>37</v>
      </c>
      <c r="C490" s="30" t="s">
        <v>12</v>
      </c>
      <c r="D490" s="31">
        <f>D478+D482+D486</f>
        <v>0</v>
      </c>
      <c r="E490" s="31">
        <f t="shared" ref="E490:L490" si="164">E478+E482+E486</f>
        <v>516940.44</v>
      </c>
      <c r="F490" s="31">
        <f t="shared" si="164"/>
        <v>516940.44</v>
      </c>
      <c r="G490" s="31">
        <f t="shared" si="164"/>
        <v>0</v>
      </c>
      <c r="H490" s="31">
        <f t="shared" si="164"/>
        <v>0</v>
      </c>
      <c r="I490" s="31">
        <f t="shared" si="164"/>
        <v>0</v>
      </c>
      <c r="J490" s="31">
        <f t="shared" si="164"/>
        <v>0</v>
      </c>
      <c r="K490" s="31">
        <f t="shared" si="164"/>
        <v>516940.44</v>
      </c>
      <c r="L490" s="31">
        <f t="shared" si="164"/>
        <v>0</v>
      </c>
    </row>
    <row r="491" spans="1:12">
      <c r="A491" s="122"/>
      <c r="B491" s="106"/>
      <c r="C491" s="30" t="s">
        <v>13</v>
      </c>
      <c r="D491" s="31">
        <f t="shared" ref="D491:L493" si="165">D479+D483+D487</f>
        <v>0</v>
      </c>
      <c r="E491" s="31">
        <f t="shared" si="165"/>
        <v>0</v>
      </c>
      <c r="F491" s="31">
        <f t="shared" si="165"/>
        <v>0</v>
      </c>
      <c r="G491" s="31">
        <f t="shared" si="165"/>
        <v>0</v>
      </c>
      <c r="H491" s="31">
        <f t="shared" si="165"/>
        <v>0</v>
      </c>
      <c r="I491" s="31">
        <f t="shared" si="165"/>
        <v>0</v>
      </c>
      <c r="J491" s="31">
        <f t="shared" si="165"/>
        <v>0</v>
      </c>
      <c r="K491" s="31">
        <f t="shared" si="165"/>
        <v>0</v>
      </c>
      <c r="L491" s="31">
        <f t="shared" si="165"/>
        <v>0</v>
      </c>
    </row>
    <row r="492" spans="1:12">
      <c r="A492" s="122"/>
      <c r="B492" s="106"/>
      <c r="C492" s="30" t="s">
        <v>14</v>
      </c>
      <c r="D492" s="31">
        <f t="shared" si="165"/>
        <v>0</v>
      </c>
      <c r="E492" s="31">
        <f t="shared" si="165"/>
        <v>0</v>
      </c>
      <c r="F492" s="31">
        <f t="shared" si="165"/>
        <v>0</v>
      </c>
      <c r="G492" s="31">
        <f t="shared" si="165"/>
        <v>0</v>
      </c>
      <c r="H492" s="31">
        <f t="shared" si="165"/>
        <v>0</v>
      </c>
      <c r="I492" s="31">
        <f t="shared" si="165"/>
        <v>0</v>
      </c>
      <c r="J492" s="31">
        <f t="shared" si="165"/>
        <v>0</v>
      </c>
      <c r="K492" s="31">
        <f t="shared" si="165"/>
        <v>0</v>
      </c>
      <c r="L492" s="31">
        <f t="shared" si="165"/>
        <v>0</v>
      </c>
    </row>
    <row r="493" spans="1:12">
      <c r="A493" s="122"/>
      <c r="B493" s="106"/>
      <c r="C493" s="30" t="s">
        <v>38</v>
      </c>
      <c r="D493" s="31">
        <f t="shared" si="165"/>
        <v>0</v>
      </c>
      <c r="E493" s="31">
        <f>E481+E485+E489</f>
        <v>0</v>
      </c>
      <c r="F493" s="31">
        <f t="shared" si="165"/>
        <v>0</v>
      </c>
      <c r="G493" s="31">
        <f t="shared" si="165"/>
        <v>0</v>
      </c>
      <c r="H493" s="31">
        <f t="shared" si="165"/>
        <v>0</v>
      </c>
      <c r="I493" s="31">
        <f t="shared" si="165"/>
        <v>0</v>
      </c>
      <c r="J493" s="31">
        <f t="shared" si="165"/>
        <v>0</v>
      </c>
      <c r="K493" s="31">
        <f t="shared" si="165"/>
        <v>0</v>
      </c>
      <c r="L493" s="31">
        <f t="shared" si="165"/>
        <v>0</v>
      </c>
    </row>
    <row r="494" spans="1:12">
      <c r="A494" s="122"/>
      <c r="B494" s="106" t="s">
        <v>39</v>
      </c>
      <c r="C494" s="16" t="s">
        <v>12</v>
      </c>
      <c r="D494" s="17">
        <f>D473+D490</f>
        <v>0</v>
      </c>
      <c r="E494" s="17">
        <f t="shared" ref="E494:L494" si="166">E473+E490</f>
        <v>1281291.3600000001</v>
      </c>
      <c r="F494" s="17">
        <f t="shared" si="166"/>
        <v>1281291.3600000001</v>
      </c>
      <c r="G494" s="17">
        <f t="shared" si="166"/>
        <v>0</v>
      </c>
      <c r="H494" s="17">
        <f t="shared" si="166"/>
        <v>0</v>
      </c>
      <c r="I494" s="17">
        <f t="shared" si="166"/>
        <v>0</v>
      </c>
      <c r="J494" s="17">
        <f t="shared" si="166"/>
        <v>0</v>
      </c>
      <c r="K494" s="17">
        <f t="shared" si="166"/>
        <v>1281291.3600000001</v>
      </c>
      <c r="L494" s="17">
        <f t="shared" si="166"/>
        <v>0</v>
      </c>
    </row>
    <row r="495" spans="1:12">
      <c r="A495" s="122"/>
      <c r="B495" s="106"/>
      <c r="C495" s="16" t="s">
        <v>13</v>
      </c>
      <c r="D495" s="17">
        <f t="shared" ref="D495:L497" si="167">D474+D491</f>
        <v>0</v>
      </c>
      <c r="E495" s="17">
        <f t="shared" si="167"/>
        <v>583571.96</v>
      </c>
      <c r="F495" s="17">
        <f t="shared" si="167"/>
        <v>583571.96</v>
      </c>
      <c r="G495" s="17">
        <f t="shared" si="167"/>
        <v>0</v>
      </c>
      <c r="H495" s="17">
        <f t="shared" si="167"/>
        <v>0</v>
      </c>
      <c r="I495" s="17">
        <f t="shared" si="167"/>
        <v>0</v>
      </c>
      <c r="J495" s="17">
        <f t="shared" si="167"/>
        <v>0</v>
      </c>
      <c r="K495" s="17">
        <f t="shared" si="167"/>
        <v>583571.96</v>
      </c>
      <c r="L495" s="17">
        <f t="shared" si="167"/>
        <v>0</v>
      </c>
    </row>
    <row r="496" spans="1:12">
      <c r="A496" s="122"/>
      <c r="B496" s="106"/>
      <c r="C496" s="16" t="s">
        <v>14</v>
      </c>
      <c r="D496" s="17">
        <f t="shared" si="167"/>
        <v>0</v>
      </c>
      <c r="E496" s="17">
        <f t="shared" si="167"/>
        <v>509567.28</v>
      </c>
      <c r="F496" s="17">
        <f t="shared" si="167"/>
        <v>509567.28</v>
      </c>
      <c r="G496" s="17">
        <f t="shared" si="167"/>
        <v>0</v>
      </c>
      <c r="H496" s="17">
        <f t="shared" si="167"/>
        <v>0</v>
      </c>
      <c r="I496" s="17">
        <f t="shared" si="167"/>
        <v>0</v>
      </c>
      <c r="J496" s="17">
        <f t="shared" si="167"/>
        <v>0</v>
      </c>
      <c r="K496" s="17">
        <f t="shared" si="167"/>
        <v>509567.28</v>
      </c>
      <c r="L496" s="17">
        <f t="shared" si="167"/>
        <v>0</v>
      </c>
    </row>
    <row r="497" spans="1:12">
      <c r="A497" s="122"/>
      <c r="B497" s="106"/>
      <c r="C497" s="16" t="s">
        <v>33</v>
      </c>
      <c r="D497" s="17">
        <f>D476+D493</f>
        <v>0</v>
      </c>
      <c r="E497" s="17">
        <f>E476+E493</f>
        <v>509567.28</v>
      </c>
      <c r="F497" s="17">
        <f t="shared" si="167"/>
        <v>509567.28</v>
      </c>
      <c r="G497" s="17">
        <f t="shared" si="167"/>
        <v>0</v>
      </c>
      <c r="H497" s="17">
        <f t="shared" si="167"/>
        <v>0</v>
      </c>
      <c r="I497" s="17">
        <f t="shared" si="167"/>
        <v>0</v>
      </c>
      <c r="J497" s="17">
        <f t="shared" si="167"/>
        <v>0</v>
      </c>
      <c r="K497" s="17">
        <f t="shared" si="167"/>
        <v>509567.28</v>
      </c>
      <c r="L497" s="17">
        <f t="shared" si="167"/>
        <v>0</v>
      </c>
    </row>
    <row r="498" spans="1:12">
      <c r="A498" s="123"/>
      <c r="B498" s="124" t="s">
        <v>40</v>
      </c>
      <c r="C498" s="52" t="s">
        <v>12</v>
      </c>
      <c r="D498" s="53">
        <f>D453+D494</f>
        <v>0</v>
      </c>
      <c r="E498" s="53">
        <f t="shared" ref="E498:L500" si="168">E453+E494</f>
        <v>2634675.84</v>
      </c>
      <c r="F498" s="53">
        <f t="shared" si="168"/>
        <v>2634675.84</v>
      </c>
      <c r="G498" s="53">
        <f t="shared" si="168"/>
        <v>0</v>
      </c>
      <c r="H498" s="53">
        <f t="shared" si="168"/>
        <v>0</v>
      </c>
      <c r="I498" s="53">
        <f t="shared" si="168"/>
        <v>0</v>
      </c>
      <c r="J498" s="53">
        <f t="shared" si="168"/>
        <v>0</v>
      </c>
      <c r="K498" s="53">
        <f t="shared" si="168"/>
        <v>2634675.84</v>
      </c>
      <c r="L498" s="53">
        <f t="shared" si="168"/>
        <v>0</v>
      </c>
    </row>
    <row r="499" spans="1:12">
      <c r="A499" s="123"/>
      <c r="B499" s="124"/>
      <c r="C499" s="52" t="s">
        <v>13</v>
      </c>
      <c r="D499" s="53">
        <f>D454+D495</f>
        <v>0</v>
      </c>
      <c r="E499" s="53">
        <f t="shared" si="168"/>
        <v>2300152.84</v>
      </c>
      <c r="F499" s="53">
        <f t="shared" si="168"/>
        <v>2300152.84</v>
      </c>
      <c r="G499" s="53">
        <f t="shared" si="168"/>
        <v>0</v>
      </c>
      <c r="H499" s="53">
        <f t="shared" si="168"/>
        <v>0</v>
      </c>
      <c r="I499" s="53">
        <f t="shared" si="168"/>
        <v>0</v>
      </c>
      <c r="J499" s="53">
        <f t="shared" si="168"/>
        <v>0</v>
      </c>
      <c r="K499" s="53">
        <f t="shared" si="168"/>
        <v>2300152.84</v>
      </c>
      <c r="L499" s="53">
        <f t="shared" si="168"/>
        <v>0</v>
      </c>
    </row>
    <row r="500" spans="1:12">
      <c r="A500" s="123"/>
      <c r="B500" s="124"/>
      <c r="C500" s="54" t="s">
        <v>14</v>
      </c>
      <c r="D500" s="53">
        <f>D455+D496</f>
        <v>0</v>
      </c>
      <c r="E500" s="53">
        <f>E455+E496</f>
        <v>1862951.76</v>
      </c>
      <c r="F500" s="53">
        <f t="shared" si="168"/>
        <v>1862951.76</v>
      </c>
      <c r="G500" s="53">
        <f t="shared" si="168"/>
        <v>0</v>
      </c>
      <c r="H500" s="53">
        <f t="shared" si="168"/>
        <v>0</v>
      </c>
      <c r="I500" s="53">
        <f t="shared" si="168"/>
        <v>0</v>
      </c>
      <c r="J500" s="53">
        <f t="shared" si="168"/>
        <v>0</v>
      </c>
      <c r="K500" s="53">
        <f t="shared" si="168"/>
        <v>1862951.76</v>
      </c>
      <c r="L500" s="53">
        <f t="shared" si="168"/>
        <v>0</v>
      </c>
    </row>
    <row r="501" spans="1:12">
      <c r="A501" s="121" t="s">
        <v>51</v>
      </c>
      <c r="B501" s="98" t="s">
        <v>11</v>
      </c>
      <c r="C501" s="30" t="s">
        <v>12</v>
      </c>
      <c r="D501" s="31">
        <f t="shared" ref="D501:L516" si="169">D4+D87+D170+D253+D336+D418</f>
        <v>9549879.120000001</v>
      </c>
      <c r="E501" s="31">
        <f t="shared" si="169"/>
        <v>1429728.4600000002</v>
      </c>
      <c r="F501" s="31">
        <f t="shared" si="169"/>
        <v>10979607.58</v>
      </c>
      <c r="G501" s="31">
        <f t="shared" si="169"/>
        <v>851451.93</v>
      </c>
      <c r="H501" s="31">
        <f t="shared" si="169"/>
        <v>0</v>
      </c>
      <c r="I501" s="31">
        <f t="shared" si="169"/>
        <v>0</v>
      </c>
      <c r="J501" s="31">
        <f t="shared" si="169"/>
        <v>0</v>
      </c>
      <c r="K501" s="31">
        <f t="shared" si="169"/>
        <v>11831059.51</v>
      </c>
      <c r="L501" s="31">
        <f t="shared" si="169"/>
        <v>771661</v>
      </c>
    </row>
    <row r="502" spans="1:12">
      <c r="A502" s="121"/>
      <c r="B502" s="98"/>
      <c r="C502" s="30" t="s">
        <v>13</v>
      </c>
      <c r="D502" s="31">
        <f t="shared" si="169"/>
        <v>10182279.979999999</v>
      </c>
      <c r="E502" s="31">
        <f t="shared" si="169"/>
        <v>1562777.01</v>
      </c>
      <c r="F502" s="31">
        <f t="shared" si="169"/>
        <v>11745056.989999998</v>
      </c>
      <c r="G502" s="31">
        <f t="shared" si="169"/>
        <v>849799.98</v>
      </c>
      <c r="H502" s="31">
        <f t="shared" si="169"/>
        <v>0</v>
      </c>
      <c r="I502" s="31">
        <f t="shared" si="169"/>
        <v>0</v>
      </c>
      <c r="J502" s="31">
        <f t="shared" si="169"/>
        <v>0</v>
      </c>
      <c r="K502" s="31">
        <f t="shared" si="169"/>
        <v>12594856.969999999</v>
      </c>
      <c r="L502" s="31">
        <f t="shared" si="169"/>
        <v>771661</v>
      </c>
    </row>
    <row r="503" spans="1:12">
      <c r="A503" s="121"/>
      <c r="B503" s="98"/>
      <c r="C503" s="32" t="s">
        <v>14</v>
      </c>
      <c r="D503" s="31">
        <f t="shared" si="169"/>
        <v>9486014.1600000001</v>
      </c>
      <c r="E503" s="31">
        <f t="shared" si="169"/>
        <v>1429625.83</v>
      </c>
      <c r="F503" s="31">
        <f t="shared" si="169"/>
        <v>10915639.99</v>
      </c>
      <c r="G503" s="31">
        <f t="shared" si="169"/>
        <v>849799.98</v>
      </c>
      <c r="H503" s="31">
        <f t="shared" si="169"/>
        <v>0</v>
      </c>
      <c r="I503" s="31">
        <f t="shared" si="169"/>
        <v>0</v>
      </c>
      <c r="J503" s="31">
        <f t="shared" si="169"/>
        <v>0</v>
      </c>
      <c r="K503" s="31">
        <f t="shared" si="169"/>
        <v>11765439.969999999</v>
      </c>
      <c r="L503" s="31">
        <f t="shared" si="169"/>
        <v>771661</v>
      </c>
    </row>
    <row r="504" spans="1:12">
      <c r="A504" s="121"/>
      <c r="B504" s="98"/>
      <c r="C504" s="30" t="s">
        <v>15</v>
      </c>
      <c r="D504" s="31">
        <f t="shared" si="169"/>
        <v>63864.960000000545</v>
      </c>
      <c r="E504" s="31">
        <f t="shared" si="169"/>
        <v>102.63000000000466</v>
      </c>
      <c r="F504" s="31">
        <f t="shared" si="169"/>
        <v>63967.590000000549</v>
      </c>
      <c r="G504" s="31">
        <f t="shared" si="169"/>
        <v>1651.9499999999971</v>
      </c>
      <c r="H504" s="31">
        <f t="shared" si="169"/>
        <v>0</v>
      </c>
      <c r="I504" s="31">
        <f t="shared" si="169"/>
        <v>0</v>
      </c>
      <c r="J504" s="31">
        <f t="shared" si="169"/>
        <v>0</v>
      </c>
      <c r="K504" s="31">
        <f t="shared" si="169"/>
        <v>65619.540000000547</v>
      </c>
      <c r="L504" s="31">
        <f t="shared" si="169"/>
        <v>0</v>
      </c>
    </row>
    <row r="505" spans="1:12">
      <c r="A505" s="121"/>
      <c r="B505" s="98" t="s">
        <v>16</v>
      </c>
      <c r="C505" s="30" t="s">
        <v>12</v>
      </c>
      <c r="D505" s="31">
        <f t="shared" si="169"/>
        <v>9464377.6400000006</v>
      </c>
      <c r="E505" s="31">
        <f t="shared" si="169"/>
        <v>1531727.9</v>
      </c>
      <c r="F505" s="31">
        <f t="shared" si="169"/>
        <v>10996105.539999999</v>
      </c>
      <c r="G505" s="31">
        <f t="shared" si="169"/>
        <v>1002319.0800000001</v>
      </c>
      <c r="H505" s="31">
        <f t="shared" si="169"/>
        <v>0</v>
      </c>
      <c r="I505" s="31">
        <f t="shared" si="169"/>
        <v>0</v>
      </c>
      <c r="J505" s="31">
        <f t="shared" si="169"/>
        <v>0</v>
      </c>
      <c r="K505" s="31">
        <f t="shared" si="169"/>
        <v>11998424.619999999</v>
      </c>
      <c r="L505" s="31">
        <f t="shared" si="169"/>
        <v>723239</v>
      </c>
    </row>
    <row r="506" spans="1:12">
      <c r="A506" s="121"/>
      <c r="B506" s="98"/>
      <c r="C506" s="30" t="s">
        <v>13</v>
      </c>
      <c r="D506" s="31">
        <f t="shared" si="169"/>
        <v>9629394.7300000004</v>
      </c>
      <c r="E506" s="31">
        <f t="shared" si="169"/>
        <v>1574412.69</v>
      </c>
      <c r="F506" s="31">
        <f t="shared" si="169"/>
        <v>11203807.42</v>
      </c>
      <c r="G506" s="31">
        <f t="shared" si="169"/>
        <v>981149.98</v>
      </c>
      <c r="H506" s="31">
        <f t="shared" si="169"/>
        <v>0</v>
      </c>
      <c r="I506" s="31">
        <f t="shared" si="169"/>
        <v>0</v>
      </c>
      <c r="J506" s="31">
        <f t="shared" si="169"/>
        <v>0</v>
      </c>
      <c r="K506" s="31">
        <f t="shared" si="169"/>
        <v>12184957.4</v>
      </c>
      <c r="L506" s="31">
        <f t="shared" si="169"/>
        <v>723239</v>
      </c>
    </row>
    <row r="507" spans="1:12">
      <c r="A507" s="121"/>
      <c r="B507" s="98"/>
      <c r="C507" s="32" t="s">
        <v>14</v>
      </c>
      <c r="D507" s="31">
        <f t="shared" si="169"/>
        <v>9110167.3100000005</v>
      </c>
      <c r="E507" s="31">
        <f t="shared" si="169"/>
        <v>1531625.27</v>
      </c>
      <c r="F507" s="31">
        <f t="shared" si="169"/>
        <v>10641792.58</v>
      </c>
      <c r="G507" s="31">
        <f t="shared" si="169"/>
        <v>981149.98</v>
      </c>
      <c r="H507" s="31">
        <f t="shared" si="169"/>
        <v>0</v>
      </c>
      <c r="I507" s="31">
        <f t="shared" si="169"/>
        <v>0</v>
      </c>
      <c r="J507" s="31">
        <f t="shared" si="169"/>
        <v>0</v>
      </c>
      <c r="K507" s="31">
        <f t="shared" si="169"/>
        <v>11622942.559999999</v>
      </c>
      <c r="L507" s="31">
        <f t="shared" si="169"/>
        <v>723239</v>
      </c>
    </row>
    <row r="508" spans="1:12">
      <c r="A508" s="121"/>
      <c r="B508" s="98"/>
      <c r="C508" s="30" t="s">
        <v>17</v>
      </c>
      <c r="D508" s="31">
        <f t="shared" si="169"/>
        <v>354210.3299999992</v>
      </c>
      <c r="E508" s="31">
        <f t="shared" si="169"/>
        <v>102.63000000000466</v>
      </c>
      <c r="F508" s="31">
        <f t="shared" si="169"/>
        <v>354312.95999999926</v>
      </c>
      <c r="G508" s="31">
        <f t="shared" si="169"/>
        <v>21169.099999999962</v>
      </c>
      <c r="H508" s="31">
        <f t="shared" si="169"/>
        <v>0</v>
      </c>
      <c r="I508" s="31">
        <f t="shared" si="169"/>
        <v>0</v>
      </c>
      <c r="J508" s="31">
        <f t="shared" si="169"/>
        <v>0</v>
      </c>
      <c r="K508" s="31">
        <f t="shared" si="169"/>
        <v>375482.0599999993</v>
      </c>
      <c r="L508" s="31">
        <f t="shared" si="169"/>
        <v>0</v>
      </c>
    </row>
    <row r="509" spans="1:12">
      <c r="A509" s="121"/>
      <c r="B509" s="98" t="s">
        <v>18</v>
      </c>
      <c r="C509" s="30" t="s">
        <v>12</v>
      </c>
      <c r="D509" s="31">
        <f t="shared" si="169"/>
        <v>10175096.880000001</v>
      </c>
      <c r="E509" s="31">
        <f t="shared" si="169"/>
        <v>1678072.31</v>
      </c>
      <c r="F509" s="31">
        <f t="shared" si="169"/>
        <v>11853169.189999999</v>
      </c>
      <c r="G509" s="31">
        <f t="shared" si="169"/>
        <v>1154563.54</v>
      </c>
      <c r="H509" s="31">
        <f t="shared" si="169"/>
        <v>0</v>
      </c>
      <c r="I509" s="31">
        <f t="shared" si="169"/>
        <v>0</v>
      </c>
      <c r="J509" s="31">
        <f t="shared" si="169"/>
        <v>0</v>
      </c>
      <c r="K509" s="31">
        <f t="shared" si="169"/>
        <v>13007732.73</v>
      </c>
      <c r="L509" s="31">
        <f t="shared" si="169"/>
        <v>792033</v>
      </c>
    </row>
    <row r="510" spans="1:12">
      <c r="A510" s="121"/>
      <c r="B510" s="98"/>
      <c r="C510" s="30" t="s">
        <v>13</v>
      </c>
      <c r="D510" s="31">
        <f t="shared" si="169"/>
        <v>11394799.84</v>
      </c>
      <c r="E510" s="31">
        <f t="shared" si="169"/>
        <v>1828548.03</v>
      </c>
      <c r="F510" s="31">
        <f t="shared" si="169"/>
        <v>13223347.870000001</v>
      </c>
      <c r="G510" s="31">
        <f t="shared" si="169"/>
        <v>1175428.3399999999</v>
      </c>
      <c r="H510" s="31">
        <f t="shared" si="169"/>
        <v>0</v>
      </c>
      <c r="I510" s="31">
        <f t="shared" si="169"/>
        <v>0</v>
      </c>
      <c r="J510" s="31">
        <f t="shared" si="169"/>
        <v>0</v>
      </c>
      <c r="K510" s="31">
        <f t="shared" si="169"/>
        <v>14398776.210000001</v>
      </c>
      <c r="L510" s="31">
        <f t="shared" si="169"/>
        <v>792033</v>
      </c>
    </row>
    <row r="511" spans="1:12">
      <c r="A511" s="121"/>
      <c r="B511" s="98"/>
      <c r="C511" s="32" t="s">
        <v>14</v>
      </c>
      <c r="D511" s="31">
        <f t="shared" si="169"/>
        <v>10173950.91</v>
      </c>
      <c r="E511" s="31">
        <f t="shared" si="169"/>
        <v>1696811.73</v>
      </c>
      <c r="F511" s="31">
        <f t="shared" si="169"/>
        <v>11870762.639999999</v>
      </c>
      <c r="G511" s="31">
        <f t="shared" si="169"/>
        <v>1153589.78</v>
      </c>
      <c r="H511" s="31">
        <f t="shared" si="169"/>
        <v>0</v>
      </c>
      <c r="I511" s="31">
        <f t="shared" si="169"/>
        <v>0</v>
      </c>
      <c r="J511" s="31">
        <f t="shared" si="169"/>
        <v>0</v>
      </c>
      <c r="K511" s="31">
        <f t="shared" si="169"/>
        <v>13024352.42</v>
      </c>
      <c r="L511" s="31">
        <f t="shared" si="169"/>
        <v>792033</v>
      </c>
    </row>
    <row r="512" spans="1:12">
      <c r="A512" s="121"/>
      <c r="B512" s="98"/>
      <c r="C512" s="30" t="s">
        <v>17</v>
      </c>
      <c r="D512" s="31">
        <f t="shared" si="169"/>
        <v>1145.9700000002813</v>
      </c>
      <c r="E512" s="31">
        <f t="shared" si="169"/>
        <v>-18739.420000000086</v>
      </c>
      <c r="F512" s="31">
        <f t="shared" si="169"/>
        <v>-17593.449999999604</v>
      </c>
      <c r="G512" s="31">
        <f t="shared" si="169"/>
        <v>973.76000000002387</v>
      </c>
      <c r="H512" s="31">
        <f t="shared" si="169"/>
        <v>0</v>
      </c>
      <c r="I512" s="31">
        <f t="shared" si="169"/>
        <v>0</v>
      </c>
      <c r="J512" s="31">
        <f t="shared" si="169"/>
        <v>0</v>
      </c>
      <c r="K512" s="31">
        <f t="shared" si="169"/>
        <v>-16619.689999999115</v>
      </c>
      <c r="L512" s="31">
        <f t="shared" si="169"/>
        <v>0</v>
      </c>
    </row>
    <row r="513" spans="1:13">
      <c r="A513" s="121"/>
      <c r="B513" s="105" t="s">
        <v>19</v>
      </c>
      <c r="C513" s="30" t="s">
        <v>12</v>
      </c>
      <c r="D513" s="31">
        <f t="shared" si="169"/>
        <v>29189353.640000001</v>
      </c>
      <c r="E513" s="31">
        <f t="shared" si="169"/>
        <v>4639528.67</v>
      </c>
      <c r="F513" s="31">
        <f t="shared" si="169"/>
        <v>33828882.310000002</v>
      </c>
      <c r="G513" s="31">
        <f t="shared" si="169"/>
        <v>3008334.55</v>
      </c>
      <c r="H513" s="31">
        <f t="shared" si="169"/>
        <v>415130</v>
      </c>
      <c r="I513" s="31">
        <f t="shared" si="169"/>
        <v>0</v>
      </c>
      <c r="J513" s="31">
        <f t="shared" si="169"/>
        <v>0</v>
      </c>
      <c r="K513" s="31">
        <f t="shared" si="169"/>
        <v>36837216.859999999</v>
      </c>
      <c r="L513" s="31">
        <f t="shared" si="169"/>
        <v>2323651</v>
      </c>
    </row>
    <row r="514" spans="1:13">
      <c r="A514" s="121"/>
      <c r="B514" s="105"/>
      <c r="C514" s="30" t="s">
        <v>13</v>
      </c>
      <c r="D514" s="31">
        <f t="shared" si="169"/>
        <v>31206474.550000004</v>
      </c>
      <c r="E514" s="31">
        <f t="shared" si="169"/>
        <v>4965737.7299999995</v>
      </c>
      <c r="F514" s="31">
        <f t="shared" si="169"/>
        <v>36172212.280000001</v>
      </c>
      <c r="G514" s="31">
        <f t="shared" si="169"/>
        <v>3006378.3</v>
      </c>
      <c r="H514" s="31">
        <f t="shared" si="169"/>
        <v>191843.67</v>
      </c>
      <c r="I514" s="31">
        <f t="shared" si="169"/>
        <v>0</v>
      </c>
      <c r="J514" s="31">
        <f t="shared" si="169"/>
        <v>0</v>
      </c>
      <c r="K514" s="31">
        <f t="shared" si="169"/>
        <v>39178590.579999998</v>
      </c>
      <c r="L514" s="31">
        <f t="shared" si="169"/>
        <v>2298439</v>
      </c>
    </row>
    <row r="515" spans="1:13">
      <c r="A515" s="121"/>
      <c r="B515" s="105"/>
      <c r="C515" s="32" t="s">
        <v>14</v>
      </c>
      <c r="D515" s="31">
        <f t="shared" si="169"/>
        <v>28770132.379999999</v>
      </c>
      <c r="E515" s="31">
        <f t="shared" si="169"/>
        <v>4658062.83</v>
      </c>
      <c r="F515" s="31">
        <f t="shared" si="169"/>
        <v>33428195.209999997</v>
      </c>
      <c r="G515" s="31">
        <f t="shared" si="169"/>
        <v>2984539.7399999998</v>
      </c>
      <c r="H515" s="31">
        <f t="shared" si="169"/>
        <v>191843.67</v>
      </c>
      <c r="I515" s="31">
        <f t="shared" si="169"/>
        <v>0</v>
      </c>
      <c r="J515" s="31">
        <f t="shared" si="169"/>
        <v>0</v>
      </c>
      <c r="K515" s="31">
        <f t="shared" si="169"/>
        <v>36412734.950000003</v>
      </c>
      <c r="L515" s="31">
        <f t="shared" si="169"/>
        <v>2298439</v>
      </c>
      <c r="M515" s="2"/>
    </row>
    <row r="516" spans="1:13">
      <c r="A516" s="121"/>
      <c r="B516" s="105"/>
      <c r="C516" s="32" t="s">
        <v>42</v>
      </c>
      <c r="D516" s="31">
        <f t="shared" si="169"/>
        <v>31313589.390000001</v>
      </c>
      <c r="E516" s="31">
        <f t="shared" si="169"/>
        <v>4946910.34</v>
      </c>
      <c r="F516" s="31">
        <f t="shared" si="169"/>
        <v>36260499.729999997</v>
      </c>
      <c r="G516" s="31">
        <f t="shared" si="169"/>
        <v>3008334.55</v>
      </c>
      <c r="H516" s="31">
        <f t="shared" si="169"/>
        <v>223286.33</v>
      </c>
      <c r="I516" s="31">
        <f t="shared" si="169"/>
        <v>0</v>
      </c>
      <c r="J516" s="31">
        <f t="shared" si="169"/>
        <v>0</v>
      </c>
      <c r="K516" s="31">
        <f t="shared" si="169"/>
        <v>39268834.279999994</v>
      </c>
      <c r="L516" s="31">
        <f t="shared" si="169"/>
        <v>2323651</v>
      </c>
      <c r="M516" s="2"/>
    </row>
    <row r="517" spans="1:13">
      <c r="A517" s="121"/>
      <c r="B517" s="105"/>
      <c r="C517" s="32" t="s">
        <v>43</v>
      </c>
      <c r="D517" s="31">
        <f t="shared" ref="D517:L532" si="170">D20+D103+D186+D269+D352+D434</f>
        <v>417812.27999999997</v>
      </c>
      <c r="E517" s="31">
        <f t="shared" si="170"/>
        <v>-18534.16</v>
      </c>
      <c r="F517" s="31">
        <f t="shared" si="170"/>
        <v>399278.12</v>
      </c>
      <c r="G517" s="31">
        <f t="shared" si="170"/>
        <v>23794.81</v>
      </c>
      <c r="H517" s="31">
        <f t="shared" si="170"/>
        <v>223286.33</v>
      </c>
      <c r="I517" s="31">
        <f t="shared" si="170"/>
        <v>0</v>
      </c>
      <c r="J517" s="31">
        <f t="shared" si="170"/>
        <v>0</v>
      </c>
      <c r="K517" s="31">
        <f t="shared" si="170"/>
        <v>423072.93</v>
      </c>
      <c r="L517" s="31">
        <f t="shared" si="170"/>
        <v>415976</v>
      </c>
      <c r="M517" s="2"/>
    </row>
    <row r="518" spans="1:13">
      <c r="A518" s="121"/>
      <c r="B518" s="105"/>
      <c r="C518" s="32" t="s">
        <v>22</v>
      </c>
      <c r="D518" s="31">
        <f t="shared" si="170"/>
        <v>29187944.66</v>
      </c>
      <c r="E518" s="31">
        <f t="shared" si="170"/>
        <v>4639528.67</v>
      </c>
      <c r="F518" s="31">
        <f t="shared" si="170"/>
        <v>33827473.329999998</v>
      </c>
      <c r="G518" s="31">
        <f t="shared" si="170"/>
        <v>3008334.55</v>
      </c>
      <c r="H518" s="31">
        <f t="shared" si="170"/>
        <v>415130</v>
      </c>
      <c r="I518" s="31">
        <f t="shared" si="170"/>
        <v>0</v>
      </c>
      <c r="J518" s="31">
        <f t="shared" si="170"/>
        <v>0</v>
      </c>
      <c r="K518" s="31">
        <f t="shared" si="170"/>
        <v>36835807.879999995</v>
      </c>
      <c r="L518" s="31">
        <f t="shared" si="170"/>
        <v>2323651</v>
      </c>
      <c r="M518" s="2"/>
    </row>
    <row r="519" spans="1:13">
      <c r="A519" s="121"/>
      <c r="B519" s="105"/>
      <c r="C519" s="30" t="s">
        <v>15</v>
      </c>
      <c r="D519" s="31">
        <f t="shared" si="170"/>
        <v>1408.9800000003015</v>
      </c>
      <c r="E519" s="31">
        <f t="shared" si="170"/>
        <v>0</v>
      </c>
      <c r="F519" s="31">
        <f t="shared" si="170"/>
        <v>1408.9800000025425</v>
      </c>
      <c r="G519" s="31">
        <f t="shared" si="170"/>
        <v>0</v>
      </c>
      <c r="H519" s="31">
        <f t="shared" si="170"/>
        <v>0</v>
      </c>
      <c r="I519" s="31">
        <f t="shared" si="170"/>
        <v>0</v>
      </c>
      <c r="J519" s="31">
        <f t="shared" si="170"/>
        <v>0</v>
      </c>
      <c r="K519" s="31">
        <f t="shared" si="170"/>
        <v>1408.9800000006799</v>
      </c>
      <c r="L519" s="31">
        <f t="shared" si="170"/>
        <v>0</v>
      </c>
      <c r="M519" s="2"/>
    </row>
    <row r="520" spans="1:13">
      <c r="A520" s="121"/>
      <c r="B520" s="103" t="s">
        <v>24</v>
      </c>
      <c r="C520" s="30" t="s">
        <v>12</v>
      </c>
      <c r="D520" s="31">
        <f t="shared" si="170"/>
        <v>9041219.9800000023</v>
      </c>
      <c r="E520" s="31">
        <f t="shared" si="170"/>
        <v>1553823.29</v>
      </c>
      <c r="F520" s="31">
        <f t="shared" si="170"/>
        <v>10595043.27</v>
      </c>
      <c r="G520" s="31">
        <f t="shared" si="170"/>
        <v>987044.16999999993</v>
      </c>
      <c r="H520" s="31">
        <f t="shared" si="170"/>
        <v>0</v>
      </c>
      <c r="I520" s="31">
        <f t="shared" si="170"/>
        <v>0</v>
      </c>
      <c r="J520" s="31">
        <f t="shared" si="170"/>
        <v>0</v>
      </c>
      <c r="K520" s="31">
        <f t="shared" si="170"/>
        <v>11582087.439999999</v>
      </c>
      <c r="L520" s="31">
        <f t="shared" si="170"/>
        <v>689799</v>
      </c>
    </row>
    <row r="521" spans="1:13">
      <c r="A521" s="121"/>
      <c r="B521" s="103"/>
      <c r="C521" s="30" t="s">
        <v>13</v>
      </c>
      <c r="D521" s="31">
        <f t="shared" si="170"/>
        <v>9235191</v>
      </c>
      <c r="E521" s="31">
        <f t="shared" si="170"/>
        <v>1665150.08</v>
      </c>
      <c r="F521" s="31">
        <f t="shared" si="170"/>
        <v>10900341.08</v>
      </c>
      <c r="G521" s="31">
        <f t="shared" si="170"/>
        <v>883086.01</v>
      </c>
      <c r="H521" s="31">
        <f t="shared" si="170"/>
        <v>0</v>
      </c>
      <c r="I521" s="31">
        <f t="shared" si="170"/>
        <v>0</v>
      </c>
      <c r="J521" s="31">
        <f t="shared" si="170"/>
        <v>0</v>
      </c>
      <c r="K521" s="31">
        <f t="shared" si="170"/>
        <v>11783427.090000002</v>
      </c>
      <c r="L521" s="31">
        <f t="shared" si="170"/>
        <v>689799</v>
      </c>
    </row>
    <row r="522" spans="1:13">
      <c r="A522" s="121"/>
      <c r="B522" s="103"/>
      <c r="C522" s="32" t="s">
        <v>14</v>
      </c>
      <c r="D522" s="31">
        <f t="shared" si="170"/>
        <v>9038655.4900000002</v>
      </c>
      <c r="E522" s="31">
        <f t="shared" si="170"/>
        <v>1553720.6600000001</v>
      </c>
      <c r="F522" s="31">
        <f t="shared" si="170"/>
        <v>10592376.15</v>
      </c>
      <c r="G522" s="31">
        <f t="shared" si="170"/>
        <v>883086.01</v>
      </c>
      <c r="H522" s="31">
        <f t="shared" si="170"/>
        <v>0</v>
      </c>
      <c r="I522" s="31">
        <f t="shared" si="170"/>
        <v>0</v>
      </c>
      <c r="J522" s="31">
        <f t="shared" si="170"/>
        <v>0</v>
      </c>
      <c r="K522" s="31">
        <f t="shared" si="170"/>
        <v>11475462.160000002</v>
      </c>
      <c r="L522" s="31">
        <f t="shared" si="170"/>
        <v>689799</v>
      </c>
    </row>
    <row r="523" spans="1:13">
      <c r="A523" s="121"/>
      <c r="B523" s="103"/>
      <c r="C523" s="30" t="s">
        <v>15</v>
      </c>
      <c r="D523" s="31">
        <f t="shared" si="170"/>
        <v>2564.4900000000198</v>
      </c>
      <c r="E523" s="31">
        <f t="shared" si="170"/>
        <v>102.63000000000466</v>
      </c>
      <c r="F523" s="31">
        <f t="shared" si="170"/>
        <v>2667.1200000001118</v>
      </c>
      <c r="G523" s="31">
        <f t="shared" si="170"/>
        <v>103958.15999999997</v>
      </c>
      <c r="H523" s="31">
        <f t="shared" si="170"/>
        <v>0</v>
      </c>
      <c r="I523" s="31">
        <f t="shared" si="170"/>
        <v>0</v>
      </c>
      <c r="J523" s="31">
        <f t="shared" si="170"/>
        <v>0</v>
      </c>
      <c r="K523" s="31">
        <f t="shared" si="170"/>
        <v>106625.2799999998</v>
      </c>
      <c r="L523" s="31">
        <f t="shared" si="170"/>
        <v>0</v>
      </c>
    </row>
    <row r="524" spans="1:13">
      <c r="A524" s="121"/>
      <c r="B524" s="103" t="s">
        <v>25</v>
      </c>
      <c r="C524" s="30" t="s">
        <v>12</v>
      </c>
      <c r="D524" s="31">
        <f t="shared" si="170"/>
        <v>10175096.880000001</v>
      </c>
      <c r="E524" s="31">
        <f t="shared" si="170"/>
        <v>1637019.84</v>
      </c>
      <c r="F524" s="31">
        <f t="shared" si="170"/>
        <v>11812116.720000001</v>
      </c>
      <c r="G524" s="31">
        <f t="shared" si="170"/>
        <v>1171641.1800000002</v>
      </c>
      <c r="H524" s="31">
        <f t="shared" si="170"/>
        <v>0</v>
      </c>
      <c r="I524" s="31">
        <f t="shared" si="170"/>
        <v>0</v>
      </c>
      <c r="J524" s="31">
        <f t="shared" si="170"/>
        <v>0</v>
      </c>
      <c r="K524" s="31">
        <f t="shared" si="170"/>
        <v>12983757.899999999</v>
      </c>
      <c r="L524" s="31">
        <f t="shared" si="170"/>
        <v>789151</v>
      </c>
    </row>
    <row r="525" spans="1:13">
      <c r="A525" s="121"/>
      <c r="B525" s="103"/>
      <c r="C525" s="30" t="s">
        <v>13</v>
      </c>
      <c r="D525" s="31">
        <f t="shared" si="170"/>
        <v>11668191.610000001</v>
      </c>
      <c r="E525" s="31">
        <f t="shared" si="170"/>
        <v>1773997.81</v>
      </c>
      <c r="F525" s="31">
        <f t="shared" si="170"/>
        <v>13442189.42</v>
      </c>
      <c r="G525" s="31">
        <f t="shared" si="170"/>
        <v>1149477.77</v>
      </c>
      <c r="H525" s="31">
        <f t="shared" si="170"/>
        <v>0</v>
      </c>
      <c r="I525" s="31">
        <f t="shared" si="170"/>
        <v>0</v>
      </c>
      <c r="J525" s="31">
        <f t="shared" si="170"/>
        <v>0</v>
      </c>
      <c r="K525" s="31">
        <f t="shared" si="170"/>
        <v>14591667.189999999</v>
      </c>
      <c r="L525" s="31">
        <f t="shared" si="170"/>
        <v>789151</v>
      </c>
    </row>
    <row r="526" spans="1:13">
      <c r="A526" s="121"/>
      <c r="B526" s="103"/>
      <c r="C526" s="32" t="s">
        <v>14</v>
      </c>
      <c r="D526" s="31">
        <f t="shared" si="170"/>
        <v>10174292.789999999</v>
      </c>
      <c r="E526" s="31">
        <f t="shared" si="170"/>
        <v>1636917.2100000002</v>
      </c>
      <c r="F526" s="31">
        <f t="shared" si="170"/>
        <v>11811210.000000002</v>
      </c>
      <c r="G526" s="31">
        <f t="shared" si="170"/>
        <v>1121942.0899999999</v>
      </c>
      <c r="H526" s="31">
        <f t="shared" si="170"/>
        <v>0</v>
      </c>
      <c r="I526" s="31">
        <f t="shared" si="170"/>
        <v>0</v>
      </c>
      <c r="J526" s="31">
        <f t="shared" si="170"/>
        <v>0</v>
      </c>
      <c r="K526" s="31">
        <f t="shared" si="170"/>
        <v>12933152.090000002</v>
      </c>
      <c r="L526" s="31">
        <f t="shared" si="170"/>
        <v>789151</v>
      </c>
    </row>
    <row r="527" spans="1:13">
      <c r="A527" s="121"/>
      <c r="B527" s="103"/>
      <c r="C527" s="30" t="s">
        <v>23</v>
      </c>
      <c r="D527" s="31">
        <f t="shared" si="170"/>
        <v>804.08999999994558</v>
      </c>
      <c r="E527" s="31">
        <f t="shared" si="170"/>
        <v>102.63000000000466</v>
      </c>
      <c r="F527" s="31">
        <f t="shared" si="170"/>
        <v>906.71999999973923</v>
      </c>
      <c r="G527" s="31">
        <f t="shared" si="170"/>
        <v>49699.09000000004</v>
      </c>
      <c r="H527" s="31">
        <f t="shared" si="170"/>
        <v>0</v>
      </c>
      <c r="I527" s="31">
        <f t="shared" si="170"/>
        <v>0</v>
      </c>
      <c r="J527" s="31">
        <f t="shared" si="170"/>
        <v>0</v>
      </c>
      <c r="K527" s="31">
        <f t="shared" si="170"/>
        <v>50605.809999999314</v>
      </c>
      <c r="L527" s="31">
        <f t="shared" si="170"/>
        <v>0</v>
      </c>
    </row>
    <row r="528" spans="1:13">
      <c r="A528" s="121"/>
      <c r="B528" s="104" t="s">
        <v>26</v>
      </c>
      <c r="C528" s="30" t="s">
        <v>12</v>
      </c>
      <c r="D528" s="31">
        <f t="shared" si="170"/>
        <v>9774020.4700000007</v>
      </c>
      <c r="E528" s="31">
        <f t="shared" si="170"/>
        <v>1702720.55</v>
      </c>
      <c r="F528" s="31">
        <f t="shared" si="170"/>
        <v>11476741.02</v>
      </c>
      <c r="G528" s="31">
        <f t="shared" si="170"/>
        <v>875185.93</v>
      </c>
      <c r="H528" s="31">
        <f t="shared" si="170"/>
        <v>0</v>
      </c>
      <c r="I528" s="31">
        <f t="shared" si="170"/>
        <v>0</v>
      </c>
      <c r="J528" s="31">
        <f t="shared" si="170"/>
        <v>0</v>
      </c>
      <c r="K528" s="31">
        <f t="shared" si="170"/>
        <v>12351926.949999999</v>
      </c>
      <c r="L528" s="31">
        <f t="shared" si="170"/>
        <v>757735</v>
      </c>
    </row>
    <row r="529" spans="1:13">
      <c r="A529" s="121"/>
      <c r="B529" s="104"/>
      <c r="C529" s="30" t="s">
        <v>13</v>
      </c>
      <c r="D529" s="31">
        <f t="shared" si="170"/>
        <v>9450232.3299999982</v>
      </c>
      <c r="E529" s="31">
        <f t="shared" si="170"/>
        <v>1766285.89</v>
      </c>
      <c r="F529" s="31">
        <f t="shared" si="170"/>
        <v>11216518.219999999</v>
      </c>
      <c r="G529" s="31">
        <f t="shared" si="170"/>
        <v>1014765.72</v>
      </c>
      <c r="H529" s="31">
        <f t="shared" si="170"/>
        <v>0</v>
      </c>
      <c r="I529" s="31">
        <f t="shared" si="170"/>
        <v>0</v>
      </c>
      <c r="J529" s="31">
        <f t="shared" si="170"/>
        <v>0</v>
      </c>
      <c r="K529" s="31">
        <f t="shared" si="170"/>
        <v>12231283.939999999</v>
      </c>
      <c r="L529" s="31">
        <f t="shared" si="170"/>
        <v>718916</v>
      </c>
    </row>
    <row r="530" spans="1:13">
      <c r="A530" s="121"/>
      <c r="B530" s="104"/>
      <c r="C530" s="32" t="s">
        <v>14</v>
      </c>
      <c r="D530" s="31">
        <f t="shared" si="170"/>
        <v>9390294.8900000006</v>
      </c>
      <c r="E530" s="31">
        <f t="shared" si="170"/>
        <v>1663248.6300000001</v>
      </c>
      <c r="F530" s="31">
        <f t="shared" si="170"/>
        <v>11053543.520000001</v>
      </c>
      <c r="G530" s="31">
        <f t="shared" si="170"/>
        <v>1008366.26</v>
      </c>
      <c r="H530" s="31">
        <f t="shared" si="170"/>
        <v>0</v>
      </c>
      <c r="I530" s="31">
        <f t="shared" si="170"/>
        <v>0</v>
      </c>
      <c r="J530" s="31">
        <f t="shared" si="170"/>
        <v>0</v>
      </c>
      <c r="K530" s="31">
        <f t="shared" si="170"/>
        <v>12061909.779999999</v>
      </c>
      <c r="L530" s="31">
        <f t="shared" si="170"/>
        <v>718916</v>
      </c>
    </row>
    <row r="531" spans="1:13">
      <c r="A531" s="121"/>
      <c r="B531" s="104"/>
      <c r="C531" s="30" t="s">
        <v>23</v>
      </c>
      <c r="D531" s="31">
        <f t="shared" si="170"/>
        <v>383725.58000000007</v>
      </c>
      <c r="E531" s="31">
        <f t="shared" si="170"/>
        <v>39471.91999999994</v>
      </c>
      <c r="F531" s="31">
        <f t="shared" si="170"/>
        <v>423197.49999999977</v>
      </c>
      <c r="G531" s="31">
        <f t="shared" si="170"/>
        <v>-133180.33000000002</v>
      </c>
      <c r="H531" s="31">
        <f t="shared" si="170"/>
        <v>0</v>
      </c>
      <c r="I531" s="31">
        <f t="shared" si="170"/>
        <v>0</v>
      </c>
      <c r="J531" s="31">
        <f t="shared" si="170"/>
        <v>0</v>
      </c>
      <c r="K531" s="31">
        <f t="shared" si="170"/>
        <v>290017.17000000004</v>
      </c>
      <c r="L531" s="31">
        <f t="shared" si="170"/>
        <v>38819</v>
      </c>
    </row>
    <row r="532" spans="1:13">
      <c r="A532" s="121"/>
      <c r="B532" s="105" t="s">
        <v>27</v>
      </c>
      <c r="C532" s="30" t="s">
        <v>12</v>
      </c>
      <c r="D532" s="31">
        <f t="shared" si="170"/>
        <v>28990337.330000002</v>
      </c>
      <c r="E532" s="31">
        <f t="shared" si="170"/>
        <v>4893563.68</v>
      </c>
      <c r="F532" s="31">
        <f t="shared" si="170"/>
        <v>33883901.009999998</v>
      </c>
      <c r="G532" s="31">
        <f t="shared" si="170"/>
        <v>3033871.2800000003</v>
      </c>
      <c r="H532" s="31">
        <f t="shared" si="170"/>
        <v>589750</v>
      </c>
      <c r="I532" s="31">
        <f t="shared" si="170"/>
        <v>0</v>
      </c>
      <c r="J532" s="31">
        <f t="shared" si="170"/>
        <v>0</v>
      </c>
      <c r="K532" s="31">
        <f t="shared" si="170"/>
        <v>37507522.290000007</v>
      </c>
      <c r="L532" s="31">
        <f t="shared" si="170"/>
        <v>2236685</v>
      </c>
    </row>
    <row r="533" spans="1:13">
      <c r="A533" s="121"/>
      <c r="B533" s="105"/>
      <c r="C533" s="30" t="s">
        <v>13</v>
      </c>
      <c r="D533" s="31">
        <f t="shared" ref="D533:L538" si="171">D36+D119+D202+D285+D368+D450</f>
        <v>30353614.940000001</v>
      </c>
      <c r="E533" s="31">
        <f t="shared" si="171"/>
        <v>5205433.78</v>
      </c>
      <c r="F533" s="31">
        <f t="shared" si="171"/>
        <v>35559048.719999999</v>
      </c>
      <c r="G533" s="31">
        <f t="shared" si="171"/>
        <v>3047329.5</v>
      </c>
      <c r="H533" s="31">
        <f t="shared" si="171"/>
        <v>589750</v>
      </c>
      <c r="I533" s="31">
        <f t="shared" si="171"/>
        <v>0</v>
      </c>
      <c r="J533" s="31">
        <f t="shared" si="171"/>
        <v>0</v>
      </c>
      <c r="K533" s="31">
        <f t="shared" si="171"/>
        <v>39196128.219999999</v>
      </c>
      <c r="L533" s="31">
        <f t="shared" si="171"/>
        <v>2197866</v>
      </c>
    </row>
    <row r="534" spans="1:13">
      <c r="A534" s="121"/>
      <c r="B534" s="105"/>
      <c r="C534" s="32" t="s">
        <v>14</v>
      </c>
      <c r="D534" s="31">
        <f t="shared" si="171"/>
        <v>28603243.170000002</v>
      </c>
      <c r="E534" s="31">
        <f t="shared" si="171"/>
        <v>4853886.5</v>
      </c>
      <c r="F534" s="31">
        <f t="shared" si="171"/>
        <v>33457129.670000002</v>
      </c>
      <c r="G534" s="31">
        <f t="shared" si="171"/>
        <v>3013394.36</v>
      </c>
      <c r="H534" s="31">
        <f t="shared" si="171"/>
        <v>589750</v>
      </c>
      <c r="I534" s="31">
        <f t="shared" si="171"/>
        <v>0</v>
      </c>
      <c r="J534" s="31">
        <f t="shared" si="171"/>
        <v>0</v>
      </c>
      <c r="K534" s="31">
        <f t="shared" si="171"/>
        <v>37060274.030000001</v>
      </c>
      <c r="L534" s="31">
        <f t="shared" si="171"/>
        <v>2197866</v>
      </c>
    </row>
    <row r="535" spans="1:13">
      <c r="A535" s="121"/>
      <c r="B535" s="105"/>
      <c r="C535" s="30" t="s">
        <v>15</v>
      </c>
      <c r="D535" s="31">
        <v>0</v>
      </c>
      <c r="E535" s="31">
        <v>0</v>
      </c>
      <c r="F535" s="31">
        <v>0</v>
      </c>
      <c r="G535" s="31">
        <v>0</v>
      </c>
      <c r="H535" s="31">
        <f t="shared" si="171"/>
        <v>0</v>
      </c>
      <c r="I535" s="31">
        <f t="shared" si="171"/>
        <v>0</v>
      </c>
      <c r="J535" s="31">
        <f t="shared" si="171"/>
        <v>0</v>
      </c>
      <c r="K535" s="31">
        <v>0</v>
      </c>
      <c r="L535" s="31">
        <v>0</v>
      </c>
    </row>
    <row r="536" spans="1:13">
      <c r="A536" s="121"/>
      <c r="B536" s="102" t="s">
        <v>28</v>
      </c>
      <c r="C536" s="16" t="s">
        <v>12</v>
      </c>
      <c r="D536" s="17">
        <f>D39+D122+D205+D288+D371+D453</f>
        <v>58179690.969999999</v>
      </c>
      <c r="E536" s="17">
        <f>E39+E122+E205+E288+E371+E453</f>
        <v>9533092.3499999996</v>
      </c>
      <c r="F536" s="17">
        <f>F39+F122+F205+F288+F371+F453</f>
        <v>67712783.320000008</v>
      </c>
      <c r="G536" s="17">
        <f>G39+G122+G205+G288+G371+G453</f>
        <v>6042205.8299999991</v>
      </c>
      <c r="H536" s="17">
        <f t="shared" si="171"/>
        <v>1004880</v>
      </c>
      <c r="I536" s="17">
        <f t="shared" si="171"/>
        <v>0</v>
      </c>
      <c r="J536" s="17">
        <f t="shared" si="171"/>
        <v>0</v>
      </c>
      <c r="K536" s="17">
        <f t="shared" si="171"/>
        <v>74759869.149999991</v>
      </c>
      <c r="L536" s="17">
        <f t="shared" si="171"/>
        <v>4559478</v>
      </c>
    </row>
    <row r="537" spans="1:13">
      <c r="A537" s="121"/>
      <c r="B537" s="102"/>
      <c r="C537" s="3" t="s">
        <v>13</v>
      </c>
      <c r="D537" s="6">
        <f>D516+D533</f>
        <v>61667204.329999998</v>
      </c>
      <c r="E537" s="6">
        <f>E516+E533</f>
        <v>10152344.120000001</v>
      </c>
      <c r="F537" s="6">
        <f>F516+F533</f>
        <v>71819548.449999988</v>
      </c>
      <c r="G537" s="6">
        <f>G516+G533</f>
        <v>6055664.0499999998</v>
      </c>
      <c r="H537" s="6">
        <f t="shared" si="171"/>
        <v>1004880</v>
      </c>
      <c r="I537" s="6">
        <f t="shared" si="171"/>
        <v>0</v>
      </c>
      <c r="J537" s="6">
        <f t="shared" si="171"/>
        <v>0</v>
      </c>
      <c r="K537" s="6">
        <f t="shared" si="171"/>
        <v>78464962.499999985</v>
      </c>
      <c r="L537" s="6">
        <f t="shared" si="171"/>
        <v>4521517</v>
      </c>
      <c r="M537" s="2"/>
    </row>
    <row r="538" spans="1:13">
      <c r="A538" s="121"/>
      <c r="B538" s="102"/>
      <c r="C538" s="8" t="s">
        <v>14</v>
      </c>
      <c r="D538" s="6">
        <f>D518+D534</f>
        <v>57791187.829999998</v>
      </c>
      <c r="E538" s="6">
        <f t="shared" ref="E538:L539" si="172">E518+E534</f>
        <v>9493415.1699999999</v>
      </c>
      <c r="F538" s="6">
        <f t="shared" si="172"/>
        <v>67284603</v>
      </c>
      <c r="G538" s="6">
        <f t="shared" si="172"/>
        <v>6021728.9100000001</v>
      </c>
      <c r="H538" s="6">
        <f t="shared" si="171"/>
        <v>1004880</v>
      </c>
      <c r="I538" s="6">
        <f t="shared" si="171"/>
        <v>0</v>
      </c>
      <c r="J538" s="6">
        <f t="shared" si="171"/>
        <v>0</v>
      </c>
      <c r="K538" s="6">
        <f t="shared" si="171"/>
        <v>74119368.239999995</v>
      </c>
      <c r="L538" s="6">
        <f t="shared" si="171"/>
        <v>4521517</v>
      </c>
    </row>
    <row r="539" spans="1:13">
      <c r="A539" s="121"/>
      <c r="B539" s="102"/>
      <c r="C539" s="24" t="s">
        <v>15</v>
      </c>
      <c r="D539" s="55">
        <f>D519+D535</f>
        <v>1408.9800000003015</v>
      </c>
      <c r="E539" s="55">
        <f t="shared" si="172"/>
        <v>0</v>
      </c>
      <c r="F539" s="55">
        <f t="shared" si="172"/>
        <v>1408.9800000025425</v>
      </c>
      <c r="G539" s="55">
        <f t="shared" si="172"/>
        <v>0</v>
      </c>
      <c r="H539" s="55">
        <f t="shared" si="172"/>
        <v>0</v>
      </c>
      <c r="I539" s="55">
        <f t="shared" si="172"/>
        <v>0</v>
      </c>
      <c r="J539" s="55">
        <f t="shared" si="172"/>
        <v>0</v>
      </c>
      <c r="K539" s="55">
        <f t="shared" si="172"/>
        <v>1408.9800000006799</v>
      </c>
      <c r="L539" s="55">
        <f t="shared" si="172"/>
        <v>0</v>
      </c>
    </row>
    <row r="540" spans="1:13">
      <c r="A540" s="121"/>
      <c r="B540" s="98"/>
      <c r="C540" s="48" t="s">
        <v>42</v>
      </c>
      <c r="D540" s="56">
        <f t="shared" ref="D540:H555" si="173">D43+D126+D209+D292+D375+D457</f>
        <v>61779318.75</v>
      </c>
      <c r="E540" s="56">
        <f t="shared" si="173"/>
        <v>10191728.050000001</v>
      </c>
      <c r="F540" s="56">
        <f t="shared" si="173"/>
        <v>71971046.799999982</v>
      </c>
      <c r="G540" s="56">
        <f t="shared" si="173"/>
        <v>6042205.8299999991</v>
      </c>
      <c r="H540" s="56">
        <v>1004880</v>
      </c>
      <c r="I540" s="56">
        <f t="shared" ref="I540:L555" si="174">I43+I126+I209+I292+I375+I457</f>
        <v>864025.12</v>
      </c>
      <c r="J540" s="56">
        <f t="shared" si="174"/>
        <v>864025.12</v>
      </c>
      <c r="K540" s="56">
        <f t="shared" si="174"/>
        <v>79018132.629999995</v>
      </c>
      <c r="L540" s="56">
        <f t="shared" si="174"/>
        <v>4559478</v>
      </c>
      <c r="M540" s="2"/>
    </row>
    <row r="541" spans="1:13">
      <c r="A541" s="121"/>
      <c r="B541" s="98"/>
      <c r="C541" s="48" t="s">
        <v>43</v>
      </c>
      <c r="D541" s="56">
        <f t="shared" si="173"/>
        <v>388503.14</v>
      </c>
      <c r="E541" s="56">
        <f t="shared" si="173"/>
        <v>39677.18</v>
      </c>
      <c r="F541" s="56">
        <f t="shared" si="173"/>
        <v>428180.32</v>
      </c>
      <c r="G541" s="56">
        <f t="shared" si="173"/>
        <v>20476.920000000002</v>
      </c>
      <c r="H541" s="56">
        <f t="shared" si="173"/>
        <v>0</v>
      </c>
      <c r="I541" s="56">
        <f t="shared" si="174"/>
        <v>0</v>
      </c>
      <c r="J541" s="56">
        <f t="shared" si="174"/>
        <v>0</v>
      </c>
      <c r="K541" s="56">
        <f t="shared" si="174"/>
        <v>448657.2400000004</v>
      </c>
      <c r="L541" s="56">
        <f t="shared" si="174"/>
        <v>37961</v>
      </c>
    </row>
    <row r="542" spans="1:13">
      <c r="A542" s="121"/>
      <c r="B542" s="98"/>
      <c r="C542" s="48" t="s">
        <v>22</v>
      </c>
      <c r="D542" s="56">
        <f t="shared" si="173"/>
        <v>58179690.970000006</v>
      </c>
      <c r="E542" s="56">
        <f t="shared" si="173"/>
        <v>9533092.3499999996</v>
      </c>
      <c r="F542" s="56">
        <f t="shared" si="173"/>
        <v>67712783.320000008</v>
      </c>
      <c r="G542" s="56">
        <f t="shared" si="173"/>
        <v>6042205.8299999991</v>
      </c>
      <c r="H542" s="56">
        <f t="shared" si="173"/>
        <v>1004880</v>
      </c>
      <c r="I542" s="56">
        <f t="shared" si="174"/>
        <v>0</v>
      </c>
      <c r="J542" s="56">
        <f t="shared" si="174"/>
        <v>0</v>
      </c>
      <c r="K542" s="56">
        <f t="shared" si="174"/>
        <v>74759869.149999991</v>
      </c>
      <c r="L542" s="56">
        <f t="shared" si="174"/>
        <v>4559478</v>
      </c>
    </row>
    <row r="543" spans="1:13">
      <c r="A543" s="121"/>
      <c r="B543" s="98"/>
      <c r="C543" s="16" t="s">
        <v>15</v>
      </c>
      <c r="D543" s="56">
        <f t="shared" si="173"/>
        <v>0</v>
      </c>
      <c r="E543" s="56">
        <f t="shared" si="173"/>
        <v>0</v>
      </c>
      <c r="F543" s="56">
        <f t="shared" si="173"/>
        <v>0</v>
      </c>
      <c r="G543" s="56">
        <f t="shared" si="173"/>
        <v>0</v>
      </c>
      <c r="H543" s="56">
        <f t="shared" si="173"/>
        <v>0</v>
      </c>
      <c r="I543" s="56">
        <f t="shared" si="174"/>
        <v>0</v>
      </c>
      <c r="J543" s="56">
        <f t="shared" si="174"/>
        <v>0</v>
      </c>
      <c r="K543" s="56">
        <f t="shared" si="174"/>
        <v>0</v>
      </c>
      <c r="L543" s="56">
        <f t="shared" si="174"/>
        <v>0</v>
      </c>
    </row>
    <row r="544" spans="1:13">
      <c r="A544" s="121"/>
      <c r="B544" s="97" t="s">
        <v>29</v>
      </c>
      <c r="C544" s="30" t="s">
        <v>12</v>
      </c>
      <c r="D544" s="31">
        <f t="shared" si="173"/>
        <v>11381098.379999999</v>
      </c>
      <c r="E544" s="31">
        <f t="shared" si="173"/>
        <v>2137243.2400000002</v>
      </c>
      <c r="F544" s="31">
        <f t="shared" si="173"/>
        <v>13518341.620000001</v>
      </c>
      <c r="G544" s="31">
        <f t="shared" si="173"/>
        <v>1362589</v>
      </c>
      <c r="H544" s="31">
        <f t="shared" si="173"/>
        <v>0</v>
      </c>
      <c r="I544" s="31">
        <f t="shared" si="174"/>
        <v>0</v>
      </c>
      <c r="J544" s="31">
        <f t="shared" si="174"/>
        <v>0</v>
      </c>
      <c r="K544" s="31">
        <f t="shared" si="174"/>
        <v>14880930.620000001</v>
      </c>
      <c r="L544" s="31">
        <f t="shared" si="174"/>
        <v>717332</v>
      </c>
    </row>
    <row r="545" spans="1:12">
      <c r="A545" s="121"/>
      <c r="B545" s="97"/>
      <c r="C545" s="30" t="s">
        <v>13</v>
      </c>
      <c r="D545" s="31">
        <f t="shared" si="173"/>
        <v>9825460.0699999984</v>
      </c>
      <c r="E545" s="31">
        <f t="shared" si="173"/>
        <v>1685548.08</v>
      </c>
      <c r="F545" s="31">
        <f t="shared" si="173"/>
        <v>11511008.15</v>
      </c>
      <c r="G545" s="31">
        <f t="shared" si="173"/>
        <v>1032012</v>
      </c>
      <c r="H545" s="31">
        <f t="shared" si="173"/>
        <v>0</v>
      </c>
      <c r="I545" s="31">
        <f t="shared" si="174"/>
        <v>0</v>
      </c>
      <c r="J545" s="31">
        <f t="shared" si="174"/>
        <v>0</v>
      </c>
      <c r="K545" s="31">
        <f t="shared" si="174"/>
        <v>12543020.15</v>
      </c>
      <c r="L545" s="31">
        <f t="shared" si="174"/>
        <v>717332</v>
      </c>
    </row>
    <row r="546" spans="1:12">
      <c r="A546" s="121"/>
      <c r="B546" s="97"/>
      <c r="C546" s="30" t="s">
        <v>14</v>
      </c>
      <c r="D546" s="31">
        <f t="shared" si="173"/>
        <v>9814884.2699999996</v>
      </c>
      <c r="E546" s="31">
        <f t="shared" si="173"/>
        <v>1586829.9700000002</v>
      </c>
      <c r="F546" s="31">
        <f t="shared" si="173"/>
        <v>11401714.24</v>
      </c>
      <c r="G546" s="31">
        <f t="shared" si="173"/>
        <v>1032032</v>
      </c>
      <c r="H546" s="31">
        <f t="shared" si="173"/>
        <v>0</v>
      </c>
      <c r="I546" s="31">
        <f t="shared" si="174"/>
        <v>0</v>
      </c>
      <c r="J546" s="31">
        <f t="shared" si="174"/>
        <v>0</v>
      </c>
      <c r="K546" s="31">
        <f t="shared" si="174"/>
        <v>12433746.24</v>
      </c>
      <c r="L546" s="31">
        <f t="shared" si="174"/>
        <v>717332</v>
      </c>
    </row>
    <row r="547" spans="1:12">
      <c r="A547" s="121"/>
      <c r="B547" s="97"/>
      <c r="C547" s="96" t="s">
        <v>23</v>
      </c>
      <c r="D547" s="31">
        <f t="shared" si="173"/>
        <v>1566214.1100000008</v>
      </c>
      <c r="E547" s="31">
        <f t="shared" si="173"/>
        <v>550413.27</v>
      </c>
      <c r="F547" s="31">
        <f t="shared" si="173"/>
        <v>2116627.3800000018</v>
      </c>
      <c r="G547" s="31">
        <f t="shared" si="173"/>
        <v>330557</v>
      </c>
      <c r="H547" s="31">
        <f t="shared" si="173"/>
        <v>0</v>
      </c>
      <c r="I547" s="31">
        <f t="shared" si="174"/>
        <v>0</v>
      </c>
      <c r="J547" s="31">
        <f t="shared" si="174"/>
        <v>0</v>
      </c>
      <c r="K547" s="31">
        <f t="shared" si="174"/>
        <v>2447184.3800000018</v>
      </c>
      <c r="L547" s="31">
        <f t="shared" si="174"/>
        <v>0</v>
      </c>
    </row>
    <row r="548" spans="1:12">
      <c r="A548" s="121"/>
      <c r="B548" s="97" t="s">
        <v>30</v>
      </c>
      <c r="C548" s="30" t="s">
        <v>12</v>
      </c>
      <c r="D548" s="31">
        <f t="shared" si="173"/>
        <v>11501697.25</v>
      </c>
      <c r="E548" s="31">
        <f t="shared" si="173"/>
        <v>2137243.2400000002</v>
      </c>
      <c r="F548" s="31">
        <f t="shared" si="173"/>
        <v>13638940.490000002</v>
      </c>
      <c r="G548" s="31">
        <f t="shared" si="173"/>
        <v>1362589</v>
      </c>
      <c r="H548" s="31">
        <f t="shared" si="173"/>
        <v>0</v>
      </c>
      <c r="I548" s="31">
        <f t="shared" si="174"/>
        <v>0</v>
      </c>
      <c r="J548" s="31">
        <f t="shared" si="174"/>
        <v>0</v>
      </c>
      <c r="K548" s="31">
        <f t="shared" si="174"/>
        <v>15001529.49</v>
      </c>
      <c r="L548" s="31">
        <f t="shared" si="174"/>
        <v>749430</v>
      </c>
    </row>
    <row r="549" spans="1:12">
      <c r="A549" s="121"/>
      <c r="B549" s="97"/>
      <c r="C549" s="30" t="s">
        <v>13</v>
      </c>
      <c r="D549" s="31">
        <f t="shared" si="173"/>
        <v>10420080.33</v>
      </c>
      <c r="E549" s="31">
        <f t="shared" si="173"/>
        <v>1650236.44</v>
      </c>
      <c r="F549" s="31">
        <f t="shared" si="173"/>
        <v>12070316.77</v>
      </c>
      <c r="G549" s="31">
        <f t="shared" si="173"/>
        <v>1035389</v>
      </c>
      <c r="H549" s="31">
        <f t="shared" si="173"/>
        <v>0</v>
      </c>
      <c r="I549" s="31">
        <f t="shared" si="174"/>
        <v>0</v>
      </c>
      <c r="J549" s="31">
        <f t="shared" si="174"/>
        <v>0</v>
      </c>
      <c r="K549" s="31">
        <f t="shared" si="174"/>
        <v>13105705.77</v>
      </c>
      <c r="L549" s="31">
        <f t="shared" si="174"/>
        <v>749430</v>
      </c>
    </row>
    <row r="550" spans="1:12">
      <c r="A550" s="121"/>
      <c r="B550" s="97"/>
      <c r="C550" s="30" t="s">
        <v>14</v>
      </c>
      <c r="D550" s="31">
        <f t="shared" si="173"/>
        <v>10420080.33</v>
      </c>
      <c r="E550" s="31">
        <f t="shared" si="173"/>
        <v>1560431.8399999999</v>
      </c>
      <c r="F550" s="31">
        <f t="shared" si="173"/>
        <v>11980512.17</v>
      </c>
      <c r="G550" s="31">
        <f t="shared" si="173"/>
        <v>1035389</v>
      </c>
      <c r="H550" s="31">
        <f t="shared" si="173"/>
        <v>0</v>
      </c>
      <c r="I550" s="31">
        <f t="shared" si="174"/>
        <v>0</v>
      </c>
      <c r="J550" s="31">
        <f t="shared" si="174"/>
        <v>0</v>
      </c>
      <c r="K550" s="31">
        <f t="shared" si="174"/>
        <v>13015901.17</v>
      </c>
      <c r="L550" s="31">
        <f t="shared" si="174"/>
        <v>749430</v>
      </c>
    </row>
    <row r="551" spans="1:12">
      <c r="A551" s="121"/>
      <c r="B551" s="97"/>
      <c r="C551" s="30" t="s">
        <v>23</v>
      </c>
      <c r="D551" s="31">
        <f t="shared" si="173"/>
        <v>1081616.9200000009</v>
      </c>
      <c r="E551" s="31">
        <f t="shared" si="173"/>
        <v>576811.4</v>
      </c>
      <c r="F551" s="31">
        <f t="shared" si="173"/>
        <v>1658428.3200000008</v>
      </c>
      <c r="G551" s="31">
        <f t="shared" si="173"/>
        <v>327200</v>
      </c>
      <c r="H551" s="31">
        <f t="shared" si="173"/>
        <v>0</v>
      </c>
      <c r="I551" s="31">
        <f t="shared" si="174"/>
        <v>0</v>
      </c>
      <c r="J551" s="31">
        <f t="shared" si="174"/>
        <v>0</v>
      </c>
      <c r="K551" s="31">
        <f t="shared" si="174"/>
        <v>1985628.3199999996</v>
      </c>
      <c r="L551" s="31">
        <f t="shared" si="174"/>
        <v>0</v>
      </c>
    </row>
    <row r="552" spans="1:12">
      <c r="A552" s="121"/>
      <c r="B552" s="97" t="s">
        <v>31</v>
      </c>
      <c r="C552" s="30" t="s">
        <v>12</v>
      </c>
      <c r="D552" s="31">
        <f t="shared" si="173"/>
        <v>11308648.609999999</v>
      </c>
      <c r="E552" s="31">
        <f t="shared" si="173"/>
        <v>2137243.2400000002</v>
      </c>
      <c r="F552" s="31">
        <f t="shared" si="173"/>
        <v>13445891.850000001</v>
      </c>
      <c r="G552" s="31">
        <f t="shared" si="173"/>
        <v>1362589</v>
      </c>
      <c r="H552" s="31">
        <f t="shared" si="173"/>
        <v>0</v>
      </c>
      <c r="I552" s="31">
        <f t="shared" si="174"/>
        <v>0</v>
      </c>
      <c r="J552" s="31">
        <f t="shared" si="174"/>
        <v>0</v>
      </c>
      <c r="K552" s="31">
        <f t="shared" si="174"/>
        <v>14808480.850000001</v>
      </c>
      <c r="L552" s="31">
        <f t="shared" si="174"/>
        <v>1306760</v>
      </c>
    </row>
    <row r="553" spans="1:12">
      <c r="A553" s="121"/>
      <c r="B553" s="97"/>
      <c r="C553" s="30" t="s">
        <v>13</v>
      </c>
      <c r="D553" s="31">
        <f t="shared" si="173"/>
        <v>0</v>
      </c>
      <c r="E553" s="31">
        <f t="shared" si="173"/>
        <v>0</v>
      </c>
      <c r="F553" s="31">
        <f t="shared" si="173"/>
        <v>0</v>
      </c>
      <c r="G553" s="31">
        <f t="shared" si="173"/>
        <v>0</v>
      </c>
      <c r="H553" s="31">
        <f t="shared" si="173"/>
        <v>0</v>
      </c>
      <c r="I553" s="31">
        <f t="shared" si="174"/>
        <v>0</v>
      </c>
      <c r="J553" s="31">
        <f t="shared" si="174"/>
        <v>0</v>
      </c>
      <c r="K553" s="31">
        <f t="shared" si="174"/>
        <v>0</v>
      </c>
      <c r="L553" s="31">
        <f t="shared" si="174"/>
        <v>0</v>
      </c>
    </row>
    <row r="554" spans="1:12">
      <c r="A554" s="121"/>
      <c r="B554" s="97"/>
      <c r="C554" s="30" t="s">
        <v>14</v>
      </c>
      <c r="D554" s="31">
        <f t="shared" si="173"/>
        <v>0</v>
      </c>
      <c r="E554" s="31">
        <f t="shared" si="173"/>
        <v>0</v>
      </c>
      <c r="F554" s="31">
        <f t="shared" si="173"/>
        <v>0</v>
      </c>
      <c r="G554" s="31">
        <f t="shared" si="173"/>
        <v>0</v>
      </c>
      <c r="H554" s="31">
        <f t="shared" si="173"/>
        <v>0</v>
      </c>
      <c r="I554" s="31">
        <f t="shared" si="174"/>
        <v>0</v>
      </c>
      <c r="J554" s="31">
        <f t="shared" si="174"/>
        <v>0</v>
      </c>
      <c r="K554" s="31">
        <f t="shared" si="174"/>
        <v>0</v>
      </c>
      <c r="L554" s="31">
        <f t="shared" si="174"/>
        <v>0</v>
      </c>
    </row>
    <row r="555" spans="1:12">
      <c r="A555" s="121"/>
      <c r="B555" s="97"/>
      <c r="C555" s="30" t="s">
        <v>23</v>
      </c>
      <c r="D555" s="31">
        <f t="shared" si="173"/>
        <v>0</v>
      </c>
      <c r="E555" s="31">
        <f t="shared" si="173"/>
        <v>0</v>
      </c>
      <c r="F555" s="31">
        <f t="shared" si="173"/>
        <v>0</v>
      </c>
      <c r="G555" s="31">
        <f t="shared" si="173"/>
        <v>0</v>
      </c>
      <c r="H555" s="31">
        <f t="shared" si="173"/>
        <v>0</v>
      </c>
      <c r="I555" s="31">
        <f t="shared" si="174"/>
        <v>0</v>
      </c>
      <c r="J555" s="31">
        <f t="shared" si="174"/>
        <v>0</v>
      </c>
      <c r="K555" s="31">
        <v>0</v>
      </c>
      <c r="L555" s="31">
        <v>0</v>
      </c>
    </row>
    <row r="556" spans="1:12">
      <c r="A556" s="121"/>
      <c r="B556" s="97" t="s">
        <v>32</v>
      </c>
      <c r="C556" s="30" t="s">
        <v>12</v>
      </c>
      <c r="D556" s="31">
        <f t="shared" ref="D556:L559" si="175">D59+D142+D225+D308+D391+D473</f>
        <v>34191444.240000002</v>
      </c>
      <c r="E556" s="31">
        <f t="shared" si="175"/>
        <v>6411729.7199999997</v>
      </c>
      <c r="F556" s="31">
        <f t="shared" si="175"/>
        <v>40603173.960000001</v>
      </c>
      <c r="G556" s="31">
        <f t="shared" si="175"/>
        <v>4087767</v>
      </c>
      <c r="H556" s="31">
        <f t="shared" si="175"/>
        <v>0</v>
      </c>
      <c r="I556" s="31">
        <f t="shared" si="175"/>
        <v>0</v>
      </c>
      <c r="J556" s="31">
        <f t="shared" si="175"/>
        <v>0</v>
      </c>
      <c r="K556" s="31">
        <f t="shared" si="175"/>
        <v>44690940.960000001</v>
      </c>
      <c r="L556" s="31">
        <f t="shared" si="175"/>
        <v>2773522</v>
      </c>
    </row>
    <row r="557" spans="1:12">
      <c r="A557" s="121"/>
      <c r="B557" s="97"/>
      <c r="C557" s="30" t="s">
        <v>13</v>
      </c>
      <c r="D557" s="31">
        <f t="shared" si="175"/>
        <v>20245540.399999999</v>
      </c>
      <c r="E557" s="31">
        <f t="shared" si="175"/>
        <v>3335784.52</v>
      </c>
      <c r="F557" s="31">
        <f t="shared" si="175"/>
        <v>23581324.920000002</v>
      </c>
      <c r="G557" s="31">
        <f t="shared" si="175"/>
        <v>2067401</v>
      </c>
      <c r="H557" s="31">
        <f t="shared" si="175"/>
        <v>0</v>
      </c>
      <c r="I557" s="31">
        <f t="shared" si="175"/>
        <v>0</v>
      </c>
      <c r="J557" s="31">
        <f t="shared" si="175"/>
        <v>0</v>
      </c>
      <c r="K557" s="31">
        <f t="shared" si="175"/>
        <v>25648725.920000002</v>
      </c>
      <c r="L557" s="31">
        <f t="shared" si="175"/>
        <v>1466762</v>
      </c>
    </row>
    <row r="558" spans="1:12">
      <c r="A558" s="121"/>
      <c r="B558" s="97"/>
      <c r="C558" s="30" t="s">
        <v>14</v>
      </c>
      <c r="D558" s="31">
        <f t="shared" si="175"/>
        <v>20234964.599999998</v>
      </c>
      <c r="E558" s="31">
        <f t="shared" si="175"/>
        <v>3147261.8100000005</v>
      </c>
      <c r="F558" s="31">
        <f t="shared" si="175"/>
        <v>23382226.410000004</v>
      </c>
      <c r="G558" s="31">
        <f t="shared" si="175"/>
        <v>2067421</v>
      </c>
      <c r="H558" s="31">
        <f t="shared" si="175"/>
        <v>0</v>
      </c>
      <c r="I558" s="31">
        <f t="shared" si="175"/>
        <v>0</v>
      </c>
      <c r="J558" s="31">
        <f t="shared" si="175"/>
        <v>0</v>
      </c>
      <c r="K558" s="31">
        <f t="shared" si="175"/>
        <v>25449647.410000004</v>
      </c>
      <c r="L558" s="31">
        <f t="shared" si="175"/>
        <v>1466762</v>
      </c>
    </row>
    <row r="559" spans="1:12">
      <c r="A559" s="121"/>
      <c r="B559" s="97"/>
      <c r="C559" s="30" t="s">
        <v>33</v>
      </c>
      <c r="D559" s="31">
        <f t="shared" si="175"/>
        <v>20234964.599999998</v>
      </c>
      <c r="E559" s="31">
        <f t="shared" si="175"/>
        <v>3147261.8100000005</v>
      </c>
      <c r="F559" s="31">
        <f t="shared" si="175"/>
        <v>23382226.410000004</v>
      </c>
      <c r="G559" s="31">
        <f t="shared" si="175"/>
        <v>1923469</v>
      </c>
      <c r="H559" s="31">
        <f t="shared" si="175"/>
        <v>0</v>
      </c>
      <c r="I559" s="31">
        <f t="shared" si="175"/>
        <v>0</v>
      </c>
      <c r="J559" s="31">
        <f t="shared" si="175"/>
        <v>0</v>
      </c>
      <c r="K559" s="31">
        <f t="shared" si="175"/>
        <v>25305695.410000004</v>
      </c>
      <c r="L559" s="31">
        <f t="shared" si="175"/>
        <v>891011</v>
      </c>
    </row>
    <row r="560" spans="1:12">
      <c r="A560" s="121"/>
      <c r="B560" s="97" t="s">
        <v>34</v>
      </c>
      <c r="C560" s="30" t="s">
        <v>12</v>
      </c>
      <c r="D560" s="31">
        <f t="shared" ref="D560:L575" si="176">D64+D147+D230+D313+D395+D478</f>
        <v>11143648.549999999</v>
      </c>
      <c r="E560" s="31">
        <f t="shared" si="176"/>
        <v>2137243.2400000002</v>
      </c>
      <c r="F560" s="31">
        <f t="shared" si="176"/>
        <v>13280891.790000001</v>
      </c>
      <c r="G560" s="31">
        <f t="shared" si="176"/>
        <v>1362589</v>
      </c>
      <c r="H560" s="31">
        <f t="shared" si="176"/>
        <v>0</v>
      </c>
      <c r="I560" s="31">
        <f t="shared" si="176"/>
        <v>0</v>
      </c>
      <c r="J560" s="31">
        <f t="shared" si="176"/>
        <v>0</v>
      </c>
      <c r="K560" s="31">
        <f t="shared" si="176"/>
        <v>14643480.790000001</v>
      </c>
      <c r="L560" s="31">
        <f t="shared" si="176"/>
        <v>282000</v>
      </c>
    </row>
    <row r="561" spans="1:12">
      <c r="A561" s="121"/>
      <c r="B561" s="97"/>
      <c r="C561" s="30" t="s">
        <v>13</v>
      </c>
      <c r="D561" s="31">
        <f t="shared" si="176"/>
        <v>0</v>
      </c>
      <c r="E561" s="31">
        <f t="shared" si="176"/>
        <v>0</v>
      </c>
      <c r="F561" s="31">
        <f t="shared" si="176"/>
        <v>0</v>
      </c>
      <c r="G561" s="31">
        <f t="shared" si="176"/>
        <v>0</v>
      </c>
      <c r="H561" s="31">
        <f t="shared" si="176"/>
        <v>0</v>
      </c>
      <c r="I561" s="31">
        <f t="shared" si="176"/>
        <v>0</v>
      </c>
      <c r="J561" s="31">
        <f t="shared" si="176"/>
        <v>0</v>
      </c>
      <c r="K561" s="31">
        <f t="shared" si="176"/>
        <v>0</v>
      </c>
      <c r="L561" s="31">
        <f t="shared" si="176"/>
        <v>0</v>
      </c>
    </row>
    <row r="562" spans="1:12">
      <c r="A562" s="121"/>
      <c r="B562" s="97"/>
      <c r="C562" s="30" t="s">
        <v>14</v>
      </c>
      <c r="D562" s="31">
        <f t="shared" si="176"/>
        <v>0</v>
      </c>
      <c r="E562" s="31">
        <f t="shared" si="176"/>
        <v>0</v>
      </c>
      <c r="F562" s="31">
        <f t="shared" si="176"/>
        <v>0</v>
      </c>
      <c r="G562" s="31">
        <f t="shared" si="176"/>
        <v>0</v>
      </c>
      <c r="H562" s="31">
        <f t="shared" si="176"/>
        <v>0</v>
      </c>
      <c r="I562" s="31">
        <f t="shared" si="176"/>
        <v>0</v>
      </c>
      <c r="J562" s="31">
        <f t="shared" si="176"/>
        <v>0</v>
      </c>
      <c r="K562" s="31">
        <f t="shared" si="176"/>
        <v>0</v>
      </c>
      <c r="L562" s="31">
        <f t="shared" si="176"/>
        <v>0</v>
      </c>
    </row>
    <row r="563" spans="1:12">
      <c r="A563" s="121"/>
      <c r="B563" s="97"/>
      <c r="C563" s="30" t="s">
        <v>23</v>
      </c>
      <c r="D563" s="31">
        <f t="shared" si="176"/>
        <v>0</v>
      </c>
      <c r="E563" s="31">
        <f t="shared" si="176"/>
        <v>0</v>
      </c>
      <c r="F563" s="31">
        <f t="shared" si="176"/>
        <v>0</v>
      </c>
      <c r="G563" s="31">
        <f t="shared" si="176"/>
        <v>0</v>
      </c>
      <c r="H563" s="31">
        <f t="shared" si="176"/>
        <v>0</v>
      </c>
      <c r="I563" s="31">
        <f t="shared" si="176"/>
        <v>0</v>
      </c>
      <c r="J563" s="31">
        <f t="shared" si="176"/>
        <v>0</v>
      </c>
      <c r="K563" s="31">
        <f t="shared" si="176"/>
        <v>109533</v>
      </c>
      <c r="L563" s="31">
        <f t="shared" si="176"/>
        <v>49044.72</v>
      </c>
    </row>
    <row r="564" spans="1:12">
      <c r="A564" s="121"/>
      <c r="B564" s="97" t="s">
        <v>35</v>
      </c>
      <c r="C564" s="30" t="s">
        <v>12</v>
      </c>
      <c r="D564" s="31">
        <f t="shared" si="176"/>
        <v>559869.68000000005</v>
      </c>
      <c r="E564" s="31">
        <f t="shared" si="176"/>
        <v>908801.31</v>
      </c>
      <c r="F564" s="31">
        <f t="shared" si="176"/>
        <v>1468670.9900000002</v>
      </c>
      <c r="G564" s="31">
        <f t="shared" si="176"/>
        <v>113328.22</v>
      </c>
      <c r="H564" s="31">
        <f t="shared" si="176"/>
        <v>0</v>
      </c>
      <c r="I564" s="31">
        <f t="shared" si="176"/>
        <v>0</v>
      </c>
      <c r="J564" s="31">
        <f t="shared" si="176"/>
        <v>0</v>
      </c>
      <c r="K564" s="31">
        <f t="shared" si="176"/>
        <v>1581999.21</v>
      </c>
      <c r="L564" s="31">
        <f t="shared" si="176"/>
        <v>0</v>
      </c>
    </row>
    <row r="565" spans="1:12">
      <c r="A565" s="121"/>
      <c r="B565" s="97"/>
      <c r="C565" s="30" t="s">
        <v>13</v>
      </c>
      <c r="D565" s="31">
        <f t="shared" si="176"/>
        <v>0</v>
      </c>
      <c r="E565" s="31">
        <f t="shared" si="176"/>
        <v>0</v>
      </c>
      <c r="F565" s="31">
        <f t="shared" si="176"/>
        <v>0</v>
      </c>
      <c r="G565" s="31">
        <f t="shared" si="176"/>
        <v>0</v>
      </c>
      <c r="H565" s="31">
        <f t="shared" si="176"/>
        <v>0</v>
      </c>
      <c r="I565" s="31">
        <f t="shared" si="176"/>
        <v>0</v>
      </c>
      <c r="J565" s="31">
        <f t="shared" si="176"/>
        <v>0</v>
      </c>
      <c r="K565" s="31">
        <f t="shared" si="176"/>
        <v>0</v>
      </c>
      <c r="L565" s="31">
        <f t="shared" si="176"/>
        <v>0</v>
      </c>
    </row>
    <row r="566" spans="1:12">
      <c r="A566" s="121"/>
      <c r="B566" s="97"/>
      <c r="C566" s="30" t="s">
        <v>14</v>
      </c>
      <c r="D566" s="31">
        <f t="shared" si="176"/>
        <v>0</v>
      </c>
      <c r="E566" s="31">
        <f t="shared" si="176"/>
        <v>0</v>
      </c>
      <c r="F566" s="31">
        <f t="shared" si="176"/>
        <v>0</v>
      </c>
      <c r="G566" s="31">
        <f t="shared" si="176"/>
        <v>0</v>
      </c>
      <c r="H566" s="31">
        <f t="shared" si="176"/>
        <v>0</v>
      </c>
      <c r="I566" s="31">
        <f t="shared" si="176"/>
        <v>0</v>
      </c>
      <c r="J566" s="31">
        <f t="shared" si="176"/>
        <v>0</v>
      </c>
      <c r="K566" s="31">
        <f t="shared" si="176"/>
        <v>0</v>
      </c>
      <c r="L566" s="31">
        <f t="shared" si="176"/>
        <v>0</v>
      </c>
    </row>
    <row r="567" spans="1:12">
      <c r="A567" s="121"/>
      <c r="B567" s="97"/>
      <c r="C567" s="30" t="s">
        <v>23</v>
      </c>
      <c r="D567" s="31">
        <f t="shared" si="176"/>
        <v>202627.55</v>
      </c>
      <c r="E567" s="31">
        <f t="shared" si="176"/>
        <v>30091.89</v>
      </c>
      <c r="F567" s="31">
        <f t="shared" si="176"/>
        <v>232719.44</v>
      </c>
      <c r="G567" s="31">
        <f t="shared" si="176"/>
        <v>1418</v>
      </c>
      <c r="H567" s="31">
        <f t="shared" si="176"/>
        <v>0</v>
      </c>
      <c r="I567" s="31">
        <f t="shared" si="176"/>
        <v>0</v>
      </c>
      <c r="J567" s="31">
        <f t="shared" si="176"/>
        <v>0</v>
      </c>
      <c r="K567" s="31">
        <f t="shared" si="176"/>
        <v>343670.44</v>
      </c>
      <c r="L567" s="31">
        <f t="shared" si="176"/>
        <v>0</v>
      </c>
    </row>
    <row r="568" spans="1:12">
      <c r="A568" s="121"/>
      <c r="B568" s="97" t="s">
        <v>36</v>
      </c>
      <c r="C568" s="30" t="s">
        <v>12</v>
      </c>
      <c r="D568" s="31">
        <f t="shared" si="176"/>
        <v>523757.86000000004</v>
      </c>
      <c r="E568" s="31">
        <f t="shared" si="176"/>
        <v>125164.92000000001</v>
      </c>
      <c r="F568" s="31">
        <f t="shared" si="176"/>
        <v>648922.78000000014</v>
      </c>
      <c r="G568" s="31">
        <f t="shared" si="176"/>
        <v>4247.22</v>
      </c>
      <c r="H568" s="31">
        <f t="shared" si="176"/>
        <v>0</v>
      </c>
      <c r="I568" s="31">
        <f t="shared" si="176"/>
        <v>0</v>
      </c>
      <c r="J568" s="31">
        <f t="shared" si="176"/>
        <v>0</v>
      </c>
      <c r="K568" s="31">
        <f t="shared" si="176"/>
        <v>653170.00000000012</v>
      </c>
      <c r="L568" s="31">
        <f t="shared" si="176"/>
        <v>0</v>
      </c>
    </row>
    <row r="569" spans="1:12">
      <c r="A569" s="121"/>
      <c r="B569" s="97"/>
      <c r="C569" s="30" t="s">
        <v>13</v>
      </c>
      <c r="D569" s="31">
        <f t="shared" si="176"/>
        <v>0</v>
      </c>
      <c r="E569" s="31">
        <f t="shared" si="176"/>
        <v>0</v>
      </c>
      <c r="F569" s="31">
        <f t="shared" si="176"/>
        <v>0</v>
      </c>
      <c r="G569" s="31">
        <f t="shared" si="176"/>
        <v>0</v>
      </c>
      <c r="H569" s="31">
        <f t="shared" si="176"/>
        <v>0</v>
      </c>
      <c r="I569" s="31">
        <f t="shared" si="176"/>
        <v>0</v>
      </c>
      <c r="J569" s="31">
        <f t="shared" si="176"/>
        <v>0</v>
      </c>
      <c r="K569" s="31">
        <f t="shared" si="176"/>
        <v>0</v>
      </c>
      <c r="L569" s="31">
        <f t="shared" si="176"/>
        <v>0</v>
      </c>
    </row>
    <row r="570" spans="1:12">
      <c r="A570" s="121"/>
      <c r="B570" s="97"/>
      <c r="C570" s="30" t="s">
        <v>14</v>
      </c>
      <c r="D570" s="31">
        <f t="shared" si="176"/>
        <v>0</v>
      </c>
      <c r="E570" s="31">
        <f t="shared" si="176"/>
        <v>0</v>
      </c>
      <c r="F570" s="31">
        <f t="shared" si="176"/>
        <v>0</v>
      </c>
      <c r="G570" s="31">
        <f t="shared" si="176"/>
        <v>0</v>
      </c>
      <c r="H570" s="31">
        <f t="shared" si="176"/>
        <v>0</v>
      </c>
      <c r="I570" s="31">
        <f t="shared" si="176"/>
        <v>0</v>
      </c>
      <c r="J570" s="31">
        <f t="shared" si="176"/>
        <v>0</v>
      </c>
      <c r="K570" s="31">
        <f t="shared" si="176"/>
        <v>0</v>
      </c>
      <c r="L570" s="31">
        <f t="shared" si="176"/>
        <v>0</v>
      </c>
    </row>
    <row r="571" spans="1:12">
      <c r="A571" s="121"/>
      <c r="B571" s="97"/>
      <c r="C571" s="30" t="s">
        <v>23</v>
      </c>
      <c r="D571" s="31">
        <f t="shared" si="176"/>
        <v>202627.55</v>
      </c>
      <c r="E571" s="31">
        <f t="shared" si="176"/>
        <v>30091.89</v>
      </c>
      <c r="F571" s="31">
        <f t="shared" si="176"/>
        <v>232719.44</v>
      </c>
      <c r="G571" s="31">
        <f t="shared" si="176"/>
        <v>1418</v>
      </c>
      <c r="H571" s="31">
        <f t="shared" si="176"/>
        <v>0</v>
      </c>
      <c r="I571" s="31">
        <f t="shared" si="176"/>
        <v>0</v>
      </c>
      <c r="J571" s="31">
        <f t="shared" si="176"/>
        <v>0</v>
      </c>
      <c r="K571" s="31">
        <f t="shared" si="176"/>
        <v>234589.44</v>
      </c>
      <c r="L571" s="31">
        <f t="shared" si="176"/>
        <v>0</v>
      </c>
    </row>
    <row r="572" spans="1:12">
      <c r="A572" s="121"/>
      <c r="B572" s="106" t="s">
        <v>37</v>
      </c>
      <c r="C572" s="30" t="s">
        <v>12</v>
      </c>
      <c r="D572" s="31">
        <f t="shared" si="176"/>
        <v>12227276.089999998</v>
      </c>
      <c r="E572" s="31">
        <f t="shared" si="176"/>
        <v>3171209.47</v>
      </c>
      <c r="F572" s="31">
        <f t="shared" si="176"/>
        <v>15398485.560000001</v>
      </c>
      <c r="G572" s="31">
        <f t="shared" si="176"/>
        <v>1480164.44</v>
      </c>
      <c r="H572" s="31">
        <f t="shared" si="176"/>
        <v>0</v>
      </c>
      <c r="I572" s="31">
        <f t="shared" si="176"/>
        <v>0</v>
      </c>
      <c r="J572" s="31">
        <f t="shared" si="176"/>
        <v>0</v>
      </c>
      <c r="K572" s="31">
        <f t="shared" si="176"/>
        <v>16878650</v>
      </c>
      <c r="L572" s="31">
        <f t="shared" si="176"/>
        <v>282000</v>
      </c>
    </row>
    <row r="573" spans="1:12">
      <c r="A573" s="121"/>
      <c r="B573" s="106"/>
      <c r="C573" s="30" t="s">
        <v>13</v>
      </c>
      <c r="D573" s="31">
        <f t="shared" si="176"/>
        <v>0</v>
      </c>
      <c r="E573" s="31">
        <f t="shared" si="176"/>
        <v>0</v>
      </c>
      <c r="F573" s="31">
        <f t="shared" si="176"/>
        <v>0</v>
      </c>
      <c r="G573" s="31">
        <f t="shared" si="176"/>
        <v>0</v>
      </c>
      <c r="H573" s="31">
        <f t="shared" si="176"/>
        <v>0</v>
      </c>
      <c r="I573" s="31">
        <f t="shared" si="176"/>
        <v>0</v>
      </c>
      <c r="J573" s="31">
        <f t="shared" si="176"/>
        <v>0</v>
      </c>
      <c r="K573" s="31">
        <f t="shared" si="176"/>
        <v>0</v>
      </c>
      <c r="L573" s="31">
        <f t="shared" si="176"/>
        <v>0</v>
      </c>
    </row>
    <row r="574" spans="1:12">
      <c r="A574" s="121"/>
      <c r="B574" s="106"/>
      <c r="C574" s="30" t="s">
        <v>14</v>
      </c>
      <c r="D574" s="31">
        <f t="shared" si="176"/>
        <v>0</v>
      </c>
      <c r="E574" s="31">
        <f t="shared" si="176"/>
        <v>0</v>
      </c>
      <c r="F574" s="31">
        <f t="shared" si="176"/>
        <v>0</v>
      </c>
      <c r="G574" s="31">
        <f t="shared" si="176"/>
        <v>0</v>
      </c>
      <c r="H574" s="31">
        <f t="shared" si="176"/>
        <v>0</v>
      </c>
      <c r="I574" s="31">
        <f t="shared" si="176"/>
        <v>0</v>
      </c>
      <c r="J574" s="31">
        <f t="shared" si="176"/>
        <v>0</v>
      </c>
      <c r="K574" s="31">
        <f t="shared" si="176"/>
        <v>0</v>
      </c>
      <c r="L574" s="31">
        <f t="shared" si="176"/>
        <v>0</v>
      </c>
    </row>
    <row r="575" spans="1:12">
      <c r="A575" s="121"/>
      <c r="B575" s="106"/>
      <c r="C575" s="30" t="s">
        <v>38</v>
      </c>
      <c r="D575" s="31">
        <f t="shared" si="176"/>
        <v>0</v>
      </c>
      <c r="E575" s="31">
        <f t="shared" si="176"/>
        <v>0</v>
      </c>
      <c r="F575" s="31">
        <f t="shared" si="176"/>
        <v>0</v>
      </c>
      <c r="G575" s="31">
        <f t="shared" si="176"/>
        <v>0</v>
      </c>
      <c r="H575" s="31">
        <f t="shared" si="176"/>
        <v>0</v>
      </c>
      <c r="I575" s="31">
        <f t="shared" si="176"/>
        <v>0</v>
      </c>
      <c r="J575" s="31">
        <f t="shared" si="176"/>
        <v>0</v>
      </c>
      <c r="K575" s="31">
        <f t="shared" si="176"/>
        <v>219518</v>
      </c>
      <c r="L575" s="31">
        <f t="shared" si="176"/>
        <v>0</v>
      </c>
    </row>
    <row r="576" spans="1:12">
      <c r="A576" s="121"/>
      <c r="B576" s="106" t="s">
        <v>39</v>
      </c>
      <c r="C576" s="16" t="s">
        <v>12</v>
      </c>
      <c r="D576" s="17">
        <f t="shared" ref="D576:L581" si="177">D80+D163+D246+D329+D411+D494</f>
        <v>46418720.329999998</v>
      </c>
      <c r="E576" s="17">
        <f t="shared" si="177"/>
        <v>9582939.1899999995</v>
      </c>
      <c r="F576" s="17">
        <f t="shared" si="177"/>
        <v>56001659.519999996</v>
      </c>
      <c r="G576" s="17">
        <f t="shared" si="177"/>
        <v>5567931.4399999995</v>
      </c>
      <c r="H576" s="17">
        <f t="shared" si="177"/>
        <v>0</v>
      </c>
      <c r="I576" s="17">
        <f t="shared" si="177"/>
        <v>0</v>
      </c>
      <c r="J576" s="17">
        <f t="shared" si="177"/>
        <v>0</v>
      </c>
      <c r="K576" s="17">
        <f t="shared" si="177"/>
        <v>61569590.959999993</v>
      </c>
      <c r="L576" s="17">
        <f t="shared" si="177"/>
        <v>3055522</v>
      </c>
    </row>
    <row r="577" spans="1:13">
      <c r="A577" s="121"/>
      <c r="B577" s="106"/>
      <c r="C577" s="16" t="s">
        <v>13</v>
      </c>
      <c r="D577" s="17">
        <f t="shared" si="177"/>
        <v>20245540.399999999</v>
      </c>
      <c r="E577" s="17">
        <f t="shared" si="177"/>
        <v>3335784.52</v>
      </c>
      <c r="F577" s="17">
        <f t="shared" si="177"/>
        <v>23581324.920000002</v>
      </c>
      <c r="G577" s="17">
        <f t="shared" si="177"/>
        <v>2067401</v>
      </c>
      <c r="H577" s="17">
        <f t="shared" si="177"/>
        <v>0</v>
      </c>
      <c r="I577" s="17">
        <f t="shared" si="177"/>
        <v>0</v>
      </c>
      <c r="J577" s="17">
        <f t="shared" si="177"/>
        <v>0</v>
      </c>
      <c r="K577" s="17">
        <f t="shared" si="177"/>
        <v>25648725.920000002</v>
      </c>
      <c r="L577" s="17">
        <f t="shared" si="177"/>
        <v>1466762</v>
      </c>
    </row>
    <row r="578" spans="1:13">
      <c r="A578" s="121"/>
      <c r="B578" s="106"/>
      <c r="C578" s="16" t="s">
        <v>14</v>
      </c>
      <c r="D578" s="17">
        <f t="shared" si="177"/>
        <v>20234964.599999998</v>
      </c>
      <c r="E578" s="17">
        <f t="shared" si="177"/>
        <v>3147261.8100000005</v>
      </c>
      <c r="F578" s="17">
        <f t="shared" si="177"/>
        <v>23382226.410000004</v>
      </c>
      <c r="G578" s="17">
        <f t="shared" si="177"/>
        <v>2067421</v>
      </c>
      <c r="H578" s="17">
        <f t="shared" si="177"/>
        <v>0</v>
      </c>
      <c r="I578" s="17">
        <f t="shared" si="177"/>
        <v>0</v>
      </c>
      <c r="J578" s="17">
        <f t="shared" si="177"/>
        <v>0</v>
      </c>
      <c r="K578" s="17">
        <f t="shared" si="177"/>
        <v>25449647.410000004</v>
      </c>
      <c r="L578" s="17">
        <f t="shared" si="177"/>
        <v>1466762</v>
      </c>
    </row>
    <row r="579" spans="1:13">
      <c r="A579" s="121"/>
      <c r="B579" s="106"/>
      <c r="C579" s="16" t="s">
        <v>52</v>
      </c>
      <c r="D579" s="17">
        <f t="shared" si="177"/>
        <v>20234964.599999998</v>
      </c>
      <c r="E579" s="17">
        <f t="shared" si="177"/>
        <v>3147261.8100000005</v>
      </c>
      <c r="F579" s="17">
        <f t="shared" si="177"/>
        <v>23382226.410000004</v>
      </c>
      <c r="G579" s="17">
        <f t="shared" si="177"/>
        <v>2067421</v>
      </c>
      <c r="H579" s="17">
        <f t="shared" si="177"/>
        <v>0</v>
      </c>
      <c r="I579" s="17">
        <f t="shared" si="177"/>
        <v>0</v>
      </c>
      <c r="J579" s="17">
        <f t="shared" si="177"/>
        <v>0</v>
      </c>
      <c r="K579" s="17">
        <f t="shared" si="177"/>
        <v>25449647.410000004</v>
      </c>
      <c r="L579" s="17">
        <f>L578</f>
        <v>1466762</v>
      </c>
    </row>
    <row r="580" spans="1:13" ht="21" customHeight="1">
      <c r="A580" s="121"/>
      <c r="B580" s="120" t="s">
        <v>40</v>
      </c>
      <c r="C580" s="57" t="s">
        <v>12</v>
      </c>
      <c r="D580" s="58">
        <f t="shared" si="177"/>
        <v>104598411.29999998</v>
      </c>
      <c r="E580" s="58">
        <f t="shared" si="177"/>
        <v>19116031.539999999</v>
      </c>
      <c r="F580" s="58">
        <f t="shared" si="177"/>
        <v>123714442.84</v>
      </c>
      <c r="G580" s="58">
        <f t="shared" si="177"/>
        <v>11610137.27</v>
      </c>
      <c r="H580" s="58">
        <f t="shared" si="177"/>
        <v>1004880</v>
      </c>
      <c r="I580" s="58">
        <f t="shared" si="177"/>
        <v>0</v>
      </c>
      <c r="J580" s="58">
        <f t="shared" si="177"/>
        <v>0</v>
      </c>
      <c r="K580" s="58">
        <f t="shared" si="177"/>
        <v>136329460.10999998</v>
      </c>
      <c r="L580" s="58">
        <f>L84+L167+L250+L333+L415+L498</f>
        <v>7614999.9999999991</v>
      </c>
      <c r="M580" s="2"/>
    </row>
    <row r="581" spans="1:13" ht="22.5" customHeight="1">
      <c r="A581" s="121"/>
      <c r="B581" s="120"/>
      <c r="C581" s="57" t="s">
        <v>13</v>
      </c>
      <c r="D581" s="58">
        <f t="shared" si="177"/>
        <v>82024859.149999991</v>
      </c>
      <c r="E581" s="58">
        <f t="shared" si="177"/>
        <v>13527512.57</v>
      </c>
      <c r="F581" s="58">
        <f t="shared" si="177"/>
        <v>95552371.719999999</v>
      </c>
      <c r="G581" s="58">
        <f t="shared" si="177"/>
        <v>8109606.8299999991</v>
      </c>
      <c r="H581" s="58">
        <f t="shared" si="177"/>
        <v>1004880</v>
      </c>
      <c r="I581" s="58">
        <f t="shared" si="177"/>
        <v>0</v>
      </c>
      <c r="J581" s="58">
        <f t="shared" si="177"/>
        <v>0</v>
      </c>
      <c r="K581" s="58">
        <f t="shared" si="177"/>
        <v>104666858.55000001</v>
      </c>
      <c r="L581" s="58">
        <f>L577+L542</f>
        <v>6026240</v>
      </c>
    </row>
    <row r="582" spans="1:13" ht="26.25" customHeight="1">
      <c r="A582" s="121"/>
      <c r="B582" s="120"/>
      <c r="C582" s="59" t="s">
        <v>14</v>
      </c>
      <c r="D582" s="58">
        <f t="shared" ref="D582:K582" si="178">D542+D578</f>
        <v>78414655.570000008</v>
      </c>
      <c r="E582" s="58">
        <f t="shared" si="178"/>
        <v>12680354.16</v>
      </c>
      <c r="F582" s="58">
        <f t="shared" si="178"/>
        <v>91095009.730000019</v>
      </c>
      <c r="G582" s="58">
        <f t="shared" si="178"/>
        <v>8109626.8299999991</v>
      </c>
      <c r="H582" s="58">
        <f t="shared" si="178"/>
        <v>1004880</v>
      </c>
      <c r="I582" s="58">
        <f t="shared" si="178"/>
        <v>0</v>
      </c>
      <c r="J582" s="58">
        <f t="shared" si="178"/>
        <v>0</v>
      </c>
      <c r="K582" s="58">
        <f t="shared" si="178"/>
        <v>100209516.56</v>
      </c>
      <c r="L582" s="58">
        <f>L579+L542</f>
        <v>6026240</v>
      </c>
    </row>
    <row r="583" spans="1:13">
      <c r="D583" s="2"/>
      <c r="H583" s="60" t="s">
        <v>53</v>
      </c>
      <c r="K583" s="61"/>
      <c r="L583" s="62"/>
    </row>
    <row r="584" spans="1:13">
      <c r="H584" s="60"/>
      <c r="K584" s="63"/>
      <c r="L584" s="62"/>
      <c r="M584" s="64"/>
    </row>
    <row r="585" spans="1:13">
      <c r="B585" s="60"/>
      <c r="E585" s="65"/>
    </row>
    <row r="586" spans="1:13">
      <c r="B586"/>
      <c r="E586" s="66"/>
    </row>
    <row r="587" spans="1:13">
      <c r="B587" s="67"/>
      <c r="E587" s="68"/>
    </row>
    <row r="588" spans="1:13">
      <c r="B588" s="69"/>
      <c r="E588" s="70"/>
    </row>
    <row r="589" spans="1:13">
      <c r="B589" s="69"/>
      <c r="E589" s="68"/>
    </row>
    <row r="590" spans="1:13">
      <c r="B590" s="71"/>
      <c r="E590" s="68"/>
    </row>
    <row r="591" spans="1:13">
      <c r="B591"/>
    </row>
    <row r="592" spans="1:13">
      <c r="B592"/>
    </row>
    <row r="593" spans="2:5">
      <c r="B593"/>
    </row>
    <row r="594" spans="2:5">
      <c r="B594"/>
    </row>
    <row r="595" spans="2:5">
      <c r="B595"/>
    </row>
    <row r="596" spans="2:5">
      <c r="B596"/>
    </row>
    <row r="597" spans="2:5">
      <c r="B597"/>
    </row>
    <row r="598" spans="2:5">
      <c r="B598"/>
    </row>
    <row r="599" spans="2:5">
      <c r="B599"/>
    </row>
    <row r="600" spans="2:5">
      <c r="B600"/>
    </row>
    <row r="601" spans="2:5">
      <c r="B601"/>
    </row>
    <row r="602" spans="2:5">
      <c r="B602"/>
    </row>
    <row r="603" spans="2:5">
      <c r="B603"/>
    </row>
    <row r="604" spans="2:5">
      <c r="B604"/>
    </row>
    <row r="605" spans="2:5">
      <c r="B605"/>
    </row>
    <row r="606" spans="2:5">
      <c r="B606"/>
    </row>
    <row r="607" spans="2:5">
      <c r="E607" s="64"/>
    </row>
    <row r="608" spans="2:5">
      <c r="E608" s="64"/>
    </row>
  </sheetData>
  <mergeCells count="142">
    <mergeCell ref="B568:B571"/>
    <mergeCell ref="B572:B575"/>
    <mergeCell ref="B576:B579"/>
    <mergeCell ref="B580:B582"/>
    <mergeCell ref="A1:L1"/>
    <mergeCell ref="A2:L2"/>
    <mergeCell ref="B544:B547"/>
    <mergeCell ref="B548:B551"/>
    <mergeCell ref="B552:B555"/>
    <mergeCell ref="B556:B559"/>
    <mergeCell ref="B560:B563"/>
    <mergeCell ref="B564:B567"/>
    <mergeCell ref="A501:A582"/>
    <mergeCell ref="B501:B504"/>
    <mergeCell ref="B505:B508"/>
    <mergeCell ref="B509:B512"/>
    <mergeCell ref="B513:B519"/>
    <mergeCell ref="B520:B523"/>
    <mergeCell ref="B524:B527"/>
    <mergeCell ref="B528:B531"/>
    <mergeCell ref="B532:B535"/>
    <mergeCell ref="B536:B543"/>
    <mergeCell ref="B478:B481"/>
    <mergeCell ref="B482:B485"/>
    <mergeCell ref="A418:A500"/>
    <mergeCell ref="B418:B421"/>
    <mergeCell ref="B422:B425"/>
    <mergeCell ref="B426:B429"/>
    <mergeCell ref="B430:B436"/>
    <mergeCell ref="B437:B440"/>
    <mergeCell ref="B441:B444"/>
    <mergeCell ref="B445:B448"/>
    <mergeCell ref="B486:B489"/>
    <mergeCell ref="B490:B493"/>
    <mergeCell ref="B494:B497"/>
    <mergeCell ref="B498:B500"/>
    <mergeCell ref="B449:B452"/>
    <mergeCell ref="B453:B460"/>
    <mergeCell ref="B461:B464"/>
    <mergeCell ref="B465:B468"/>
    <mergeCell ref="B469:B472"/>
    <mergeCell ref="B473:B476"/>
    <mergeCell ref="A336:A417"/>
    <mergeCell ref="B336:B339"/>
    <mergeCell ref="B340:B343"/>
    <mergeCell ref="B344:B347"/>
    <mergeCell ref="B348:B354"/>
    <mergeCell ref="B355:B358"/>
    <mergeCell ref="B387:B390"/>
    <mergeCell ref="B391:B394"/>
    <mergeCell ref="B395:B398"/>
    <mergeCell ref="B399:B402"/>
    <mergeCell ref="B403:B406"/>
    <mergeCell ref="B407:B410"/>
    <mergeCell ref="B359:B362"/>
    <mergeCell ref="B363:B366"/>
    <mergeCell ref="B367:B370"/>
    <mergeCell ref="B371:B378"/>
    <mergeCell ref="B379:B382"/>
    <mergeCell ref="B383:B386"/>
    <mergeCell ref="B411:B414"/>
    <mergeCell ref="B415:B417"/>
    <mergeCell ref="B296:B299"/>
    <mergeCell ref="B300:B303"/>
    <mergeCell ref="B304:B307"/>
    <mergeCell ref="B308:B312"/>
    <mergeCell ref="B313:B316"/>
    <mergeCell ref="B317:B320"/>
    <mergeCell ref="A253:A335"/>
    <mergeCell ref="B253:B256"/>
    <mergeCell ref="B257:B260"/>
    <mergeCell ref="B261:B264"/>
    <mergeCell ref="B265:B271"/>
    <mergeCell ref="B272:B275"/>
    <mergeCell ref="B276:B279"/>
    <mergeCell ref="B280:B283"/>
    <mergeCell ref="B284:B287"/>
    <mergeCell ref="B288:B295"/>
    <mergeCell ref="B321:B324"/>
    <mergeCell ref="B325:B328"/>
    <mergeCell ref="B329:B332"/>
    <mergeCell ref="B333:B335"/>
    <mergeCell ref="A170:A252"/>
    <mergeCell ref="B170:B173"/>
    <mergeCell ref="B174:B177"/>
    <mergeCell ref="B178:B181"/>
    <mergeCell ref="B182:B188"/>
    <mergeCell ref="B189:B192"/>
    <mergeCell ref="B193:B196"/>
    <mergeCell ref="B197:B200"/>
    <mergeCell ref="B230:B233"/>
    <mergeCell ref="B234:B237"/>
    <mergeCell ref="B238:B241"/>
    <mergeCell ref="B242:B245"/>
    <mergeCell ref="B246:B249"/>
    <mergeCell ref="B250:B252"/>
    <mergeCell ref="B201:B204"/>
    <mergeCell ref="B205:B212"/>
    <mergeCell ref="B213:B216"/>
    <mergeCell ref="B217:B220"/>
    <mergeCell ref="B221:B224"/>
    <mergeCell ref="B225:B229"/>
    <mergeCell ref="A87:A169"/>
    <mergeCell ref="B87:B90"/>
    <mergeCell ref="B91:B94"/>
    <mergeCell ref="B95:B98"/>
    <mergeCell ref="B99:B105"/>
    <mergeCell ref="B106:B109"/>
    <mergeCell ref="B138:B141"/>
    <mergeCell ref="B142:B146"/>
    <mergeCell ref="B147:B150"/>
    <mergeCell ref="B151:B154"/>
    <mergeCell ref="B155:B158"/>
    <mergeCell ref="B159:B162"/>
    <mergeCell ref="B110:B113"/>
    <mergeCell ref="B114:B117"/>
    <mergeCell ref="B118:B121"/>
    <mergeCell ref="B122:B129"/>
    <mergeCell ref="B130:B133"/>
    <mergeCell ref="B134:B137"/>
    <mergeCell ref="B163:B166"/>
    <mergeCell ref="B167:B169"/>
    <mergeCell ref="B47:B50"/>
    <mergeCell ref="B51:B54"/>
    <mergeCell ref="B55:B58"/>
    <mergeCell ref="B59:B63"/>
    <mergeCell ref="B64:B67"/>
    <mergeCell ref="B68:B71"/>
    <mergeCell ref="A4:A86"/>
    <mergeCell ref="B4:B7"/>
    <mergeCell ref="B8:B11"/>
    <mergeCell ref="B12:B15"/>
    <mergeCell ref="B16:B22"/>
    <mergeCell ref="B23:B26"/>
    <mergeCell ref="B27:B30"/>
    <mergeCell ref="B31:B34"/>
    <mergeCell ref="B35:B38"/>
    <mergeCell ref="B39:B46"/>
    <mergeCell ref="B72:B75"/>
    <mergeCell ref="B76:B79"/>
    <mergeCell ref="B80:B83"/>
    <mergeCell ref="B84:B8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spitale contractat realizat dec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2023-09-26T11:24:34Z</dcterms:created>
  <dcterms:modified xsi:type="dcterms:W3CDTF">2023-09-27T07:35:17Z</dcterms:modified>
</cp:coreProperties>
</file>