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SPIATALE CONT-RELIZ.-DEC. SEM I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1" i="1"/>
  <c r="D161"/>
  <c r="L264"/>
  <c r="L265"/>
  <c r="L267"/>
  <c r="L268"/>
  <c r="L269"/>
  <c r="L271"/>
  <c r="L272"/>
  <c r="L273"/>
  <c r="L283"/>
  <c r="L284"/>
  <c r="L287"/>
  <c r="L288"/>
  <c r="L302"/>
  <c r="L303"/>
  <c r="H264"/>
  <c r="H265"/>
  <c r="H267"/>
  <c r="H268"/>
  <c r="H269"/>
  <c r="H271"/>
  <c r="H272"/>
  <c r="H273"/>
  <c r="H278"/>
  <c r="H279"/>
  <c r="H280"/>
  <c r="H282"/>
  <c r="H283"/>
  <c r="H284"/>
  <c r="H286"/>
  <c r="H287"/>
  <c r="H288"/>
  <c r="H290"/>
  <c r="H291"/>
  <c r="H292"/>
  <c r="H302"/>
  <c r="H303"/>
  <c r="G264"/>
  <c r="G265"/>
  <c r="G268"/>
  <c r="G269"/>
  <c r="G272"/>
  <c r="G273"/>
  <c r="G278"/>
  <c r="G279"/>
  <c r="G283"/>
  <c r="G284"/>
  <c r="G287"/>
  <c r="G288"/>
  <c r="G292"/>
  <c r="G302"/>
  <c r="G303"/>
  <c r="H263"/>
  <c r="I263"/>
  <c r="J263"/>
  <c r="E264"/>
  <c r="E265"/>
  <c r="E268"/>
  <c r="E269"/>
  <c r="E272"/>
  <c r="E273"/>
  <c r="E278"/>
  <c r="E279"/>
  <c r="E283"/>
  <c r="E284"/>
  <c r="E287"/>
  <c r="E288"/>
  <c r="E291"/>
  <c r="E292"/>
  <c r="E303"/>
  <c r="D264"/>
  <c r="D265"/>
  <c r="D268"/>
  <c r="D269"/>
  <c r="D272"/>
  <c r="D273"/>
  <c r="D278"/>
  <c r="D279"/>
  <c r="D283"/>
  <c r="D284"/>
  <c r="D287"/>
  <c r="D288"/>
  <c r="D291"/>
  <c r="D302"/>
  <c r="D303"/>
  <c r="F88"/>
  <c r="F87"/>
  <c r="K87" s="1"/>
  <c r="L81"/>
  <c r="J81"/>
  <c r="I81"/>
  <c r="H81"/>
  <c r="H85" s="1"/>
  <c r="H89" s="1"/>
  <c r="G81"/>
  <c r="E81"/>
  <c r="D81"/>
  <c r="J80"/>
  <c r="I80"/>
  <c r="H80"/>
  <c r="H84" s="1"/>
  <c r="E80"/>
  <c r="E84" s="1"/>
  <c r="D80"/>
  <c r="F80" s="1"/>
  <c r="J79"/>
  <c r="I79"/>
  <c r="I82" s="1"/>
  <c r="H79"/>
  <c r="J78"/>
  <c r="I78"/>
  <c r="H78"/>
  <c r="K77"/>
  <c r="F77"/>
  <c r="L76"/>
  <c r="L80" s="1"/>
  <c r="G76"/>
  <c r="K76" s="1"/>
  <c r="F76"/>
  <c r="L75"/>
  <c r="L78" s="1"/>
  <c r="G75"/>
  <c r="G78" s="1"/>
  <c r="E75"/>
  <c r="E78" s="1"/>
  <c r="D75"/>
  <c r="D78" s="1"/>
  <c r="J74"/>
  <c r="I74"/>
  <c r="H74"/>
  <c r="G74"/>
  <c r="K73"/>
  <c r="F73"/>
  <c r="K72"/>
  <c r="F72"/>
  <c r="L71"/>
  <c r="L74" s="1"/>
  <c r="E71"/>
  <c r="E74" s="1"/>
  <c r="D71"/>
  <c r="D74" s="1"/>
  <c r="J70"/>
  <c r="I70"/>
  <c r="H70"/>
  <c r="E70"/>
  <c r="K69"/>
  <c r="F69"/>
  <c r="K68"/>
  <c r="F68"/>
  <c r="L67"/>
  <c r="L70" s="1"/>
  <c r="G67"/>
  <c r="E67"/>
  <c r="D67"/>
  <c r="D70" s="1"/>
  <c r="H66"/>
  <c r="F64"/>
  <c r="K64" s="1"/>
  <c r="F63"/>
  <c r="K63" s="1"/>
  <c r="L62"/>
  <c r="L65" s="1"/>
  <c r="J62"/>
  <c r="J65" s="1"/>
  <c r="I62"/>
  <c r="I65" s="1"/>
  <c r="I85" s="1"/>
  <c r="I89" s="1"/>
  <c r="G62"/>
  <c r="G65" s="1"/>
  <c r="G85" s="1"/>
  <c r="G89" s="1"/>
  <c r="E62"/>
  <c r="E65" s="1"/>
  <c r="E85" s="1"/>
  <c r="E89" s="1"/>
  <c r="D62"/>
  <c r="D65" s="1"/>
  <c r="D85" s="1"/>
  <c r="D89" s="1"/>
  <c r="L61"/>
  <c r="J61"/>
  <c r="I61"/>
  <c r="G61"/>
  <c r="E61"/>
  <c r="D61"/>
  <c r="J60"/>
  <c r="J83" s="1"/>
  <c r="I60"/>
  <c r="L59"/>
  <c r="J59"/>
  <c r="I59"/>
  <c r="H59"/>
  <c r="K58"/>
  <c r="F58"/>
  <c r="K57"/>
  <c r="F57"/>
  <c r="G56"/>
  <c r="G59" s="1"/>
  <c r="E56"/>
  <c r="E59" s="1"/>
  <c r="D56"/>
  <c r="D60" s="1"/>
  <c r="L55"/>
  <c r="J55"/>
  <c r="I55"/>
  <c r="H55"/>
  <c r="K54"/>
  <c r="F54"/>
  <c r="K53"/>
  <c r="F53"/>
  <c r="G52"/>
  <c r="G55" s="1"/>
  <c r="E52"/>
  <c r="E55" s="1"/>
  <c r="D52"/>
  <c r="D55" s="1"/>
  <c r="J51"/>
  <c r="I51"/>
  <c r="H51"/>
  <c r="D51"/>
  <c r="K50"/>
  <c r="F50"/>
  <c r="K49"/>
  <c r="F49"/>
  <c r="L48"/>
  <c r="L60" s="1"/>
  <c r="G48"/>
  <c r="G51" s="1"/>
  <c r="E48"/>
  <c r="E51" s="1"/>
  <c r="L307"/>
  <c r="G307"/>
  <c r="I282"/>
  <c r="J282"/>
  <c r="D307"/>
  <c r="F177"/>
  <c r="G177"/>
  <c r="K177" s="1"/>
  <c r="F178"/>
  <c r="K178"/>
  <c r="F179"/>
  <c r="K179"/>
  <c r="D180"/>
  <c r="E180"/>
  <c r="H180"/>
  <c r="I180"/>
  <c r="J180"/>
  <c r="L180"/>
  <c r="F181"/>
  <c r="K181"/>
  <c r="F182"/>
  <c r="K182"/>
  <c r="F183"/>
  <c r="K183"/>
  <c r="D184"/>
  <c r="E184"/>
  <c r="F184"/>
  <c r="G184"/>
  <c r="H184"/>
  <c r="I184"/>
  <c r="J184"/>
  <c r="K184"/>
  <c r="L184"/>
  <c r="F185"/>
  <c r="K185"/>
  <c r="F186"/>
  <c r="K186"/>
  <c r="F187"/>
  <c r="K187"/>
  <c r="D188"/>
  <c r="E188"/>
  <c r="F188"/>
  <c r="G188"/>
  <c r="H188"/>
  <c r="I188"/>
  <c r="J188"/>
  <c r="K188"/>
  <c r="L188"/>
  <c r="D189"/>
  <c r="E189"/>
  <c r="G189"/>
  <c r="H189"/>
  <c r="I189"/>
  <c r="J189"/>
  <c r="L189"/>
  <c r="D190"/>
  <c r="E190"/>
  <c r="G190"/>
  <c r="H190"/>
  <c r="I190"/>
  <c r="J190"/>
  <c r="L190"/>
  <c r="D191"/>
  <c r="E191"/>
  <c r="G191"/>
  <c r="G194" s="1"/>
  <c r="H191"/>
  <c r="I191"/>
  <c r="J191"/>
  <c r="L191"/>
  <c r="K192"/>
  <c r="K193"/>
  <c r="F196"/>
  <c r="G196"/>
  <c r="K196" s="1"/>
  <c r="F197"/>
  <c r="K197"/>
  <c r="F198"/>
  <c r="K198"/>
  <c r="D199"/>
  <c r="E199"/>
  <c r="H199"/>
  <c r="I199"/>
  <c r="J199"/>
  <c r="L199"/>
  <c r="F200"/>
  <c r="G200"/>
  <c r="K200" s="1"/>
  <c r="F201"/>
  <c r="K201"/>
  <c r="F202"/>
  <c r="K202"/>
  <c r="D203"/>
  <c r="E203"/>
  <c r="H203"/>
  <c r="I203"/>
  <c r="J203"/>
  <c r="L203"/>
  <c r="F204"/>
  <c r="G204"/>
  <c r="K204" s="1"/>
  <c r="F205"/>
  <c r="G205"/>
  <c r="K205" s="1"/>
  <c r="F206"/>
  <c r="K206"/>
  <c r="D207"/>
  <c r="E207"/>
  <c r="H207"/>
  <c r="I207"/>
  <c r="J207"/>
  <c r="L207"/>
  <c r="D208"/>
  <c r="E208"/>
  <c r="H208"/>
  <c r="I208"/>
  <c r="J208"/>
  <c r="L208"/>
  <c r="D209"/>
  <c r="D213" s="1"/>
  <c r="E209"/>
  <c r="I209"/>
  <c r="J209"/>
  <c r="L209"/>
  <c r="L213" s="1"/>
  <c r="D210"/>
  <c r="D214" s="1"/>
  <c r="E210"/>
  <c r="E214" s="1"/>
  <c r="G210"/>
  <c r="H210"/>
  <c r="H211" s="1"/>
  <c r="I210"/>
  <c r="I214" s="1"/>
  <c r="J210"/>
  <c r="J214" s="1"/>
  <c r="L210"/>
  <c r="L211" s="1"/>
  <c r="H212"/>
  <c r="H213"/>
  <c r="K216"/>
  <c r="J303"/>
  <c r="I303"/>
  <c r="J292"/>
  <c r="I292"/>
  <c r="J291"/>
  <c r="I291"/>
  <c r="J290"/>
  <c r="I290"/>
  <c r="J288"/>
  <c r="I288"/>
  <c r="J287"/>
  <c r="I287"/>
  <c r="J286"/>
  <c r="I286"/>
  <c r="J284"/>
  <c r="I284"/>
  <c r="J283"/>
  <c r="I283"/>
  <c r="J273"/>
  <c r="I273"/>
  <c r="J272"/>
  <c r="I272"/>
  <c r="J271"/>
  <c r="I271"/>
  <c r="J269"/>
  <c r="I269"/>
  <c r="J268"/>
  <c r="I268"/>
  <c r="J267"/>
  <c r="I267"/>
  <c r="J265"/>
  <c r="I265"/>
  <c r="J264"/>
  <c r="I264"/>
  <c r="J259"/>
  <c r="J302" s="1"/>
  <c r="J307" s="1"/>
  <c r="I259"/>
  <c r="I302" s="1"/>
  <c r="I307" s="1"/>
  <c r="E259"/>
  <c r="E302" s="1"/>
  <c r="L253"/>
  <c r="J253"/>
  <c r="I253"/>
  <c r="H253"/>
  <c r="G253"/>
  <c r="E253"/>
  <c r="D253"/>
  <c r="L252"/>
  <c r="J252"/>
  <c r="I252"/>
  <c r="G252"/>
  <c r="E252"/>
  <c r="E256" s="1"/>
  <c r="D252"/>
  <c r="L251"/>
  <c r="J251"/>
  <c r="I251"/>
  <c r="H251"/>
  <c r="G251"/>
  <c r="E251"/>
  <c r="D251"/>
  <c r="L250"/>
  <c r="J250"/>
  <c r="I250"/>
  <c r="H250"/>
  <c r="G250"/>
  <c r="E250"/>
  <c r="D250"/>
  <c r="K249"/>
  <c r="F249"/>
  <c r="K248"/>
  <c r="F248"/>
  <c r="K247"/>
  <c r="K250" s="1"/>
  <c r="F247"/>
  <c r="F250" s="1"/>
  <c r="L246"/>
  <c r="J246"/>
  <c r="I246"/>
  <c r="H246"/>
  <c r="G246"/>
  <c r="E246"/>
  <c r="D246"/>
  <c r="K245"/>
  <c r="F245"/>
  <c r="K244"/>
  <c r="F244"/>
  <c r="K243"/>
  <c r="K246" s="1"/>
  <c r="F243"/>
  <c r="F246" s="1"/>
  <c r="L242"/>
  <c r="J242"/>
  <c r="I242"/>
  <c r="H242"/>
  <c r="G242"/>
  <c r="E242"/>
  <c r="D242"/>
  <c r="K241"/>
  <c r="F241"/>
  <c r="K240"/>
  <c r="F240"/>
  <c r="K239"/>
  <c r="K242" s="1"/>
  <c r="F239"/>
  <c r="F242" s="1"/>
  <c r="F236"/>
  <c r="K236" s="1"/>
  <c r="F235"/>
  <c r="L234"/>
  <c r="J234"/>
  <c r="I234"/>
  <c r="H234"/>
  <c r="G234"/>
  <c r="E234"/>
  <c r="D234"/>
  <c r="L233"/>
  <c r="J233"/>
  <c r="I233"/>
  <c r="H233"/>
  <c r="H256" s="1"/>
  <c r="G233"/>
  <c r="E233"/>
  <c r="D233"/>
  <c r="L232"/>
  <c r="J232"/>
  <c r="I232"/>
  <c r="H232"/>
  <c r="G232"/>
  <c r="E232"/>
  <c r="D232"/>
  <c r="L231"/>
  <c r="J231"/>
  <c r="I231"/>
  <c r="H231"/>
  <c r="G231"/>
  <c r="E231"/>
  <c r="D231"/>
  <c r="K230"/>
  <c r="F230"/>
  <c r="K229"/>
  <c r="F229"/>
  <c r="K228"/>
  <c r="K231" s="1"/>
  <c r="F228"/>
  <c r="F231" s="1"/>
  <c r="L227"/>
  <c r="J227"/>
  <c r="I227"/>
  <c r="H227"/>
  <c r="G227"/>
  <c r="E227"/>
  <c r="D227"/>
  <c r="K226"/>
  <c r="F226"/>
  <c r="K225"/>
  <c r="F225"/>
  <c r="K224"/>
  <c r="K227" s="1"/>
  <c r="F224"/>
  <c r="F227" s="1"/>
  <c r="L223"/>
  <c r="J223"/>
  <c r="I223"/>
  <c r="H223"/>
  <c r="G223"/>
  <c r="E223"/>
  <c r="D223"/>
  <c r="K222"/>
  <c r="F222"/>
  <c r="K221"/>
  <c r="F221"/>
  <c r="K220"/>
  <c r="K223" s="1"/>
  <c r="F220"/>
  <c r="F223" s="1"/>
  <c r="K217"/>
  <c r="F174"/>
  <c r="F173"/>
  <c r="K173" s="1"/>
  <c r="J167"/>
  <c r="I167"/>
  <c r="H167"/>
  <c r="G167"/>
  <c r="E167"/>
  <c r="D167"/>
  <c r="J166"/>
  <c r="I166"/>
  <c r="G166"/>
  <c r="E166"/>
  <c r="D166"/>
  <c r="J165"/>
  <c r="I165"/>
  <c r="H165"/>
  <c r="G165"/>
  <c r="J164"/>
  <c r="I164"/>
  <c r="H164"/>
  <c r="G164"/>
  <c r="L163"/>
  <c r="L292" s="1"/>
  <c r="K163"/>
  <c r="F163"/>
  <c r="L162"/>
  <c r="L166" s="1"/>
  <c r="K162"/>
  <c r="F162"/>
  <c r="L161"/>
  <c r="J160"/>
  <c r="I160"/>
  <c r="H160"/>
  <c r="G160"/>
  <c r="E160"/>
  <c r="K159"/>
  <c r="F159"/>
  <c r="K158"/>
  <c r="F158"/>
  <c r="L157"/>
  <c r="L160" s="1"/>
  <c r="D157"/>
  <c r="D160" s="1"/>
  <c r="J156"/>
  <c r="I156"/>
  <c r="H156"/>
  <c r="G156"/>
  <c r="E156"/>
  <c r="K155"/>
  <c r="F155"/>
  <c r="K154"/>
  <c r="F154"/>
  <c r="L153"/>
  <c r="L156" s="1"/>
  <c r="D153"/>
  <c r="D156" s="1"/>
  <c r="L150"/>
  <c r="L279" s="1"/>
  <c r="F150"/>
  <c r="K150" s="1"/>
  <c r="F149"/>
  <c r="K149" s="1"/>
  <c r="L148"/>
  <c r="L149" s="1"/>
  <c r="J148"/>
  <c r="I148"/>
  <c r="H148"/>
  <c r="G148"/>
  <c r="E148"/>
  <c r="E151" s="1"/>
  <c r="D148"/>
  <c r="D151" s="1"/>
  <c r="L147"/>
  <c r="J147"/>
  <c r="I147"/>
  <c r="H147"/>
  <c r="H170" s="1"/>
  <c r="G147"/>
  <c r="E147"/>
  <c r="D147"/>
  <c r="D170" s="1"/>
  <c r="J146"/>
  <c r="J152" s="1"/>
  <c r="I146"/>
  <c r="I152" s="1"/>
  <c r="H146"/>
  <c r="H275" s="1"/>
  <c r="G146"/>
  <c r="G169" s="1"/>
  <c r="L145"/>
  <c r="J145"/>
  <c r="I145"/>
  <c r="H145"/>
  <c r="G145"/>
  <c r="K144"/>
  <c r="F144"/>
  <c r="K143"/>
  <c r="F143"/>
  <c r="E142"/>
  <c r="E145" s="1"/>
  <c r="D142"/>
  <c r="D145" s="1"/>
  <c r="L141"/>
  <c r="J141"/>
  <c r="I141"/>
  <c r="H141"/>
  <c r="G141"/>
  <c r="E141"/>
  <c r="K140"/>
  <c r="F140"/>
  <c r="K139"/>
  <c r="F139"/>
  <c r="D138"/>
  <c r="F138" s="1"/>
  <c r="J137"/>
  <c r="I137"/>
  <c r="H137"/>
  <c r="G137"/>
  <c r="E137"/>
  <c r="K136"/>
  <c r="F136"/>
  <c r="K135"/>
  <c r="F135"/>
  <c r="L134"/>
  <c r="L146" s="1"/>
  <c r="D134"/>
  <c r="F134" s="1"/>
  <c r="F137" s="1"/>
  <c r="F131"/>
  <c r="K131" s="1"/>
  <c r="F130"/>
  <c r="K130" s="1"/>
  <c r="H127"/>
  <c r="L124"/>
  <c r="L128" s="1"/>
  <c r="J124"/>
  <c r="I124"/>
  <c r="H124"/>
  <c r="H128" s="1"/>
  <c r="G124"/>
  <c r="E124"/>
  <c r="L123"/>
  <c r="L127" s="1"/>
  <c r="J123"/>
  <c r="I123"/>
  <c r="G123"/>
  <c r="G127" s="1"/>
  <c r="E123"/>
  <c r="E127" s="1"/>
  <c r="D123"/>
  <c r="J122"/>
  <c r="I122"/>
  <c r="H122"/>
  <c r="H126" s="1"/>
  <c r="J121"/>
  <c r="I121"/>
  <c r="H121"/>
  <c r="G121"/>
  <c r="D120"/>
  <c r="D292" s="1"/>
  <c r="K119"/>
  <c r="F119"/>
  <c r="L118"/>
  <c r="L121" s="1"/>
  <c r="E118"/>
  <c r="E121" s="1"/>
  <c r="D118"/>
  <c r="J117"/>
  <c r="I117"/>
  <c r="H117"/>
  <c r="G117"/>
  <c r="D117"/>
  <c r="K116"/>
  <c r="F116"/>
  <c r="K115"/>
  <c r="F115"/>
  <c r="L114"/>
  <c r="L117" s="1"/>
  <c r="E114"/>
  <c r="K114" s="1"/>
  <c r="J113"/>
  <c r="I113"/>
  <c r="H113"/>
  <c r="K112"/>
  <c r="F112"/>
  <c r="K111"/>
  <c r="F111"/>
  <c r="L110"/>
  <c r="L113" s="1"/>
  <c r="G110"/>
  <c r="G122" s="1"/>
  <c r="E110"/>
  <c r="E113" s="1"/>
  <c r="D110"/>
  <c r="D113" s="1"/>
  <c r="H109"/>
  <c r="F107"/>
  <c r="K107" s="1"/>
  <c r="F106"/>
  <c r="K106" s="1"/>
  <c r="J105"/>
  <c r="J108" s="1"/>
  <c r="I105"/>
  <c r="I108" s="1"/>
  <c r="H105"/>
  <c r="H277" s="1"/>
  <c r="G105"/>
  <c r="G108" s="1"/>
  <c r="E105"/>
  <c r="E108" s="1"/>
  <c r="D105"/>
  <c r="D108" s="1"/>
  <c r="J104"/>
  <c r="I104"/>
  <c r="H104"/>
  <c r="H276" s="1"/>
  <c r="G104"/>
  <c r="E104"/>
  <c r="D104"/>
  <c r="J103"/>
  <c r="I103"/>
  <c r="L102"/>
  <c r="J102"/>
  <c r="I102"/>
  <c r="H102"/>
  <c r="G102"/>
  <c r="D102"/>
  <c r="K101"/>
  <c r="F101"/>
  <c r="K100"/>
  <c r="F100"/>
  <c r="E99"/>
  <c r="L98"/>
  <c r="J98"/>
  <c r="I98"/>
  <c r="H98"/>
  <c r="K97"/>
  <c r="F97"/>
  <c r="K96"/>
  <c r="F96"/>
  <c r="G95"/>
  <c r="G98" s="1"/>
  <c r="E95"/>
  <c r="E98" s="1"/>
  <c r="D95"/>
  <c r="D98" s="1"/>
  <c r="J94"/>
  <c r="I94"/>
  <c r="H94"/>
  <c r="K93"/>
  <c r="F93"/>
  <c r="K92"/>
  <c r="F92"/>
  <c r="L91"/>
  <c r="L94" s="1"/>
  <c r="G91"/>
  <c r="G94" s="1"/>
  <c r="E91"/>
  <c r="E94" s="1"/>
  <c r="D91"/>
  <c r="D94" s="1"/>
  <c r="F45"/>
  <c r="F303" s="1"/>
  <c r="F44"/>
  <c r="H42"/>
  <c r="H46" s="1"/>
  <c r="H41"/>
  <c r="H299" s="1"/>
  <c r="H40"/>
  <c r="H39"/>
  <c r="L38"/>
  <c r="J38"/>
  <c r="I38"/>
  <c r="G38"/>
  <c r="G296" s="1"/>
  <c r="E38"/>
  <c r="E296" s="1"/>
  <c r="D38"/>
  <c r="L37"/>
  <c r="L295" s="1"/>
  <c r="J37"/>
  <c r="I37"/>
  <c r="G37"/>
  <c r="G41" s="1"/>
  <c r="E37"/>
  <c r="E295" s="1"/>
  <c r="D37"/>
  <c r="D295" s="1"/>
  <c r="J36"/>
  <c r="I36"/>
  <c r="J35"/>
  <c r="I35"/>
  <c r="H35"/>
  <c r="H293" s="1"/>
  <c r="K34"/>
  <c r="F34"/>
  <c r="K33"/>
  <c r="K291" s="1"/>
  <c r="F33"/>
  <c r="F291" s="1"/>
  <c r="L32"/>
  <c r="L290" s="1"/>
  <c r="G32"/>
  <c r="G290" s="1"/>
  <c r="E32"/>
  <c r="E290" s="1"/>
  <c r="D32"/>
  <c r="D290" s="1"/>
  <c r="J31"/>
  <c r="I31"/>
  <c r="H31"/>
  <c r="H289" s="1"/>
  <c r="G31"/>
  <c r="D31"/>
  <c r="D289" s="1"/>
  <c r="K30"/>
  <c r="K288" s="1"/>
  <c r="F30"/>
  <c r="F288" s="1"/>
  <c r="K29"/>
  <c r="K287" s="1"/>
  <c r="F29"/>
  <c r="F287" s="1"/>
  <c r="L28"/>
  <c r="L286" s="1"/>
  <c r="E28"/>
  <c r="E286" s="1"/>
  <c r="J27"/>
  <c r="I27"/>
  <c r="H27"/>
  <c r="H285" s="1"/>
  <c r="K26"/>
  <c r="K284" s="1"/>
  <c r="F26"/>
  <c r="F284" s="1"/>
  <c r="K25"/>
  <c r="K283" s="1"/>
  <c r="F25"/>
  <c r="F283" s="1"/>
  <c r="L24"/>
  <c r="L282" s="1"/>
  <c r="G24"/>
  <c r="G282" s="1"/>
  <c r="E24"/>
  <c r="E282" s="1"/>
  <c r="D24"/>
  <c r="D282" s="1"/>
  <c r="F21"/>
  <c r="F279" s="1"/>
  <c r="F20"/>
  <c r="F278" s="1"/>
  <c r="L19"/>
  <c r="L277" s="1"/>
  <c r="J19"/>
  <c r="I19"/>
  <c r="G19"/>
  <c r="G277" s="1"/>
  <c r="E19"/>
  <c r="E277" s="1"/>
  <c r="D19"/>
  <c r="D277" s="1"/>
  <c r="L18"/>
  <c r="L276" s="1"/>
  <c r="J18"/>
  <c r="I18"/>
  <c r="G18"/>
  <c r="G276" s="1"/>
  <c r="E18"/>
  <c r="E276" s="1"/>
  <c r="D18"/>
  <c r="D276" s="1"/>
  <c r="J17"/>
  <c r="I17"/>
  <c r="L16"/>
  <c r="L274" s="1"/>
  <c r="J16"/>
  <c r="I16"/>
  <c r="H16"/>
  <c r="H274" s="1"/>
  <c r="D16"/>
  <c r="K15"/>
  <c r="K273" s="1"/>
  <c r="F15"/>
  <c r="F273" s="1"/>
  <c r="K14"/>
  <c r="K272" s="1"/>
  <c r="F14"/>
  <c r="F272" s="1"/>
  <c r="G13"/>
  <c r="G271" s="1"/>
  <c r="E13"/>
  <c r="E271" s="1"/>
  <c r="L12"/>
  <c r="L270" s="1"/>
  <c r="J12"/>
  <c r="I12"/>
  <c r="H12"/>
  <c r="H270" s="1"/>
  <c r="K11"/>
  <c r="K269" s="1"/>
  <c r="F11"/>
  <c r="F269" s="1"/>
  <c r="K10"/>
  <c r="K268" s="1"/>
  <c r="F10"/>
  <c r="F268" s="1"/>
  <c r="G9"/>
  <c r="G267" s="1"/>
  <c r="E9"/>
  <c r="E267" s="1"/>
  <c r="D9"/>
  <c r="D267" s="1"/>
  <c r="J8"/>
  <c r="I8"/>
  <c r="H8"/>
  <c r="H266" s="1"/>
  <c r="K7"/>
  <c r="K265" s="1"/>
  <c r="F7"/>
  <c r="F265" s="1"/>
  <c r="K6"/>
  <c r="K264" s="1"/>
  <c r="F6"/>
  <c r="F264" s="1"/>
  <c r="L5"/>
  <c r="L263" s="1"/>
  <c r="G5"/>
  <c r="G263" s="1"/>
  <c r="E5"/>
  <c r="E263" s="1"/>
  <c r="D5"/>
  <c r="D263" s="1"/>
  <c r="H82" l="1"/>
  <c r="H86" s="1"/>
  <c r="D271"/>
  <c r="H295"/>
  <c r="L291"/>
  <c r="E307"/>
  <c r="G286"/>
  <c r="H296"/>
  <c r="G291"/>
  <c r="D286"/>
  <c r="H294"/>
  <c r="F81"/>
  <c r="K48"/>
  <c r="K51" s="1"/>
  <c r="K62"/>
  <c r="K67"/>
  <c r="K70" s="1"/>
  <c r="F62"/>
  <c r="F65" s="1"/>
  <c r="F85" s="1"/>
  <c r="F89" s="1"/>
  <c r="K89" s="1"/>
  <c r="F75"/>
  <c r="F48"/>
  <c r="F51" s="1"/>
  <c r="L51"/>
  <c r="L66" s="1"/>
  <c r="K61"/>
  <c r="I66"/>
  <c r="I86" s="1"/>
  <c r="E82"/>
  <c r="K81"/>
  <c r="F61"/>
  <c r="D59"/>
  <c r="D274" s="1"/>
  <c r="K65"/>
  <c r="F84"/>
  <c r="L85"/>
  <c r="L89" s="1"/>
  <c r="L63"/>
  <c r="L84" s="1"/>
  <c r="D66"/>
  <c r="J85"/>
  <c r="J89" s="1"/>
  <c r="J90" s="1"/>
  <c r="J63"/>
  <c r="J84" s="1"/>
  <c r="D82"/>
  <c r="L82"/>
  <c r="G60"/>
  <c r="F78"/>
  <c r="E79"/>
  <c r="J82"/>
  <c r="I83"/>
  <c r="I90" s="1"/>
  <c r="D84"/>
  <c r="F52"/>
  <c r="F55" s="1"/>
  <c r="K56"/>
  <c r="F67"/>
  <c r="F70" s="1"/>
  <c r="K71"/>
  <c r="K74" s="1"/>
  <c r="D79"/>
  <c r="D83" s="1"/>
  <c r="L79"/>
  <c r="L83" s="1"/>
  <c r="L90" s="1"/>
  <c r="G80"/>
  <c r="G84" s="1"/>
  <c r="H83"/>
  <c r="H90" s="1"/>
  <c r="E60"/>
  <c r="I63"/>
  <c r="I84" s="1"/>
  <c r="J66"/>
  <c r="J86" s="1"/>
  <c r="G70"/>
  <c r="G82" s="1"/>
  <c r="F71"/>
  <c r="F74" s="1"/>
  <c r="K75"/>
  <c r="K78" s="1"/>
  <c r="G79"/>
  <c r="K79" s="1"/>
  <c r="K88"/>
  <c r="K52"/>
  <c r="K55" s="1"/>
  <c r="F56"/>
  <c r="L212"/>
  <c r="G180"/>
  <c r="G199"/>
  <c r="F180"/>
  <c r="F195" s="1"/>
  <c r="E211"/>
  <c r="K207"/>
  <c r="K180"/>
  <c r="F199"/>
  <c r="L214"/>
  <c r="I212"/>
  <c r="D195"/>
  <c r="J213"/>
  <c r="E212"/>
  <c r="F189"/>
  <c r="L195"/>
  <c r="L215" s="1"/>
  <c r="G203"/>
  <c r="G289" s="1"/>
  <c r="F203"/>
  <c r="K199"/>
  <c r="H195"/>
  <c r="H215" s="1"/>
  <c r="G207"/>
  <c r="F207"/>
  <c r="K203"/>
  <c r="K194"/>
  <c r="G195"/>
  <c r="K195" s="1"/>
  <c r="G214"/>
  <c r="G208"/>
  <c r="G212" s="1"/>
  <c r="E195"/>
  <c r="K190"/>
  <c r="D211"/>
  <c r="I213"/>
  <c r="F190"/>
  <c r="E213"/>
  <c r="F213" s="1"/>
  <c r="I211"/>
  <c r="G209"/>
  <c r="G213" s="1"/>
  <c r="F208"/>
  <c r="H214"/>
  <c r="J212"/>
  <c r="K191"/>
  <c r="K189"/>
  <c r="J195"/>
  <c r="F191"/>
  <c r="I195"/>
  <c r="F214"/>
  <c r="D212"/>
  <c r="K210"/>
  <c r="F210"/>
  <c r="F209"/>
  <c r="J211"/>
  <c r="J168"/>
  <c r="J293"/>
  <c r="I293"/>
  <c r="J270"/>
  <c r="J275"/>
  <c r="G255"/>
  <c r="L255"/>
  <c r="D257"/>
  <c r="I254"/>
  <c r="I277"/>
  <c r="J295"/>
  <c r="E171"/>
  <c r="E175" s="1"/>
  <c r="J266"/>
  <c r="I274"/>
  <c r="I276"/>
  <c r="I285"/>
  <c r="J289"/>
  <c r="I294"/>
  <c r="J296"/>
  <c r="F141"/>
  <c r="D255"/>
  <c r="I255"/>
  <c r="G254"/>
  <c r="I126"/>
  <c r="H255"/>
  <c r="D256"/>
  <c r="I128"/>
  <c r="I132" s="1"/>
  <c r="I266"/>
  <c r="I275"/>
  <c r="J277"/>
  <c r="I289"/>
  <c r="I296"/>
  <c r="E255"/>
  <c r="J255"/>
  <c r="F252"/>
  <c r="I270"/>
  <c r="J274"/>
  <c r="J276"/>
  <c r="J285"/>
  <c r="J294"/>
  <c r="I295"/>
  <c r="E128"/>
  <c r="J128"/>
  <c r="G113"/>
  <c r="G125" s="1"/>
  <c r="E257"/>
  <c r="E254"/>
  <c r="J254"/>
  <c r="K117"/>
  <c r="E8"/>
  <c r="E266" s="1"/>
  <c r="K45"/>
  <c r="J106"/>
  <c r="J127" s="1"/>
  <c r="I171"/>
  <c r="I175" s="1"/>
  <c r="G128"/>
  <c r="L22"/>
  <c r="G12"/>
  <c r="G270" s="1"/>
  <c r="F28"/>
  <c r="K105"/>
  <c r="K108" s="1"/>
  <c r="F104"/>
  <c r="J126"/>
  <c r="F161"/>
  <c r="F164" s="1"/>
  <c r="L31"/>
  <c r="L289" s="1"/>
  <c r="I125"/>
  <c r="K142"/>
  <c r="K148"/>
  <c r="K252"/>
  <c r="F13"/>
  <c r="D22"/>
  <c r="D280" s="1"/>
  <c r="F105"/>
  <c r="F108" s="1"/>
  <c r="G103"/>
  <c r="F114"/>
  <c r="F117" s="1"/>
  <c r="F142"/>
  <c r="F145" s="1"/>
  <c r="F148"/>
  <c r="L170"/>
  <c r="H171"/>
  <c r="H175" s="1"/>
  <c r="G256"/>
  <c r="F5"/>
  <c r="L8"/>
  <c r="H125"/>
  <c r="H129" s="1"/>
  <c r="E117"/>
  <c r="E125" s="1"/>
  <c r="K120"/>
  <c r="K124" s="1"/>
  <c r="J125"/>
  <c r="K138"/>
  <c r="K141" s="1"/>
  <c r="F147"/>
  <c r="L151"/>
  <c r="K157"/>
  <c r="K160" s="1"/>
  <c r="K161"/>
  <c r="K164" s="1"/>
  <c r="E164"/>
  <c r="E168" s="1"/>
  <c r="I170"/>
  <c r="J171"/>
  <c r="I238"/>
  <c r="I258" s="1"/>
  <c r="K234"/>
  <c r="H238"/>
  <c r="D8"/>
  <c r="E27"/>
  <c r="E285" s="1"/>
  <c r="E31"/>
  <c r="E289" s="1"/>
  <c r="F95"/>
  <c r="F98" s="1"/>
  <c r="E103"/>
  <c r="E109" s="1"/>
  <c r="L125"/>
  <c r="F120"/>
  <c r="F124" s="1"/>
  <c r="D124"/>
  <c r="D128" s="1"/>
  <c r="D132" s="1"/>
  <c r="E170"/>
  <c r="K153"/>
  <c r="K156" s="1"/>
  <c r="H168"/>
  <c r="F157"/>
  <c r="F160" s="1"/>
  <c r="I168"/>
  <c r="I172" s="1"/>
  <c r="G170"/>
  <c r="G299" s="1"/>
  <c r="F238"/>
  <c r="G238"/>
  <c r="L238"/>
  <c r="D254"/>
  <c r="E17"/>
  <c r="E16"/>
  <c r="G22"/>
  <c r="G280" s="1"/>
  <c r="E35"/>
  <c r="E293" s="1"/>
  <c r="E36"/>
  <c r="I39"/>
  <c r="K104"/>
  <c r="I106"/>
  <c r="I127" s="1"/>
  <c r="D121"/>
  <c r="D125" s="1"/>
  <c r="F123"/>
  <c r="K123"/>
  <c r="K127" s="1"/>
  <c r="D141"/>
  <c r="K147"/>
  <c r="E146"/>
  <c r="E152" s="1"/>
  <c r="J172"/>
  <c r="H152"/>
  <c r="H281" s="1"/>
  <c r="K167"/>
  <c r="L164"/>
  <c r="L168" s="1"/>
  <c r="F167"/>
  <c r="G168"/>
  <c r="F166"/>
  <c r="J170"/>
  <c r="G171"/>
  <c r="G175" s="1"/>
  <c r="E238"/>
  <c r="E258" s="1"/>
  <c r="F233"/>
  <c r="D238"/>
  <c r="F253"/>
  <c r="K253"/>
  <c r="J257"/>
  <c r="J261" s="1"/>
  <c r="J175"/>
  <c r="K24"/>
  <c r="K32"/>
  <c r="K238"/>
  <c r="E132"/>
  <c r="J219"/>
  <c r="D17"/>
  <c r="D36"/>
  <c r="H43"/>
  <c r="H132"/>
  <c r="H133" s="1"/>
  <c r="F170"/>
  <c r="I219"/>
  <c r="G218"/>
  <c r="K21"/>
  <c r="K279" s="1"/>
  <c r="G8"/>
  <c r="G266" s="1"/>
  <c r="F9"/>
  <c r="F267" s="1"/>
  <c r="E12"/>
  <c r="E270" s="1"/>
  <c r="G17"/>
  <c r="G275" s="1"/>
  <c r="L17"/>
  <c r="K20"/>
  <c r="J21"/>
  <c r="J22" s="1"/>
  <c r="F24"/>
  <c r="D27"/>
  <c r="D285" s="1"/>
  <c r="L27"/>
  <c r="L285" s="1"/>
  <c r="F32"/>
  <c r="D35"/>
  <c r="L35"/>
  <c r="L293" s="1"/>
  <c r="G36"/>
  <c r="G294" s="1"/>
  <c r="L36"/>
  <c r="J40"/>
  <c r="E41"/>
  <c r="E299" s="1"/>
  <c r="L42"/>
  <c r="G109"/>
  <c r="G132"/>
  <c r="J132"/>
  <c r="L132"/>
  <c r="F151"/>
  <c r="K151" s="1"/>
  <c r="D171"/>
  <c r="K9"/>
  <c r="K5"/>
  <c r="D12"/>
  <c r="D270" s="1"/>
  <c r="K13"/>
  <c r="G16"/>
  <c r="G274" s="1"/>
  <c r="F18"/>
  <c r="F276" s="1"/>
  <c r="K18"/>
  <c r="F19"/>
  <c r="K19"/>
  <c r="K277" s="1"/>
  <c r="I21"/>
  <c r="E22"/>
  <c r="G27"/>
  <c r="G285" s="1"/>
  <c r="K28"/>
  <c r="K286" s="1"/>
  <c r="F31"/>
  <c r="F289" s="1"/>
  <c r="G35"/>
  <c r="G293" s="1"/>
  <c r="F37"/>
  <c r="F295" s="1"/>
  <c r="K37"/>
  <c r="F38"/>
  <c r="F296" s="1"/>
  <c r="K38"/>
  <c r="K296" s="1"/>
  <c r="J39"/>
  <c r="E40"/>
  <c r="I40"/>
  <c r="D41"/>
  <c r="K44"/>
  <c r="H47"/>
  <c r="L109"/>
  <c r="L129" s="1"/>
  <c r="E102"/>
  <c r="D103"/>
  <c r="J109"/>
  <c r="J129" s="1"/>
  <c r="G126"/>
  <c r="F127"/>
  <c r="D137"/>
  <c r="L137"/>
  <c r="L152" s="1"/>
  <c r="K145"/>
  <c r="F146"/>
  <c r="E165"/>
  <c r="L167"/>
  <c r="L171" s="1"/>
  <c r="J169"/>
  <c r="K232"/>
  <c r="J256"/>
  <c r="I257"/>
  <c r="K255"/>
  <c r="E261"/>
  <c r="E262" s="1"/>
  <c r="K91"/>
  <c r="K94" s="1"/>
  <c r="L103"/>
  <c r="I109"/>
  <c r="I129" s="1"/>
  <c r="K110"/>
  <c r="K113" s="1"/>
  <c r="E122"/>
  <c r="E126" s="1"/>
  <c r="G152"/>
  <c r="G172" s="1"/>
  <c r="D165"/>
  <c r="L165"/>
  <c r="L169" s="1"/>
  <c r="I169"/>
  <c r="F232"/>
  <c r="I256"/>
  <c r="H257"/>
  <c r="F256"/>
  <c r="F259"/>
  <c r="K235"/>
  <c r="K259" s="1"/>
  <c r="K95"/>
  <c r="K98" s="1"/>
  <c r="K99"/>
  <c r="K118"/>
  <c r="K121" s="1"/>
  <c r="D122"/>
  <c r="L122"/>
  <c r="D127"/>
  <c r="K134"/>
  <c r="K137" s="1"/>
  <c r="D146"/>
  <c r="F153"/>
  <c r="F156" s="1"/>
  <c r="D164"/>
  <c r="D168" s="1"/>
  <c r="K166"/>
  <c r="H169"/>
  <c r="H298" s="1"/>
  <c r="H306" s="1"/>
  <c r="H219"/>
  <c r="F234"/>
  <c r="J238"/>
  <c r="J258" s="1"/>
  <c r="L256"/>
  <c r="G257"/>
  <c r="L257"/>
  <c r="F257"/>
  <c r="F91"/>
  <c r="F94" s="1"/>
  <c r="F99"/>
  <c r="F110"/>
  <c r="F113" s="1"/>
  <c r="F118"/>
  <c r="K233"/>
  <c r="E237"/>
  <c r="F237" s="1"/>
  <c r="K237" s="1"/>
  <c r="K251"/>
  <c r="F255"/>
  <c r="F251"/>
  <c r="F254" s="1"/>
  <c r="F258" s="1"/>
  <c r="H254"/>
  <c r="H258" s="1"/>
  <c r="L254"/>
  <c r="L258" s="1"/>
  <c r="K302" l="1"/>
  <c r="F277"/>
  <c r="K271"/>
  <c r="D293"/>
  <c r="F282"/>
  <c r="K282"/>
  <c r="D266"/>
  <c r="L266"/>
  <c r="D296"/>
  <c r="F16"/>
  <c r="F271"/>
  <c r="K267"/>
  <c r="L275"/>
  <c r="D275"/>
  <c r="K290"/>
  <c r="L280"/>
  <c r="G295"/>
  <c r="F292"/>
  <c r="L296"/>
  <c r="K263"/>
  <c r="L300"/>
  <c r="K278"/>
  <c r="D294"/>
  <c r="E294"/>
  <c r="E275"/>
  <c r="H297"/>
  <c r="D299"/>
  <c r="E280"/>
  <c r="K276"/>
  <c r="L294"/>
  <c r="F290"/>
  <c r="E274"/>
  <c r="F263"/>
  <c r="F286"/>
  <c r="H300"/>
  <c r="F302"/>
  <c r="F307" s="1"/>
  <c r="K292"/>
  <c r="F82"/>
  <c r="L86"/>
  <c r="K85"/>
  <c r="K80"/>
  <c r="K84" s="1"/>
  <c r="D90"/>
  <c r="K82"/>
  <c r="K60"/>
  <c r="K66" s="1"/>
  <c r="K59"/>
  <c r="G83"/>
  <c r="G90" s="1"/>
  <c r="G66"/>
  <c r="G86" s="1"/>
  <c r="D86"/>
  <c r="F79"/>
  <c r="F59"/>
  <c r="F60"/>
  <c r="F66" s="1"/>
  <c r="E66"/>
  <c r="E86" s="1"/>
  <c r="E83"/>
  <c r="E90" s="1"/>
  <c r="K254"/>
  <c r="E169"/>
  <c r="E298" s="1"/>
  <c r="E306" s="1"/>
  <c r="J133"/>
  <c r="J262"/>
  <c r="I133"/>
  <c r="G42"/>
  <c r="G300" s="1"/>
  <c r="G258"/>
  <c r="H172"/>
  <c r="H301" s="1"/>
  <c r="K214"/>
  <c r="K208"/>
  <c r="K307"/>
  <c r="L20"/>
  <c r="D215"/>
  <c r="E39"/>
  <c r="E297" s="1"/>
  <c r="F8"/>
  <c r="F266" s="1"/>
  <c r="F17"/>
  <c r="D42"/>
  <c r="D300" s="1"/>
  <c r="J215"/>
  <c r="E215"/>
  <c r="K170"/>
  <c r="K209"/>
  <c r="K295" s="1"/>
  <c r="F212"/>
  <c r="K211"/>
  <c r="K215" s="1"/>
  <c r="G211"/>
  <c r="I215"/>
  <c r="K213"/>
  <c r="F152"/>
  <c r="I297"/>
  <c r="K168"/>
  <c r="F211"/>
  <c r="F215" s="1"/>
  <c r="F128"/>
  <c r="G215"/>
  <c r="K212"/>
  <c r="K36"/>
  <c r="D258"/>
  <c r="E172"/>
  <c r="G129"/>
  <c r="K125"/>
  <c r="F132"/>
  <c r="L172"/>
  <c r="K165"/>
  <c r="K257"/>
  <c r="K128"/>
  <c r="E133"/>
  <c r="D169"/>
  <c r="K169" s="1"/>
  <c r="D152"/>
  <c r="D172" s="1"/>
  <c r="E42"/>
  <c r="E300" s="1"/>
  <c r="K17"/>
  <c r="K16"/>
  <c r="K274" s="1"/>
  <c r="J298"/>
  <c r="J306" s="1"/>
  <c r="G39"/>
  <c r="G40"/>
  <c r="G298" s="1"/>
  <c r="G306" s="1"/>
  <c r="G23"/>
  <c r="G281" s="1"/>
  <c r="D39"/>
  <c r="D297" s="1"/>
  <c r="K27"/>
  <c r="K285" s="1"/>
  <c r="F22"/>
  <c r="F280" s="1"/>
  <c r="K258"/>
  <c r="K122"/>
  <c r="F102"/>
  <c r="F103"/>
  <c r="F109" s="1"/>
  <c r="G261"/>
  <c r="G262" s="1"/>
  <c r="K103"/>
  <c r="K109" s="1"/>
  <c r="K129" s="1"/>
  <c r="K102"/>
  <c r="L126"/>
  <c r="L106"/>
  <c r="K256"/>
  <c r="L175"/>
  <c r="L176" s="1"/>
  <c r="D126"/>
  <c r="D109"/>
  <c r="D129" s="1"/>
  <c r="K31"/>
  <c r="K289" s="1"/>
  <c r="J280"/>
  <c r="J42"/>
  <c r="K8"/>
  <c r="K266" s="1"/>
  <c r="L39"/>
  <c r="L297" s="1"/>
  <c r="F36"/>
  <c r="F35"/>
  <c r="F27"/>
  <c r="F285" s="1"/>
  <c r="L23"/>
  <c r="L281" s="1"/>
  <c r="L40"/>
  <c r="J297"/>
  <c r="H261"/>
  <c r="H262" s="1"/>
  <c r="E176"/>
  <c r="I261"/>
  <c r="I262" s="1"/>
  <c r="K22"/>
  <c r="K280" s="1"/>
  <c r="K12"/>
  <c r="K270" s="1"/>
  <c r="K41"/>
  <c r="K299" s="1"/>
  <c r="F12"/>
  <c r="F270" s="1"/>
  <c r="E23"/>
  <c r="E281" s="1"/>
  <c r="K146"/>
  <c r="K152" s="1"/>
  <c r="K172" s="1"/>
  <c r="F41"/>
  <c r="F299" s="1"/>
  <c r="F165"/>
  <c r="L261"/>
  <c r="L262" s="1"/>
  <c r="F121"/>
  <c r="F125" s="1"/>
  <c r="F122"/>
  <c r="F261"/>
  <c r="F262" s="1"/>
  <c r="G133"/>
  <c r="G46"/>
  <c r="G304" s="1"/>
  <c r="I298"/>
  <c r="I306" s="1"/>
  <c r="I279"/>
  <c r="I22"/>
  <c r="I20" s="1"/>
  <c r="D175"/>
  <c r="F171"/>
  <c r="L46"/>
  <c r="J279"/>
  <c r="J20"/>
  <c r="K218"/>
  <c r="D40"/>
  <c r="D23"/>
  <c r="D281" s="1"/>
  <c r="K35"/>
  <c r="K293" s="1"/>
  <c r="J23"/>
  <c r="F168"/>
  <c r="E129"/>
  <c r="K171"/>
  <c r="D298" l="1"/>
  <c r="D306" s="1"/>
  <c r="F293"/>
  <c r="K275"/>
  <c r="F275"/>
  <c r="L278"/>
  <c r="H304"/>
  <c r="H307" s="1"/>
  <c r="K39"/>
  <c r="K297" s="1"/>
  <c r="K294"/>
  <c r="F86"/>
  <c r="F274"/>
  <c r="L304"/>
  <c r="L308" s="1"/>
  <c r="L298"/>
  <c r="L306" s="1"/>
  <c r="F294"/>
  <c r="G297"/>
  <c r="K86"/>
  <c r="F83"/>
  <c r="F90" s="1"/>
  <c r="K83"/>
  <c r="K90" s="1"/>
  <c r="F23"/>
  <c r="F281" s="1"/>
  <c r="F172"/>
  <c r="K174" s="1"/>
  <c r="K303" s="1"/>
  <c r="G308"/>
  <c r="G309" s="1"/>
  <c r="L41"/>
  <c r="L299" s="1"/>
  <c r="H308"/>
  <c r="H309" s="1"/>
  <c r="D46"/>
  <c r="K261"/>
  <c r="K262" s="1"/>
  <c r="K126"/>
  <c r="K132"/>
  <c r="F40"/>
  <c r="J278"/>
  <c r="J41"/>
  <c r="I278"/>
  <c r="I41"/>
  <c r="G219"/>
  <c r="D43"/>
  <c r="D301" s="1"/>
  <c r="I280"/>
  <c r="I42"/>
  <c r="K42" s="1"/>
  <c r="K300" s="1"/>
  <c r="I23"/>
  <c r="E43"/>
  <c r="E301" s="1"/>
  <c r="L133"/>
  <c r="D176"/>
  <c r="F176" s="1"/>
  <c r="G176" s="1"/>
  <c r="F169"/>
  <c r="F39"/>
  <c r="F297" s="1"/>
  <c r="J300"/>
  <c r="J46"/>
  <c r="E46"/>
  <c r="F175"/>
  <c r="J281"/>
  <c r="J301" s="1"/>
  <c r="J43"/>
  <c r="L43"/>
  <c r="L301" s="1"/>
  <c r="D133"/>
  <c r="F133" s="1"/>
  <c r="F126"/>
  <c r="F42"/>
  <c r="F300" s="1"/>
  <c r="G47"/>
  <c r="K40"/>
  <c r="K298" s="1"/>
  <c r="K306" s="1"/>
  <c r="L47"/>
  <c r="L305" s="1"/>
  <c r="G43"/>
  <c r="G301" s="1"/>
  <c r="K23"/>
  <c r="K281" s="1"/>
  <c r="F129"/>
  <c r="G305" l="1"/>
  <c r="E304"/>
  <c r="E308" s="1"/>
  <c r="E309" s="1"/>
  <c r="L309"/>
  <c r="D304"/>
  <c r="D308" s="1"/>
  <c r="D309" s="1"/>
  <c r="F298"/>
  <c r="F306" s="1"/>
  <c r="D47"/>
  <c r="D305" s="1"/>
  <c r="F43"/>
  <c r="F301" s="1"/>
  <c r="K133"/>
  <c r="K175"/>
  <c r="J304"/>
  <c r="J308" s="1"/>
  <c r="J309" s="1"/>
  <c r="J47"/>
  <c r="I300"/>
  <c r="I46"/>
  <c r="K219"/>
  <c r="F46"/>
  <c r="E47"/>
  <c r="E305" s="1"/>
  <c r="I281"/>
  <c r="I301" s="1"/>
  <c r="I43"/>
  <c r="I299"/>
  <c r="K43"/>
  <c r="K301" s="1"/>
  <c r="H176"/>
  <c r="H305" s="1"/>
  <c r="K46"/>
  <c r="J299"/>
  <c r="K304" l="1"/>
  <c r="K308" s="1"/>
  <c r="K309" s="1"/>
  <c r="F304"/>
  <c r="F308" s="1"/>
  <c r="F309" s="1"/>
  <c r="I176"/>
  <c r="J176" s="1"/>
  <c r="K176" s="1"/>
  <c r="F47"/>
  <c r="F305" s="1"/>
  <c r="K47"/>
  <c r="I304"/>
  <c r="I308" s="1"/>
  <c r="I309" s="1"/>
  <c r="I47"/>
  <c r="K305" l="1"/>
  <c r="I305"/>
  <c r="J305"/>
</calcChain>
</file>

<file path=xl/comments1.xml><?xml version="1.0" encoding="utf-8"?>
<comments xmlns="http://schemas.openxmlformats.org/spreadsheetml/2006/main">
  <authors>
    <author>maricica</author>
  </authors>
  <commentList>
    <comment ref="J28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71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14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57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00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43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86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</commentList>
</comments>
</file>

<file path=xl/sharedStrings.xml><?xml version="1.0" encoding="utf-8"?>
<sst xmlns="http://schemas.openxmlformats.org/spreadsheetml/2006/main" count="390" uniqueCount="46">
  <si>
    <t>UNITATEA SPITALICEASCA</t>
  </si>
  <si>
    <t>PERIOADA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</si>
  <si>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</si>
  <si>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</si>
  <si>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</si>
  <si>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</si>
  <si>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</si>
  <si>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</si>
  <si>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</si>
  <si>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2023</t>
  </si>
  <si>
    <t>NORMA HRANA 2023</t>
  </si>
  <si>
    <t>SPITALUL JUDETEAN DE URGENTA VASLUI</t>
  </si>
  <si>
    <t>IAN</t>
  </si>
  <si>
    <t>CONTRACTAT</t>
  </si>
  <si>
    <t>REALIZAT</t>
  </si>
  <si>
    <t>Decont SIUI</t>
  </si>
  <si>
    <t>DISPONIBIL</t>
  </si>
  <si>
    <t>FEB</t>
  </si>
  <si>
    <t>DIPONIBIL</t>
  </si>
  <si>
    <t>MAR</t>
  </si>
  <si>
    <t>TRIM I</t>
  </si>
  <si>
    <t>REALIZ REGUL,</t>
  </si>
  <si>
    <t>DECONT REGULARIZARE</t>
  </si>
  <si>
    <t>TOTAL DECONT</t>
  </si>
  <si>
    <t>disponibil</t>
  </si>
  <si>
    <t>APR</t>
  </si>
  <si>
    <t>MAI</t>
  </si>
  <si>
    <t>IUNIE</t>
  </si>
  <si>
    <t>TRIM II</t>
  </si>
  <si>
    <t>SEM I</t>
  </si>
  <si>
    <t>TOTAL AN 2023</t>
  </si>
  <si>
    <t>SPITALUL MUNICIPAL ELENA BELDIMAN</t>
  </si>
  <si>
    <t>REALIZAT REG</t>
  </si>
  <si>
    <t>DECONT REG</t>
  </si>
  <si>
    <t>SPITALUL MUNICIPAL DIMITRIE CASTROIAN HUSI</t>
  </si>
  <si>
    <t>REALIZ REG.</t>
  </si>
  <si>
    <t>SPITALUL DE PSIHIATRIE MURGENI</t>
  </si>
  <si>
    <t>REALIZ. REG</t>
  </si>
  <si>
    <t xml:space="preserve">SPITALIS </t>
  </si>
  <si>
    <t>RELIZAT REG</t>
  </si>
  <si>
    <t>SC RECUMED SRL VASLUI</t>
  </si>
  <si>
    <t>TOTAL SPITALE</t>
  </si>
  <si>
    <t>CA</t>
  </si>
  <si>
    <t xml:space="preserve">Decont </t>
  </si>
  <si>
    <t>CONTRACTAT- REALIZAT- DECONTAT AN 2023</t>
  </si>
  <si>
    <t>INDICATORI SPITALE SEMESTRUL I 2023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</si>
</sst>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color indexed="10"/>
      <name val="Arial"/>
      <family val="2"/>
      <charset val="238"/>
    </font>
    <font>
      <b/>
      <i/>
      <sz val="7"/>
      <color theme="1" tint="4.9989318521683403E-2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b/>
      <sz val="7"/>
      <color theme="1" tint="4.9989318521683403E-2"/>
      <name val="Arial"/>
      <family val="2"/>
      <charset val="238"/>
    </font>
    <font>
      <sz val="6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theme="1" tint="4.9989318521683403E-2"/>
      <name val="Arial"/>
      <family val="2"/>
      <charset val="238"/>
    </font>
    <font>
      <sz val="8"/>
      <name val="Times New Roman"/>
      <family val="1"/>
      <charset val="238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  <charset val="238"/>
    </font>
    <font>
      <b/>
      <sz val="7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7" fillId="0" borderId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right"/>
    </xf>
    <xf numFmtId="4" fontId="0" fillId="0" borderId="0" xfId="0" applyNumberFormat="1"/>
    <xf numFmtId="4" fontId="3" fillId="0" borderId="5" xfId="0" applyNumberFormat="1" applyFont="1" applyBorder="1"/>
    <xf numFmtId="4" fontId="3" fillId="0" borderId="5" xfId="0" applyNumberFormat="1" applyFont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4" borderId="5" xfId="0" applyNumberFormat="1" applyFont="1" applyFill="1" applyBorder="1" applyAlignment="1">
      <alignment horizontal="right"/>
    </xf>
    <xf numFmtId="4" fontId="5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0" fontId="0" fillId="0" borderId="0" xfId="0" applyBorder="1"/>
    <xf numFmtId="4" fontId="13" fillId="7" borderId="0" xfId="0" applyNumberFormat="1" applyFont="1" applyFill="1" applyBorder="1" applyAlignment="1">
      <alignment horizontal="right"/>
    </xf>
    <xf numFmtId="4" fontId="3" fillId="8" borderId="5" xfId="0" applyNumberFormat="1" applyFont="1" applyFill="1" applyBorder="1" applyAlignment="1">
      <alignment horizontal="right"/>
    </xf>
    <xf numFmtId="4" fontId="10" fillId="9" borderId="5" xfId="0" applyNumberFormat="1" applyFont="1" applyFill="1" applyBorder="1"/>
    <xf numFmtId="4" fontId="3" fillId="9" borderId="5" xfId="0" applyNumberFormat="1" applyFont="1" applyFill="1" applyBorder="1" applyAlignment="1">
      <alignment horizontal="right"/>
    </xf>
    <xf numFmtId="4" fontId="12" fillId="9" borderId="5" xfId="0" applyNumberFormat="1" applyFont="1" applyFill="1" applyBorder="1"/>
    <xf numFmtId="4" fontId="17" fillId="10" borderId="5" xfId="0" applyNumberFormat="1" applyFont="1" applyFill="1" applyBorder="1"/>
    <xf numFmtId="4" fontId="18" fillId="10" borderId="5" xfId="0" applyNumberFormat="1" applyFont="1" applyFill="1" applyBorder="1"/>
    <xf numFmtId="2" fontId="3" fillId="0" borderId="0" xfId="2" applyNumberFormat="1" applyFont="1"/>
    <xf numFmtId="4" fontId="19" fillId="9" borderId="5" xfId="0" applyNumberFormat="1" applyFont="1" applyFill="1" applyBorder="1"/>
    <xf numFmtId="4" fontId="19" fillId="8" borderId="5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0" fontId="6" fillId="0" borderId="0" xfId="0" applyFont="1"/>
    <xf numFmtId="43" fontId="21" fillId="0" borderId="0" xfId="1" applyNumberFormat="1" applyFont="1" applyAlignment="1">
      <alignment horizontal="right"/>
    </xf>
    <xf numFmtId="43" fontId="22" fillId="0" borderId="0" xfId="1" applyNumberFormat="1" applyFont="1" applyAlignment="1">
      <alignment horizontal="right"/>
    </xf>
    <xf numFmtId="0" fontId="23" fillId="0" borderId="0" xfId="0" applyFont="1"/>
    <xf numFmtId="43" fontId="24" fillId="0" borderId="0" xfId="1" applyFont="1"/>
    <xf numFmtId="4" fontId="6" fillId="0" borderId="5" xfId="0" applyNumberFormat="1" applyFont="1" applyBorder="1"/>
    <xf numFmtId="4" fontId="4" fillId="0" borderId="5" xfId="0" applyNumberFormat="1" applyFont="1" applyBorder="1"/>
    <xf numFmtId="4" fontId="3" fillId="7" borderId="5" xfId="0" applyNumberFormat="1" applyFont="1" applyFill="1" applyBorder="1"/>
    <xf numFmtId="4" fontId="3" fillId="7" borderId="5" xfId="0" applyNumberFormat="1" applyFont="1" applyFill="1" applyBorder="1" applyAlignment="1">
      <alignment horizontal="right"/>
    </xf>
    <xf numFmtId="4" fontId="4" fillId="7" borderId="5" xfId="0" applyNumberFormat="1" applyFont="1" applyFill="1" applyBorder="1"/>
    <xf numFmtId="4" fontId="6" fillId="7" borderId="5" xfId="0" applyNumberFormat="1" applyFont="1" applyFill="1" applyBorder="1"/>
    <xf numFmtId="4" fontId="6" fillId="7" borderId="5" xfId="0" applyNumberFormat="1" applyFont="1" applyFill="1" applyBorder="1" applyAlignment="1">
      <alignment horizontal="right"/>
    </xf>
    <xf numFmtId="4" fontId="10" fillId="7" borderId="5" xfId="0" applyNumberFormat="1" applyFont="1" applyFill="1" applyBorder="1"/>
    <xf numFmtId="4" fontId="11" fillId="7" borderId="5" xfId="0" applyNumberFormat="1" applyFont="1" applyFill="1" applyBorder="1" applyAlignment="1">
      <alignment horizontal="right"/>
    </xf>
    <xf numFmtId="4" fontId="12" fillId="7" borderId="5" xfId="0" applyNumberFormat="1" applyFont="1" applyFill="1" applyBorder="1"/>
    <xf numFmtId="4" fontId="3" fillId="7" borderId="4" xfId="0" applyNumberFormat="1" applyFont="1" applyFill="1" applyBorder="1"/>
    <xf numFmtId="4" fontId="3" fillId="7" borderId="4" xfId="0" applyNumberFormat="1" applyFont="1" applyFill="1" applyBorder="1" applyAlignment="1">
      <alignment horizontal="right"/>
    </xf>
    <xf numFmtId="4" fontId="5" fillId="7" borderId="5" xfId="0" applyNumberFormat="1" applyFont="1" applyFill="1" applyBorder="1"/>
    <xf numFmtId="4" fontId="3" fillId="0" borderId="12" xfId="0" applyNumberFormat="1" applyFont="1" applyBorder="1"/>
    <xf numFmtId="4" fontId="3" fillId="4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5" borderId="13" xfId="0" applyNumberFormat="1" applyFont="1" applyFill="1" applyBorder="1" applyAlignment="1">
      <alignment horizontal="right"/>
    </xf>
    <xf numFmtId="4" fontId="3" fillId="5" borderId="15" xfId="0" applyNumberFormat="1" applyFont="1" applyFill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7" borderId="15" xfId="0" applyNumberFormat="1" applyFont="1" applyFill="1" applyBorder="1" applyAlignment="1">
      <alignment horizontal="right"/>
    </xf>
    <xf numFmtId="4" fontId="11" fillId="7" borderId="15" xfId="0" applyNumberFormat="1" applyFont="1" applyFill="1" applyBorder="1" applyAlignment="1">
      <alignment horizontal="right"/>
    </xf>
    <xf numFmtId="0" fontId="3" fillId="7" borderId="0" xfId="2" applyFont="1" applyFill="1" applyBorder="1"/>
    <xf numFmtId="2" fontId="3" fillId="7" borderId="18" xfId="3" applyNumberFormat="1" applyFont="1" applyFill="1" applyBorder="1"/>
    <xf numFmtId="4" fontId="3" fillId="8" borderId="15" xfId="0" applyNumberFormat="1" applyFont="1" applyFill="1" applyBorder="1" applyAlignment="1">
      <alignment horizontal="right"/>
    </xf>
    <xf numFmtId="4" fontId="6" fillId="5" borderId="15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3" fillId="9" borderId="15" xfId="0" applyNumberFormat="1" applyFont="1" applyFill="1" applyBorder="1" applyAlignment="1">
      <alignment horizontal="right"/>
    </xf>
    <xf numFmtId="4" fontId="12" fillId="9" borderId="21" xfId="0" applyNumberFormat="1" applyFont="1" applyFill="1" applyBorder="1"/>
    <xf numFmtId="4" fontId="3" fillId="9" borderId="21" xfId="0" applyNumberFormat="1" applyFont="1" applyFill="1" applyBorder="1" applyAlignment="1">
      <alignment horizontal="right"/>
    </xf>
    <xf numFmtId="4" fontId="3" fillId="9" borderId="22" xfId="0" applyNumberFormat="1" applyFont="1" applyFill="1" applyBorder="1" applyAlignment="1">
      <alignment horizontal="right"/>
    </xf>
    <xf numFmtId="4" fontId="3" fillId="7" borderId="6" xfId="0" applyNumberFormat="1" applyFont="1" applyFill="1" applyBorder="1"/>
    <xf numFmtId="4" fontId="3" fillId="7" borderId="23" xfId="0" applyNumberFormat="1" applyFont="1" applyFill="1" applyBorder="1"/>
    <xf numFmtId="4" fontId="3" fillId="8" borderId="12" xfId="0" applyNumberFormat="1" applyFont="1" applyFill="1" applyBorder="1"/>
    <xf numFmtId="4" fontId="3" fillId="8" borderId="12" xfId="0" applyNumberFormat="1" applyFont="1" applyFill="1" applyBorder="1" applyAlignment="1">
      <alignment horizontal="right"/>
    </xf>
    <xf numFmtId="4" fontId="3" fillId="8" borderId="1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0" xfId="2" applyFont="1" applyBorder="1"/>
    <xf numFmtId="4" fontId="11" fillId="9" borderId="21" xfId="0" applyNumberFormat="1" applyFont="1" applyFill="1" applyBorder="1"/>
    <xf numFmtId="2" fontId="3" fillId="0" borderId="18" xfId="2" applyNumberFormat="1" applyFont="1" applyBorder="1"/>
    <xf numFmtId="4" fontId="3" fillId="0" borderId="5" xfId="0" applyNumberFormat="1" applyFont="1" applyFill="1" applyBorder="1"/>
    <xf numFmtId="4" fontId="4" fillId="0" borderId="5" xfId="0" applyNumberFormat="1" applyFont="1" applyFill="1" applyBorder="1"/>
    <xf numFmtId="4" fontId="4" fillId="9" borderId="5" xfId="0" applyNumberFormat="1" applyFont="1" applyFill="1" applyBorder="1"/>
    <xf numFmtId="4" fontId="3" fillId="9" borderId="21" xfId="0" applyNumberFormat="1" applyFont="1" applyFill="1" applyBorder="1"/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5" borderId="23" xfId="0" applyNumberFormat="1" applyFont="1" applyFill="1" applyBorder="1" applyAlignment="1">
      <alignment horizontal="right"/>
    </xf>
    <xf numFmtId="4" fontId="13" fillId="7" borderId="7" xfId="0" applyNumberFormat="1" applyFont="1" applyFill="1" applyBorder="1" applyAlignment="1">
      <alignment horizontal="right"/>
    </xf>
    <xf numFmtId="4" fontId="3" fillId="7" borderId="12" xfId="0" applyNumberFormat="1" applyFont="1" applyFill="1" applyBorder="1"/>
    <xf numFmtId="4" fontId="3" fillId="7" borderId="12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3" fillId="7" borderId="24" xfId="0" applyNumberFormat="1" applyFont="1" applyFill="1" applyBorder="1" applyAlignment="1">
      <alignment horizontal="right"/>
    </xf>
    <xf numFmtId="4" fontId="6" fillId="7" borderId="15" xfId="0" applyNumberFormat="1" applyFont="1" applyFill="1" applyBorder="1" applyAlignment="1">
      <alignment horizontal="right"/>
    </xf>
    <xf numFmtId="43" fontId="20" fillId="7" borderId="0" xfId="1" applyFont="1" applyFill="1" applyBorder="1" applyAlignment="1">
      <alignment horizontal="right"/>
    </xf>
    <xf numFmtId="2" fontId="3" fillId="7" borderId="18" xfId="2" applyNumberFormat="1" applyFont="1" applyFill="1" applyBorder="1"/>
    <xf numFmtId="4" fontId="11" fillId="8" borderId="21" xfId="0" applyNumberFormat="1" applyFont="1" applyFill="1" applyBorder="1"/>
    <xf numFmtId="4" fontId="3" fillId="8" borderId="21" xfId="0" applyNumberFormat="1" applyFont="1" applyFill="1" applyBorder="1" applyAlignment="1">
      <alignment horizontal="right"/>
    </xf>
    <xf numFmtId="4" fontId="3" fillId="8" borderId="22" xfId="0" applyNumberFormat="1" applyFont="1" applyFill="1" applyBorder="1" applyAlignment="1">
      <alignment horizontal="right"/>
    </xf>
    <xf numFmtId="4" fontId="3" fillId="7" borderId="6" xfId="0" applyNumberFormat="1" applyFont="1" applyFill="1" applyBorder="1" applyAlignment="1">
      <alignment horizontal="right"/>
    </xf>
    <xf numFmtId="4" fontId="3" fillId="7" borderId="23" xfId="0" applyNumberFormat="1" applyFont="1" applyFill="1" applyBorder="1" applyAlignment="1">
      <alignment horizontal="right"/>
    </xf>
    <xf numFmtId="4" fontId="5" fillId="8" borderId="5" xfId="0" applyNumberFormat="1" applyFont="1" applyFill="1" applyBorder="1"/>
    <xf numFmtId="4" fontId="3" fillId="8" borderId="21" xfId="0" applyNumberFormat="1" applyFont="1" applyFill="1" applyBorder="1"/>
    <xf numFmtId="43" fontId="20" fillId="7" borderId="15" xfId="1" applyFont="1" applyFill="1" applyBorder="1" applyAlignment="1">
      <alignment horizontal="right"/>
    </xf>
    <xf numFmtId="4" fontId="4" fillId="8" borderId="5" xfId="0" applyNumberFormat="1" applyFont="1" applyFill="1" applyBorder="1"/>
    <xf numFmtId="4" fontId="17" fillId="10" borderId="12" xfId="0" applyNumberFormat="1" applyFont="1" applyFill="1" applyBorder="1"/>
    <xf numFmtId="4" fontId="3" fillId="10" borderId="12" xfId="0" applyNumberFormat="1" applyFont="1" applyFill="1" applyBorder="1" applyAlignment="1">
      <alignment horizontal="right"/>
    </xf>
    <xf numFmtId="4" fontId="3" fillId="10" borderId="13" xfId="0" applyNumberFormat="1" applyFont="1" applyFill="1" applyBorder="1" applyAlignment="1">
      <alignment horizontal="right"/>
    </xf>
    <xf numFmtId="4" fontId="3" fillId="10" borderId="24" xfId="0" applyNumberFormat="1" applyFont="1" applyFill="1" applyBorder="1" applyAlignment="1">
      <alignment horizontal="right"/>
    </xf>
    <xf numFmtId="4" fontId="9" fillId="10" borderId="21" xfId="0" applyNumberFormat="1" applyFont="1" applyFill="1" applyBorder="1"/>
    <xf numFmtId="4" fontId="15" fillId="10" borderId="28" xfId="0" applyNumberFormat="1" applyFont="1" applyFill="1" applyBorder="1" applyAlignment="1">
      <alignment horizontal="right"/>
    </xf>
    <xf numFmtId="4" fontId="15" fillId="10" borderId="29" xfId="0" applyNumberFormat="1" applyFont="1" applyFill="1" applyBorder="1" applyAlignment="1">
      <alignment horizontal="right"/>
    </xf>
    <xf numFmtId="4" fontId="3" fillId="7" borderId="21" xfId="0" applyNumberFormat="1" applyFont="1" applyFill="1" applyBorder="1"/>
    <xf numFmtId="4" fontId="3" fillId="7" borderId="28" xfId="0" applyNumberFormat="1" applyFont="1" applyFill="1" applyBorder="1" applyAlignment="1">
      <alignment horizontal="right"/>
    </xf>
    <xf numFmtId="4" fontId="3" fillId="7" borderId="2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 textRotation="255" wrapText="1"/>
    </xf>
    <xf numFmtId="0" fontId="3" fillId="11" borderId="26" xfId="0" applyFont="1" applyFill="1" applyBorder="1" applyAlignment="1">
      <alignment horizontal="center" vertical="center" textRotation="255" wrapText="1"/>
    </xf>
    <xf numFmtId="0" fontId="7" fillId="11" borderId="26" xfId="0" applyFont="1" applyFill="1" applyBorder="1" applyAlignment="1">
      <alignment horizontal="center" vertical="center" textRotation="255" wrapText="1"/>
    </xf>
    <xf numFmtId="0" fontId="7" fillId="11" borderId="27" xfId="0" applyFont="1" applyFill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textRotation="255" wrapText="1"/>
    </xf>
    <xf numFmtId="0" fontId="3" fillId="6" borderId="9" xfId="0" applyFont="1" applyFill="1" applyBorder="1" applyAlignment="1">
      <alignment horizontal="center" vertical="center" textRotation="255" wrapText="1"/>
    </xf>
    <xf numFmtId="0" fontId="3" fillId="6" borderId="10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textRotation="255" wrapText="1"/>
    </xf>
    <xf numFmtId="0" fontId="3" fillId="13" borderId="9" xfId="0" applyFont="1" applyFill="1" applyBorder="1" applyAlignment="1">
      <alignment horizontal="center" vertical="center" textRotation="255" wrapText="1"/>
    </xf>
    <xf numFmtId="0" fontId="7" fillId="13" borderId="9" xfId="0" applyFont="1" applyFill="1" applyBorder="1" applyAlignment="1">
      <alignment horizontal="center" vertical="center" textRotation="255" wrapText="1"/>
    </xf>
    <xf numFmtId="0" fontId="7" fillId="13" borderId="10" xfId="0" applyFont="1" applyFill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textRotation="255" wrapText="1"/>
    </xf>
    <xf numFmtId="0" fontId="3" fillId="12" borderId="9" xfId="0" applyFont="1" applyFill="1" applyBorder="1" applyAlignment="1">
      <alignment horizontal="center" vertical="center" textRotation="255" wrapText="1"/>
    </xf>
    <xf numFmtId="0" fontId="7" fillId="12" borderId="9" xfId="0" applyFont="1" applyFill="1" applyBorder="1" applyAlignment="1">
      <alignment horizontal="center" vertical="center" textRotation="255" wrapText="1"/>
    </xf>
    <xf numFmtId="0" fontId="7" fillId="12" borderId="10" xfId="0" applyFont="1" applyFill="1" applyBorder="1" applyAlignment="1">
      <alignment horizontal="center" vertical="center" textRotation="255" wrapText="1"/>
    </xf>
    <xf numFmtId="0" fontId="16" fillId="10" borderId="30" xfId="0" applyFont="1" applyFill="1" applyBorder="1" applyAlignment="1">
      <alignment vertical="center" textRotation="45" wrapText="1"/>
    </xf>
    <xf numFmtId="0" fontId="16" fillId="10" borderId="7" xfId="0" applyFont="1" applyFill="1" applyBorder="1" applyAlignment="1">
      <alignment vertical="center" textRotation="45" wrapText="1"/>
    </xf>
    <xf numFmtId="0" fontId="16" fillId="10" borderId="31" xfId="0" applyFont="1" applyFill="1" applyBorder="1" applyAlignment="1">
      <alignment vertical="center" textRotation="45" wrapText="1"/>
    </xf>
    <xf numFmtId="0" fontId="3" fillId="14" borderId="8" xfId="0" applyFont="1" applyFill="1" applyBorder="1" applyAlignment="1">
      <alignment horizontal="center" vertical="center" textRotation="255" wrapText="1"/>
    </xf>
    <xf numFmtId="0" fontId="3" fillId="14" borderId="9" xfId="0" applyFont="1" applyFill="1" applyBorder="1" applyAlignment="1">
      <alignment horizontal="center" vertical="center" textRotation="255" wrapText="1"/>
    </xf>
    <xf numFmtId="0" fontId="3" fillId="14" borderId="10" xfId="0" applyFont="1" applyFill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textRotation="255" wrapText="1"/>
    </xf>
    <xf numFmtId="0" fontId="7" fillId="6" borderId="10" xfId="0" applyFont="1" applyFill="1" applyBorder="1" applyAlignment="1">
      <alignment horizontal="center" vertical="center" textRotation="255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3" fillId="3" borderId="9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 vertical="center" textRotation="255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topLeftCell="A280" workbookViewId="0">
      <selection activeCell="P166" sqref="P166"/>
    </sheetView>
  </sheetViews>
  <sheetFormatPr defaultRowHeight="15"/>
  <cols>
    <col min="1" max="1" width="10.140625" customWidth="1"/>
    <col min="2" max="2" width="9.85546875" customWidth="1"/>
    <col min="3" max="3" width="13.42578125" customWidth="1"/>
    <col min="4" max="4" width="10.85546875" customWidth="1"/>
    <col min="5" max="5" width="11" customWidth="1"/>
    <col min="6" max="6" width="10.7109375" customWidth="1"/>
    <col min="7" max="7" width="9.85546875" customWidth="1"/>
    <col min="8" max="8" width="10.42578125" customWidth="1"/>
    <col min="9" max="9" width="0.140625" hidden="1" customWidth="1"/>
    <col min="10" max="10" width="9.140625" hidden="1" customWidth="1"/>
    <col min="11" max="11" width="12" customWidth="1"/>
    <col min="12" max="12" width="10.28515625" customWidth="1"/>
    <col min="13" max="13" width="13.85546875" customWidth="1"/>
    <col min="15" max="15" width="16.42578125" bestFit="1" customWidth="1"/>
  </cols>
  <sheetData>
    <row r="1" spans="1:13">
      <c r="A1" s="159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>
      <c r="A2" s="159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5.75" thickBot="1">
      <c r="A3" s="2"/>
      <c r="B3" s="1"/>
      <c r="C3" s="3"/>
      <c r="D3" s="3"/>
      <c r="E3" s="3"/>
      <c r="F3" s="4"/>
      <c r="G3" s="3"/>
      <c r="H3" s="3"/>
      <c r="I3" s="3"/>
      <c r="J3" s="3"/>
      <c r="K3" s="5"/>
      <c r="L3" s="3"/>
    </row>
    <row r="4" spans="1:13" ht="74.25" customHeight="1" thickBot="1">
      <c r="A4" s="6" t="s">
        <v>0</v>
      </c>
      <c r="B4" s="7" t="s">
        <v>1</v>
      </c>
      <c r="C4" s="8"/>
      <c r="D4" s="9" t="s">
        <v>2</v>
      </c>
      <c r="E4" s="9" t="s">
        <v>3</v>
      </c>
      <c r="F4" s="10" t="s">
        <v>4</v>
      </c>
      <c r="G4" s="11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9" t="s">
        <v>10</v>
      </c>
    </row>
    <row r="5" spans="1:13" ht="15" customHeight="1">
      <c r="A5" s="163" t="s">
        <v>11</v>
      </c>
      <c r="B5" s="130" t="s">
        <v>12</v>
      </c>
      <c r="C5" s="51" t="s">
        <v>13</v>
      </c>
      <c r="D5" s="52">
        <f>4703821.58-470899.63</f>
        <v>4232921.95</v>
      </c>
      <c r="E5" s="52">
        <f>559899.63-220170.51</f>
        <v>339729.12</v>
      </c>
      <c r="F5" s="53">
        <f>D5+E5</f>
        <v>4572651.07</v>
      </c>
      <c r="G5" s="52">
        <f>380536.05-94574.78</f>
        <v>285961.27</v>
      </c>
      <c r="H5" s="52">
        <v>0</v>
      </c>
      <c r="I5" s="52">
        <v>0</v>
      </c>
      <c r="J5" s="52">
        <v>0</v>
      </c>
      <c r="K5" s="53">
        <f>J5+I5+H5+G5+E5+D5</f>
        <v>4858612.34</v>
      </c>
      <c r="L5" s="54">
        <f>275486+36980</f>
        <v>312466</v>
      </c>
      <c r="M5" s="13"/>
    </row>
    <row r="6" spans="1:13">
      <c r="A6" s="164"/>
      <c r="B6" s="131"/>
      <c r="C6" s="14" t="s">
        <v>14</v>
      </c>
      <c r="D6" s="15">
        <v>4232055.01</v>
      </c>
      <c r="E6" s="15">
        <v>339729.12</v>
      </c>
      <c r="F6" s="16">
        <f>D6+E6</f>
        <v>4571784.13</v>
      </c>
      <c r="G6" s="15">
        <v>285961.27</v>
      </c>
      <c r="H6" s="17">
        <v>0</v>
      </c>
      <c r="I6" s="17">
        <v>0</v>
      </c>
      <c r="J6" s="17">
        <v>0</v>
      </c>
      <c r="K6" s="16">
        <f>J6+I6+H6+G6+E6+D6</f>
        <v>4857745.3999999994</v>
      </c>
      <c r="L6" s="55">
        <v>312466</v>
      </c>
      <c r="M6" s="13"/>
    </row>
    <row r="7" spans="1:13">
      <c r="A7" s="164"/>
      <c r="B7" s="131"/>
      <c r="C7" s="39" t="s">
        <v>15</v>
      </c>
      <c r="D7" s="15">
        <v>4232055.01</v>
      </c>
      <c r="E7" s="15">
        <v>339729.12</v>
      </c>
      <c r="F7" s="16">
        <f>D7+E7</f>
        <v>4571784.13</v>
      </c>
      <c r="G7" s="15">
        <v>285961.27</v>
      </c>
      <c r="H7" s="17">
        <v>0</v>
      </c>
      <c r="I7" s="17">
        <v>0</v>
      </c>
      <c r="J7" s="17">
        <v>0</v>
      </c>
      <c r="K7" s="16">
        <f>J7+I7+H7+G7+E7+D7</f>
        <v>4857745.3999999994</v>
      </c>
      <c r="L7" s="55">
        <v>312466</v>
      </c>
      <c r="M7" s="13"/>
    </row>
    <row r="8" spans="1:13">
      <c r="A8" s="164"/>
      <c r="B8" s="131"/>
      <c r="C8" s="14" t="s">
        <v>16</v>
      </c>
      <c r="D8" s="15">
        <f>D5-D7</f>
        <v>866.94000000040978</v>
      </c>
      <c r="E8" s="15">
        <f t="shared" ref="E8:L8" si="0">E5-E7</f>
        <v>0</v>
      </c>
      <c r="F8" s="15">
        <f t="shared" si="0"/>
        <v>866.94000000040978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866.94000000040978</v>
      </c>
      <c r="L8" s="56">
        <f t="shared" si="0"/>
        <v>0</v>
      </c>
    </row>
    <row r="9" spans="1:13">
      <c r="A9" s="164"/>
      <c r="B9" s="132" t="s">
        <v>17</v>
      </c>
      <c r="C9" s="14" t="s">
        <v>13</v>
      </c>
      <c r="D9" s="17">
        <f>4703821.58-243211.9-1873.9</f>
        <v>4458735.7799999993</v>
      </c>
      <c r="E9" s="17">
        <f>559899.63-146777.44</f>
        <v>413122.19</v>
      </c>
      <c r="F9" s="16">
        <f>D9+E9</f>
        <v>4871857.97</v>
      </c>
      <c r="G9" s="17">
        <f>402011.29-91822.55</f>
        <v>310188.74</v>
      </c>
      <c r="H9" s="17">
        <v>0</v>
      </c>
      <c r="I9" s="17">
        <v>0</v>
      </c>
      <c r="J9" s="17">
        <v>0</v>
      </c>
      <c r="K9" s="16">
        <f>J9+I9+H9+G9+E9+D9</f>
        <v>5182046.709999999</v>
      </c>
      <c r="L9" s="55">
        <v>302830</v>
      </c>
    </row>
    <row r="10" spans="1:13">
      <c r="A10" s="164"/>
      <c r="B10" s="131"/>
      <c r="C10" s="14" t="s">
        <v>14</v>
      </c>
      <c r="D10" s="15">
        <v>4224925.8600000003</v>
      </c>
      <c r="E10" s="15">
        <v>413122.19</v>
      </c>
      <c r="F10" s="16">
        <f>D10+E10</f>
        <v>4638048.0500000007</v>
      </c>
      <c r="G10" s="15">
        <v>310188.74</v>
      </c>
      <c r="H10" s="17">
        <v>0</v>
      </c>
      <c r="I10" s="17">
        <v>0</v>
      </c>
      <c r="J10" s="17">
        <v>0</v>
      </c>
      <c r="K10" s="16">
        <f>J10+I10+H10+G10+E10+D10</f>
        <v>4948236.79</v>
      </c>
      <c r="L10" s="55">
        <v>302830</v>
      </c>
    </row>
    <row r="11" spans="1:13">
      <c r="A11" s="164"/>
      <c r="B11" s="131"/>
      <c r="C11" s="39" t="s">
        <v>15</v>
      </c>
      <c r="D11" s="15">
        <v>4224925.8600000003</v>
      </c>
      <c r="E11" s="15">
        <v>413122.19</v>
      </c>
      <c r="F11" s="16">
        <f>D11+E11</f>
        <v>4638048.0500000007</v>
      </c>
      <c r="G11" s="15">
        <v>310188.74</v>
      </c>
      <c r="H11" s="17">
        <v>0</v>
      </c>
      <c r="I11" s="17">
        <v>0</v>
      </c>
      <c r="J11" s="17">
        <v>0</v>
      </c>
      <c r="K11" s="16">
        <f>J11+I11+H11+G11+E11+D11</f>
        <v>4948236.79</v>
      </c>
      <c r="L11" s="55">
        <v>302830</v>
      </c>
      <c r="M11" s="13"/>
    </row>
    <row r="12" spans="1:13">
      <c r="A12" s="164"/>
      <c r="B12" s="131"/>
      <c r="C12" s="14" t="s">
        <v>18</v>
      </c>
      <c r="D12" s="15">
        <f>D9-D11</f>
        <v>233809.91999999899</v>
      </c>
      <c r="E12" s="15">
        <f t="shared" ref="E12:J12" si="1">E9-E11</f>
        <v>0</v>
      </c>
      <c r="F12" s="15">
        <f t="shared" si="1"/>
        <v>233809.91999999899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>K9-K11</f>
        <v>233809.91999999899</v>
      </c>
      <c r="L12" s="56">
        <f>L9-L11</f>
        <v>0</v>
      </c>
    </row>
    <row r="13" spans="1:13">
      <c r="A13" s="164"/>
      <c r="B13" s="132" t="s">
        <v>19</v>
      </c>
      <c r="C13" s="14" t="s">
        <v>13</v>
      </c>
      <c r="D13" s="17">
        <v>4703821.58</v>
      </c>
      <c r="E13" s="17">
        <f>559899.63-75686.33</f>
        <v>484213.3</v>
      </c>
      <c r="F13" s="16">
        <f>D13+E13</f>
        <v>5188034.88</v>
      </c>
      <c r="G13" s="17">
        <f>402011.29-1207.11</f>
        <v>400804.18</v>
      </c>
      <c r="H13" s="17">
        <v>0</v>
      </c>
      <c r="I13" s="17">
        <v>0</v>
      </c>
      <c r="J13" s="17">
        <v>0</v>
      </c>
      <c r="K13" s="16">
        <f>J13+I13+H13+G13+E13+D13</f>
        <v>5588839.0600000005</v>
      </c>
      <c r="L13" s="55">
        <v>354321</v>
      </c>
    </row>
    <row r="14" spans="1:13">
      <c r="A14" s="164"/>
      <c r="B14" s="133"/>
      <c r="C14" s="14" t="s">
        <v>14</v>
      </c>
      <c r="D14" s="15">
        <v>4918613.26</v>
      </c>
      <c r="E14" s="15">
        <v>489553.01</v>
      </c>
      <c r="F14" s="16">
        <f>D14+E14</f>
        <v>5408166.2699999996</v>
      </c>
      <c r="G14" s="15">
        <v>399843.79</v>
      </c>
      <c r="H14" s="17">
        <v>0</v>
      </c>
      <c r="I14" s="17">
        <v>0</v>
      </c>
      <c r="J14" s="17">
        <v>0</v>
      </c>
      <c r="K14" s="16">
        <f>J14+I14+H14+G14+E14+D14</f>
        <v>5808010.0599999996</v>
      </c>
      <c r="L14" s="55">
        <v>354321</v>
      </c>
    </row>
    <row r="15" spans="1:13">
      <c r="A15" s="164"/>
      <c r="B15" s="133"/>
      <c r="C15" s="39" t="s">
        <v>15</v>
      </c>
      <c r="D15" s="15">
        <v>4703817.83</v>
      </c>
      <c r="E15" s="15">
        <v>489553.01</v>
      </c>
      <c r="F15" s="16">
        <f>D15+E15</f>
        <v>5193370.84</v>
      </c>
      <c r="G15" s="15">
        <v>399843.79</v>
      </c>
      <c r="H15" s="17">
        <v>0</v>
      </c>
      <c r="I15" s="17">
        <v>0</v>
      </c>
      <c r="J15" s="17">
        <v>0</v>
      </c>
      <c r="K15" s="16">
        <f>J15+I15+H15+G15+E15+D15</f>
        <v>5593214.6299999999</v>
      </c>
      <c r="L15" s="55">
        <v>354321</v>
      </c>
    </row>
    <row r="16" spans="1:13">
      <c r="A16" s="164"/>
      <c r="B16" s="133"/>
      <c r="C16" s="14" t="s">
        <v>18</v>
      </c>
      <c r="D16" s="15">
        <f>D13-D15</f>
        <v>3.75</v>
      </c>
      <c r="E16" s="15">
        <f t="shared" ref="E16:J16" si="2">E13-E15</f>
        <v>-5339.710000000021</v>
      </c>
      <c r="F16" s="15">
        <f t="shared" si="2"/>
        <v>-5335.9599999999627</v>
      </c>
      <c r="G16" s="15">
        <f t="shared" si="2"/>
        <v>960.39000000001397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>K13-K15</f>
        <v>-4375.5699999993667</v>
      </c>
      <c r="L16" s="56">
        <f>L13-L15</f>
        <v>0</v>
      </c>
    </row>
    <row r="17" spans="1:14">
      <c r="A17" s="164"/>
      <c r="B17" s="116" t="s">
        <v>20</v>
      </c>
      <c r="C17" s="14" t="s">
        <v>13</v>
      </c>
      <c r="D17" s="15">
        <f>D13+D9+D5</f>
        <v>13395479.309999999</v>
      </c>
      <c r="E17" s="15">
        <f>E13+E9+E5</f>
        <v>1237064.6099999999</v>
      </c>
      <c r="F17" s="15">
        <f t="shared" ref="F17:L18" si="3">F13+F9+F5</f>
        <v>14632543.92</v>
      </c>
      <c r="G17" s="15">
        <f t="shared" si="3"/>
        <v>996954.19</v>
      </c>
      <c r="H17" s="15">
        <v>223286.33</v>
      </c>
      <c r="I17" s="15">
        <f t="shared" si="3"/>
        <v>0</v>
      </c>
      <c r="J17" s="15">
        <f t="shared" si="3"/>
        <v>0</v>
      </c>
      <c r="K17" s="15">
        <f t="shared" si="3"/>
        <v>15629498.109999999</v>
      </c>
      <c r="L17" s="56">
        <f>L13+L9+L5+16984</f>
        <v>986601</v>
      </c>
      <c r="M17" s="13"/>
    </row>
    <row r="18" spans="1:14">
      <c r="A18" s="164"/>
      <c r="B18" s="113"/>
      <c r="C18" s="14" t="s">
        <v>14</v>
      </c>
      <c r="D18" s="15">
        <f t="shared" ref="D18:J19" si="4">D14+D10+D6</f>
        <v>13375594.130000001</v>
      </c>
      <c r="E18" s="15">
        <f t="shared" si="4"/>
        <v>1242404.3199999998</v>
      </c>
      <c r="F18" s="15">
        <f t="shared" si="3"/>
        <v>14617998.449999999</v>
      </c>
      <c r="G18" s="15">
        <f t="shared" si="3"/>
        <v>995993.8</v>
      </c>
      <c r="H18" s="15">
        <v>223286.33</v>
      </c>
      <c r="I18" s="15">
        <f t="shared" si="3"/>
        <v>0</v>
      </c>
      <c r="J18" s="15">
        <f t="shared" si="3"/>
        <v>0</v>
      </c>
      <c r="K18" s="15">
        <f>K14+K10+K6</f>
        <v>15613992.25</v>
      </c>
      <c r="L18" s="56">
        <f t="shared" si="3"/>
        <v>969617</v>
      </c>
    </row>
    <row r="19" spans="1:14">
      <c r="A19" s="164"/>
      <c r="B19" s="113"/>
      <c r="C19" s="39" t="s">
        <v>15</v>
      </c>
      <c r="D19" s="15">
        <f t="shared" si="4"/>
        <v>13160798.700000001</v>
      </c>
      <c r="E19" s="15">
        <f t="shared" si="4"/>
        <v>1242404.3199999998</v>
      </c>
      <c r="F19" s="15">
        <f t="shared" si="4"/>
        <v>14403203.02</v>
      </c>
      <c r="G19" s="15">
        <f t="shared" si="4"/>
        <v>995993.8</v>
      </c>
      <c r="H19" s="15">
        <v>223286.33</v>
      </c>
      <c r="I19" s="15">
        <f t="shared" si="4"/>
        <v>0</v>
      </c>
      <c r="J19" s="15">
        <f t="shared" si="4"/>
        <v>0</v>
      </c>
      <c r="K19" s="15">
        <f>K15+K11+K7</f>
        <v>15399196.82</v>
      </c>
      <c r="L19" s="56">
        <f>L15+L11+L7</f>
        <v>969617</v>
      </c>
    </row>
    <row r="20" spans="1:14">
      <c r="A20" s="164"/>
      <c r="B20" s="113"/>
      <c r="C20" s="45" t="s">
        <v>21</v>
      </c>
      <c r="D20" s="41">
        <v>13395479.310000001</v>
      </c>
      <c r="E20" s="41">
        <v>1237064.6100000001</v>
      </c>
      <c r="F20" s="41">
        <f>D20+E20</f>
        <v>14632543.92</v>
      </c>
      <c r="G20" s="41">
        <v>996954.19</v>
      </c>
      <c r="H20" s="41">
        <v>0</v>
      </c>
      <c r="I20" s="41">
        <f>I21+I22</f>
        <v>0</v>
      </c>
      <c r="J20" s="41">
        <f>J21+J22</f>
        <v>0</v>
      </c>
      <c r="K20" s="41">
        <f>F20+G20</f>
        <v>15629498.109999999</v>
      </c>
      <c r="L20" s="57">
        <f>L22</f>
        <v>986601</v>
      </c>
      <c r="M20" s="13"/>
    </row>
    <row r="21" spans="1:14">
      <c r="A21" s="164"/>
      <c r="B21" s="113"/>
      <c r="C21" s="45" t="s">
        <v>22</v>
      </c>
      <c r="D21" s="46">
        <v>234680.61</v>
      </c>
      <c r="E21" s="46">
        <v>-5339.71</v>
      </c>
      <c r="F21" s="46">
        <f>D21+E21</f>
        <v>229340.9</v>
      </c>
      <c r="G21" s="46">
        <v>960.39</v>
      </c>
      <c r="H21" s="46">
        <v>0</v>
      </c>
      <c r="I21" s="46">
        <f>I18-I19</f>
        <v>0</v>
      </c>
      <c r="J21" s="46">
        <f>J18-J19</f>
        <v>0</v>
      </c>
      <c r="K21" s="46">
        <f>F21+G21</f>
        <v>230301.29</v>
      </c>
      <c r="L21" s="58">
        <v>16984</v>
      </c>
      <c r="M21" s="13"/>
    </row>
    <row r="22" spans="1:14">
      <c r="A22" s="164"/>
      <c r="B22" s="113"/>
      <c r="C22" s="47" t="s">
        <v>23</v>
      </c>
      <c r="D22" s="46">
        <f>D19+D21</f>
        <v>13395479.310000001</v>
      </c>
      <c r="E22" s="46">
        <f>E19+E21</f>
        <v>1237064.6099999999</v>
      </c>
      <c r="F22" s="46">
        <f>D22+E22</f>
        <v>14632543.92</v>
      </c>
      <c r="G22" s="46">
        <f>G19+G21</f>
        <v>996954.19000000006</v>
      </c>
      <c r="H22" s="41">
        <v>223286.33</v>
      </c>
      <c r="I22" s="46">
        <f>I19+I21</f>
        <v>0</v>
      </c>
      <c r="J22" s="46">
        <f>J19+J21</f>
        <v>0</v>
      </c>
      <c r="K22" s="46">
        <f>K19+K21</f>
        <v>15629498.109999999</v>
      </c>
      <c r="L22" s="58">
        <f>L19+L21</f>
        <v>986601</v>
      </c>
      <c r="M22" s="22"/>
      <c r="N22" s="21"/>
    </row>
    <row r="23" spans="1:14">
      <c r="A23" s="164"/>
      <c r="B23" s="117"/>
      <c r="C23" s="47" t="s">
        <v>24</v>
      </c>
      <c r="D23" s="46">
        <f>D17-D22</f>
        <v>0</v>
      </c>
      <c r="E23" s="46">
        <f t="shared" ref="E23:L23" si="5">E17-E22</f>
        <v>0</v>
      </c>
      <c r="F23" s="46">
        <f t="shared" si="5"/>
        <v>0</v>
      </c>
      <c r="G23" s="46">
        <f t="shared" si="5"/>
        <v>0</v>
      </c>
      <c r="H23" s="46">
        <v>0</v>
      </c>
      <c r="I23" s="46">
        <f t="shared" si="5"/>
        <v>0</v>
      </c>
      <c r="J23" s="46">
        <f t="shared" si="5"/>
        <v>0</v>
      </c>
      <c r="K23" s="46">
        <f t="shared" si="5"/>
        <v>0</v>
      </c>
      <c r="L23" s="58">
        <f t="shared" si="5"/>
        <v>0</v>
      </c>
      <c r="M23" s="22"/>
    </row>
    <row r="24" spans="1:14">
      <c r="A24" s="164"/>
      <c r="B24" s="118" t="s">
        <v>25</v>
      </c>
      <c r="C24" s="40" t="s">
        <v>13</v>
      </c>
      <c r="D24" s="41">
        <f>4703821.58-783970.26</f>
        <v>3919851.3200000003</v>
      </c>
      <c r="E24" s="41">
        <f>559899.63-112604.71</f>
        <v>447294.92</v>
      </c>
      <c r="F24" s="41">
        <f>D24+E24</f>
        <v>4367146.24</v>
      </c>
      <c r="G24" s="41">
        <f>402011.29-118924.25</f>
        <v>283087.03999999998</v>
      </c>
      <c r="H24" s="41">
        <v>0</v>
      </c>
      <c r="I24" s="41">
        <v>0</v>
      </c>
      <c r="J24" s="41">
        <v>0</v>
      </c>
      <c r="K24" s="41">
        <f>J24+I24+H24+G24+E24+D24</f>
        <v>4650233.28</v>
      </c>
      <c r="L24" s="57">
        <f>279547.71+28349-17454.71-20</f>
        <v>290422</v>
      </c>
    </row>
    <row r="25" spans="1:14">
      <c r="A25" s="164"/>
      <c r="B25" s="119"/>
      <c r="C25" s="40" t="s">
        <v>14</v>
      </c>
      <c r="D25" s="41">
        <v>3919776.91</v>
      </c>
      <c r="E25" s="41">
        <v>447294.92</v>
      </c>
      <c r="F25" s="41">
        <f>D25+E25</f>
        <v>4367071.83</v>
      </c>
      <c r="G25" s="41">
        <v>283087.03999999998</v>
      </c>
      <c r="H25" s="41">
        <v>0</v>
      </c>
      <c r="I25" s="41">
        <v>0</v>
      </c>
      <c r="J25" s="41">
        <v>0</v>
      </c>
      <c r="K25" s="41">
        <f>J25+I25+H25+G25+E25+D25</f>
        <v>4650158.87</v>
      </c>
      <c r="L25" s="57">
        <v>290422</v>
      </c>
    </row>
    <row r="26" spans="1:14">
      <c r="A26" s="164"/>
      <c r="B26" s="119"/>
      <c r="C26" s="42" t="s">
        <v>15</v>
      </c>
      <c r="D26" s="41">
        <v>3919776.91</v>
      </c>
      <c r="E26" s="41">
        <v>447294.92</v>
      </c>
      <c r="F26" s="41">
        <f>D26+E26</f>
        <v>4367071.83</v>
      </c>
      <c r="G26" s="41">
        <v>283087.03999999998</v>
      </c>
      <c r="H26" s="41">
        <v>0</v>
      </c>
      <c r="I26" s="41">
        <v>0</v>
      </c>
      <c r="J26" s="41">
        <v>0</v>
      </c>
      <c r="K26" s="41">
        <f>J26+I26+H26+G26+E26+D26</f>
        <v>4650158.87</v>
      </c>
      <c r="L26" s="57">
        <v>290422</v>
      </c>
    </row>
    <row r="27" spans="1:14">
      <c r="A27" s="164"/>
      <c r="B27" s="120"/>
      <c r="C27" s="40" t="s">
        <v>16</v>
      </c>
      <c r="D27" s="41">
        <f>D24-D26</f>
        <v>74.410000000149012</v>
      </c>
      <c r="E27" s="41">
        <f t="shared" ref="E27:L27" si="6">E24-E26</f>
        <v>0</v>
      </c>
      <c r="F27" s="41">
        <f t="shared" si="6"/>
        <v>74.410000000149012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74.410000000149012</v>
      </c>
      <c r="L27" s="57">
        <f t="shared" si="6"/>
        <v>0</v>
      </c>
    </row>
    <row r="28" spans="1:14">
      <c r="A28" s="164"/>
      <c r="B28" s="118" t="s">
        <v>26</v>
      </c>
      <c r="C28" s="40" t="s">
        <v>13</v>
      </c>
      <c r="D28" s="41">
        <v>4703821.58</v>
      </c>
      <c r="E28" s="41">
        <f>559899.63-105668.98</f>
        <v>454230.65</v>
      </c>
      <c r="F28" s="41">
        <f>D28+E28</f>
        <v>5158052.2300000004</v>
      </c>
      <c r="G28" s="41">
        <v>402011.29</v>
      </c>
      <c r="H28" s="41">
        <v>0</v>
      </c>
      <c r="I28" s="41">
        <v>0</v>
      </c>
      <c r="J28" s="41">
        <v>0</v>
      </c>
      <c r="K28" s="41">
        <f>J28+I28+H28+G28+E28+D28</f>
        <v>5560063.5199999996</v>
      </c>
      <c r="L28" s="57">
        <f>297002.42+32084.58</f>
        <v>329087</v>
      </c>
    </row>
    <row r="29" spans="1:14">
      <c r="A29" s="164"/>
      <c r="B29" s="119"/>
      <c r="C29" s="40" t="s">
        <v>14</v>
      </c>
      <c r="D29" s="41">
        <v>5016441.8</v>
      </c>
      <c r="E29" s="41">
        <v>454203.65</v>
      </c>
      <c r="F29" s="41">
        <f>D29+E29</f>
        <v>5470645.4500000002</v>
      </c>
      <c r="G29" s="59">
        <v>353325.81</v>
      </c>
      <c r="H29" s="41">
        <v>0</v>
      </c>
      <c r="I29" s="41">
        <v>0</v>
      </c>
      <c r="J29" s="41">
        <v>0</v>
      </c>
      <c r="K29" s="41">
        <f>J29+I29+H29+G29+E29+D29</f>
        <v>5823971.2599999998</v>
      </c>
      <c r="L29" s="60">
        <v>329087</v>
      </c>
    </row>
    <row r="30" spans="1:14">
      <c r="A30" s="164"/>
      <c r="B30" s="119"/>
      <c r="C30" s="42" t="s">
        <v>15</v>
      </c>
      <c r="D30" s="41">
        <v>4703780.99</v>
      </c>
      <c r="E30" s="41">
        <v>454230.65</v>
      </c>
      <c r="F30" s="41">
        <f>D30+E30</f>
        <v>5158011.6400000006</v>
      </c>
      <c r="G30" s="41">
        <v>353325.81</v>
      </c>
      <c r="H30" s="41">
        <v>0</v>
      </c>
      <c r="I30" s="41">
        <v>0</v>
      </c>
      <c r="J30" s="41">
        <v>0</v>
      </c>
      <c r="K30" s="41">
        <f>J30+I30+H30+G30+E30+D30</f>
        <v>5511337.4500000002</v>
      </c>
      <c r="L30" s="57">
        <v>329087</v>
      </c>
    </row>
    <row r="31" spans="1:14">
      <c r="A31" s="164"/>
      <c r="B31" s="120"/>
      <c r="C31" s="40" t="s">
        <v>24</v>
      </c>
      <c r="D31" s="41">
        <f>D28-D30</f>
        <v>40.589999999850988</v>
      </c>
      <c r="E31" s="41">
        <f t="shared" ref="E31:L31" si="7">E28-E30</f>
        <v>0</v>
      </c>
      <c r="F31" s="41">
        <f t="shared" si="7"/>
        <v>40.589999999850988</v>
      </c>
      <c r="G31" s="41">
        <f t="shared" si="7"/>
        <v>48685.479999999981</v>
      </c>
      <c r="H31" s="41">
        <f t="shared" si="7"/>
        <v>0</v>
      </c>
      <c r="I31" s="41">
        <f t="shared" si="7"/>
        <v>0</v>
      </c>
      <c r="J31" s="41">
        <f t="shared" si="7"/>
        <v>0</v>
      </c>
      <c r="K31" s="41">
        <f t="shared" si="7"/>
        <v>48726.069999999367</v>
      </c>
      <c r="L31" s="57">
        <f t="shared" si="7"/>
        <v>0</v>
      </c>
    </row>
    <row r="32" spans="1:14" ht="15" customHeight="1">
      <c r="A32" s="164"/>
      <c r="B32" s="121" t="s">
        <v>27</v>
      </c>
      <c r="C32" s="40" t="s">
        <v>13</v>
      </c>
      <c r="D32" s="41">
        <f>4703821.58-74502.55</f>
        <v>4629319.03</v>
      </c>
      <c r="E32" s="41">
        <f>559899.63-102362.09</f>
        <v>457537.54000000004</v>
      </c>
      <c r="F32" s="41">
        <f>D32+E32</f>
        <v>5086856.57</v>
      </c>
      <c r="G32" s="41">
        <f>402011.29-172682.41</f>
        <v>229328.87999999998</v>
      </c>
      <c r="H32" s="41">
        <v>0</v>
      </c>
      <c r="I32" s="41">
        <v>0</v>
      </c>
      <c r="J32" s="41">
        <v>0</v>
      </c>
      <c r="K32" s="41">
        <f>J32+I32+H32+G32+E32+D32</f>
        <v>5316185.45</v>
      </c>
      <c r="L32" s="57">
        <f>294712+20801</f>
        <v>315513</v>
      </c>
    </row>
    <row r="33" spans="1:12">
      <c r="A33" s="164"/>
      <c r="B33" s="122"/>
      <c r="C33" s="40" t="s">
        <v>14</v>
      </c>
      <c r="D33" s="41">
        <v>4310961.34</v>
      </c>
      <c r="E33" s="41">
        <v>438498.88</v>
      </c>
      <c r="F33" s="41">
        <f>SUM(D33:E33)</f>
        <v>4749460.22</v>
      </c>
      <c r="G33" s="41">
        <v>283100.67</v>
      </c>
      <c r="H33" s="41">
        <v>0</v>
      </c>
      <c r="I33" s="41">
        <v>0</v>
      </c>
      <c r="J33" s="41">
        <v>0</v>
      </c>
      <c r="K33" s="41">
        <f>J33+I33+H33+G33+E33+D33</f>
        <v>5032560.8899999997</v>
      </c>
      <c r="L33" s="57">
        <v>294712</v>
      </c>
    </row>
    <row r="34" spans="1:12">
      <c r="A34" s="164"/>
      <c r="B34" s="122"/>
      <c r="C34" s="42" t="s">
        <v>15</v>
      </c>
      <c r="D34" s="41">
        <v>4310961.34</v>
      </c>
      <c r="E34" s="41">
        <v>438498.88</v>
      </c>
      <c r="F34" s="41">
        <f>SUM(D34:E34)</f>
        <v>4749460.22</v>
      </c>
      <c r="G34" s="41">
        <v>283100.67</v>
      </c>
      <c r="H34" s="41">
        <v>0</v>
      </c>
      <c r="I34" s="41">
        <v>0</v>
      </c>
      <c r="J34" s="41">
        <v>0</v>
      </c>
      <c r="K34" s="41">
        <f>J34+I34+H34+G34+E34+D34</f>
        <v>5032560.8899999997</v>
      </c>
      <c r="L34" s="57">
        <v>294712</v>
      </c>
    </row>
    <row r="35" spans="1:12">
      <c r="A35" s="164"/>
      <c r="B35" s="117"/>
      <c r="C35" s="40" t="s">
        <v>24</v>
      </c>
      <c r="D35" s="41">
        <f>D32-D34</f>
        <v>318357.69000000041</v>
      </c>
      <c r="E35" s="41">
        <f t="shared" ref="E35:L35" si="8">E32-E34</f>
        <v>19038.660000000033</v>
      </c>
      <c r="F35" s="41">
        <f t="shared" si="8"/>
        <v>337396.35000000056</v>
      </c>
      <c r="G35" s="41">
        <f t="shared" si="8"/>
        <v>-53771.790000000008</v>
      </c>
      <c r="H35" s="41">
        <f t="shared" si="8"/>
        <v>0</v>
      </c>
      <c r="I35" s="41">
        <f t="shared" si="8"/>
        <v>0</v>
      </c>
      <c r="J35" s="41">
        <f t="shared" si="8"/>
        <v>0</v>
      </c>
      <c r="K35" s="41">
        <f t="shared" si="8"/>
        <v>283624.56000000052</v>
      </c>
      <c r="L35" s="57">
        <f t="shared" si="8"/>
        <v>20801</v>
      </c>
    </row>
    <row r="36" spans="1:12">
      <c r="A36" s="164"/>
      <c r="B36" s="123" t="s">
        <v>28</v>
      </c>
      <c r="C36" s="40" t="s">
        <v>13</v>
      </c>
      <c r="D36" s="41">
        <f t="shared" ref="D36:J36" si="9">D32+D28+D24</f>
        <v>13252991.93</v>
      </c>
      <c r="E36" s="41">
        <f t="shared" si="9"/>
        <v>1359063.11</v>
      </c>
      <c r="F36" s="41">
        <f t="shared" si="9"/>
        <v>14612055.040000001</v>
      </c>
      <c r="G36" s="41">
        <f t="shared" si="9"/>
        <v>914427.21</v>
      </c>
      <c r="H36" s="41">
        <v>302927.35999999999</v>
      </c>
      <c r="I36" s="41">
        <f t="shared" si="9"/>
        <v>0</v>
      </c>
      <c r="J36" s="41">
        <f t="shared" si="9"/>
        <v>0</v>
      </c>
      <c r="K36" s="41">
        <f>J36+I36+H36+G36+E36+D36</f>
        <v>15829409.609999999</v>
      </c>
      <c r="L36" s="57">
        <f>L32+L28+L24</f>
        <v>935022</v>
      </c>
    </row>
    <row r="37" spans="1:12">
      <c r="A37" s="164"/>
      <c r="B37" s="124"/>
      <c r="C37" s="40" t="s">
        <v>14</v>
      </c>
      <c r="D37" s="41">
        <f>D33+D29+D25</f>
        <v>13247180.050000001</v>
      </c>
      <c r="E37" s="41">
        <f>E33+E29+E25</f>
        <v>1339997.45</v>
      </c>
      <c r="F37" s="41">
        <f>D37+E37</f>
        <v>14587177.5</v>
      </c>
      <c r="G37" s="41">
        <f>G33+G29+G25</f>
        <v>919513.52</v>
      </c>
      <c r="H37" s="41">
        <v>302927.35999999999</v>
      </c>
      <c r="I37" s="41">
        <f>I33+I29+I25</f>
        <v>0</v>
      </c>
      <c r="J37" s="41">
        <f>J33+J29+J25</f>
        <v>0</v>
      </c>
      <c r="K37" s="41">
        <f>J37+I37+H37+G37+E37+D37</f>
        <v>15809618.380000001</v>
      </c>
      <c r="L37" s="57">
        <f>L33+L29+L25</f>
        <v>914221</v>
      </c>
    </row>
    <row r="38" spans="1:12">
      <c r="A38" s="164"/>
      <c r="B38" s="124"/>
      <c r="C38" s="42" t="s">
        <v>15</v>
      </c>
      <c r="D38" s="41">
        <f>D34+D30+D26</f>
        <v>12934519.24</v>
      </c>
      <c r="E38" s="41">
        <f>E34+E30+E26</f>
        <v>1340024.45</v>
      </c>
      <c r="F38" s="41">
        <f>D38+E38</f>
        <v>14274543.689999999</v>
      </c>
      <c r="G38" s="41">
        <f>G34+G30+G26</f>
        <v>919513.52</v>
      </c>
      <c r="H38" s="41">
        <v>302927.35999999999</v>
      </c>
      <c r="I38" s="41">
        <f>I34+I30+I26</f>
        <v>0</v>
      </c>
      <c r="J38" s="41">
        <f>J34+J30+J26</f>
        <v>0</v>
      </c>
      <c r="K38" s="41">
        <f>J38+I38+H38+G38+E38+D38</f>
        <v>15496984.57</v>
      </c>
      <c r="L38" s="57">
        <f>L34+L30+L26</f>
        <v>914221</v>
      </c>
    </row>
    <row r="39" spans="1:12" ht="15.75" thickBot="1">
      <c r="A39" s="164"/>
      <c r="B39" s="125"/>
      <c r="C39" s="68" t="s">
        <v>16</v>
      </c>
      <c r="D39" s="68">
        <f>D36-D38</f>
        <v>318472.68999999948</v>
      </c>
      <c r="E39" s="68">
        <f t="shared" ref="E39:L39" si="10">E36-E38</f>
        <v>19038.660000000149</v>
      </c>
      <c r="F39" s="68">
        <f t="shared" si="10"/>
        <v>337511.35000000149</v>
      </c>
      <c r="G39" s="68">
        <f t="shared" si="10"/>
        <v>-5086.3100000000559</v>
      </c>
      <c r="H39" s="68">
        <f t="shared" si="10"/>
        <v>0</v>
      </c>
      <c r="I39" s="68">
        <f t="shared" si="10"/>
        <v>0</v>
      </c>
      <c r="J39" s="68">
        <f t="shared" si="10"/>
        <v>0</v>
      </c>
      <c r="K39" s="68">
        <f t="shared" si="10"/>
        <v>332425.03999999911</v>
      </c>
      <c r="L39" s="69">
        <f t="shared" si="10"/>
        <v>20801</v>
      </c>
    </row>
    <row r="40" spans="1:12">
      <c r="A40" s="164"/>
      <c r="B40" s="112" t="s">
        <v>29</v>
      </c>
      <c r="C40" s="70" t="s">
        <v>13</v>
      </c>
      <c r="D40" s="71">
        <f>D17+D36</f>
        <v>26648471.239999998</v>
      </c>
      <c r="E40" s="71">
        <f>E17+E36</f>
        <v>2596127.7199999997</v>
      </c>
      <c r="F40" s="71">
        <f>D40+E40</f>
        <v>29244598.959999997</v>
      </c>
      <c r="G40" s="71">
        <f>G17+G36</f>
        <v>1911381.4</v>
      </c>
      <c r="H40" s="71">
        <f>H17+H36</f>
        <v>526213.68999999994</v>
      </c>
      <c r="I40" s="71">
        <f>I17+I36</f>
        <v>0</v>
      </c>
      <c r="J40" s="71">
        <f>J17+J36</f>
        <v>0</v>
      </c>
      <c r="K40" s="71">
        <f>J40+I40+H40+G40+E40+D40</f>
        <v>31682194.049999997</v>
      </c>
      <c r="L40" s="72">
        <f>L17+L36</f>
        <v>1921623</v>
      </c>
    </row>
    <row r="41" spans="1:12">
      <c r="A41" s="164"/>
      <c r="B41" s="113"/>
      <c r="C41" s="14" t="s">
        <v>14</v>
      </c>
      <c r="D41" s="15">
        <f>D20+D37</f>
        <v>26642659.359999999</v>
      </c>
      <c r="E41" s="15">
        <f>E20+E37</f>
        <v>2577062.06</v>
      </c>
      <c r="F41" s="15">
        <f t="shared" ref="F41:L41" si="11">F20+F37</f>
        <v>29219721.420000002</v>
      </c>
      <c r="G41" s="15">
        <f t="shared" si="11"/>
        <v>1916467.71</v>
      </c>
      <c r="H41" s="15">
        <f t="shared" si="11"/>
        <v>302927.35999999999</v>
      </c>
      <c r="I41" s="15">
        <f t="shared" si="11"/>
        <v>0</v>
      </c>
      <c r="J41" s="15">
        <f t="shared" si="11"/>
        <v>0</v>
      </c>
      <c r="K41" s="15">
        <f>K20+K37</f>
        <v>31439116.490000002</v>
      </c>
      <c r="L41" s="56">
        <f t="shared" si="11"/>
        <v>1900822</v>
      </c>
    </row>
    <row r="42" spans="1:12">
      <c r="A42" s="164"/>
      <c r="B42" s="113"/>
      <c r="C42" s="18" t="s">
        <v>15</v>
      </c>
      <c r="D42" s="19">
        <f>D22+D38</f>
        <v>26329998.550000001</v>
      </c>
      <c r="E42" s="19">
        <f t="shared" ref="E42:L43" si="12">E22+E38</f>
        <v>2577089.0599999996</v>
      </c>
      <c r="F42" s="19">
        <f t="shared" si="12"/>
        <v>28907087.609999999</v>
      </c>
      <c r="G42" s="19">
        <f t="shared" si="12"/>
        <v>1916467.71</v>
      </c>
      <c r="H42" s="19">
        <f t="shared" si="12"/>
        <v>526213.68999999994</v>
      </c>
      <c r="I42" s="19">
        <f t="shared" si="12"/>
        <v>0</v>
      </c>
      <c r="J42" s="19">
        <f t="shared" si="12"/>
        <v>0</v>
      </c>
      <c r="K42" s="20">
        <f>J42+I42+H42+G42+E42+D42</f>
        <v>31349769.009999998</v>
      </c>
      <c r="L42" s="62">
        <f>L38+L22</f>
        <v>1900822</v>
      </c>
    </row>
    <row r="43" spans="1:12">
      <c r="A43" s="164"/>
      <c r="B43" s="113"/>
      <c r="C43" s="38" t="s">
        <v>16</v>
      </c>
      <c r="D43" s="19">
        <f>D23+D39</f>
        <v>318472.68999999948</v>
      </c>
      <c r="E43" s="19">
        <f t="shared" si="12"/>
        <v>19038.660000000149</v>
      </c>
      <c r="F43" s="19">
        <f t="shared" si="12"/>
        <v>337511.35000000149</v>
      </c>
      <c r="G43" s="19">
        <f t="shared" si="12"/>
        <v>-5086.3100000000559</v>
      </c>
      <c r="H43" s="19">
        <f t="shared" si="12"/>
        <v>0</v>
      </c>
      <c r="I43" s="19">
        <f t="shared" si="12"/>
        <v>0</v>
      </c>
      <c r="J43" s="19">
        <f t="shared" si="12"/>
        <v>0</v>
      </c>
      <c r="K43" s="19">
        <f t="shared" si="12"/>
        <v>332425.03999999911</v>
      </c>
      <c r="L43" s="63">
        <f t="shared" si="12"/>
        <v>20801</v>
      </c>
    </row>
    <row r="44" spans="1:12">
      <c r="A44" s="164"/>
      <c r="B44" s="114"/>
      <c r="C44" s="24" t="s">
        <v>21</v>
      </c>
      <c r="D44" s="25">
        <v>26648471.239999998</v>
      </c>
      <c r="E44" s="25">
        <v>2596127.7200000002</v>
      </c>
      <c r="F44" s="25">
        <f>D44+E44</f>
        <v>29244598.959999997</v>
      </c>
      <c r="G44" s="25">
        <v>1911381.4</v>
      </c>
      <c r="H44" s="25"/>
      <c r="I44" s="25"/>
      <c r="J44" s="25"/>
      <c r="K44" s="25">
        <f>F44+G44</f>
        <v>31155980.359999996</v>
      </c>
      <c r="L44" s="64">
        <v>1921623</v>
      </c>
    </row>
    <row r="45" spans="1:12">
      <c r="A45" s="164"/>
      <c r="B45" s="114"/>
      <c r="C45" s="24" t="s">
        <v>22</v>
      </c>
      <c r="D45" s="25">
        <v>318472.69</v>
      </c>
      <c r="E45" s="25">
        <v>19038.66</v>
      </c>
      <c r="F45" s="25">
        <f>D45+E45</f>
        <v>337511.35</v>
      </c>
      <c r="G45" s="25">
        <v>-5086.3100000000004</v>
      </c>
      <c r="H45" s="25"/>
      <c r="I45" s="25"/>
      <c r="J45" s="25"/>
      <c r="K45" s="25">
        <f>F45+G45</f>
        <v>332425.03999999998</v>
      </c>
      <c r="L45" s="64">
        <v>20801</v>
      </c>
    </row>
    <row r="46" spans="1:12">
      <c r="A46" s="164"/>
      <c r="B46" s="114"/>
      <c r="C46" s="26" t="s">
        <v>23</v>
      </c>
      <c r="D46" s="25">
        <f>D42+D45</f>
        <v>26648471.240000002</v>
      </c>
      <c r="E46" s="25">
        <f>E42+E45</f>
        <v>2596127.7199999997</v>
      </c>
      <c r="F46" s="25">
        <f>D46+E46</f>
        <v>29244598.960000001</v>
      </c>
      <c r="G46" s="25">
        <f t="shared" ref="G46:L46" si="13">G42+G45</f>
        <v>1911381.4</v>
      </c>
      <c r="H46" s="25">
        <f t="shared" si="13"/>
        <v>526213.68999999994</v>
      </c>
      <c r="I46" s="25">
        <f t="shared" si="13"/>
        <v>0</v>
      </c>
      <c r="J46" s="25">
        <f t="shared" si="13"/>
        <v>0</v>
      </c>
      <c r="K46" s="25">
        <f t="shared" si="13"/>
        <v>31682194.049999997</v>
      </c>
      <c r="L46" s="64">
        <f t="shared" si="13"/>
        <v>1921623</v>
      </c>
    </row>
    <row r="47" spans="1:12" ht="15.75" thickBot="1">
      <c r="A47" s="165"/>
      <c r="B47" s="115"/>
      <c r="C47" s="65" t="s">
        <v>24</v>
      </c>
      <c r="D47" s="66">
        <f t="shared" ref="D47:L47" si="14">D40-D46</f>
        <v>0</v>
      </c>
      <c r="E47" s="66">
        <f t="shared" si="14"/>
        <v>0</v>
      </c>
      <c r="F47" s="66">
        <f t="shared" si="14"/>
        <v>0</v>
      </c>
      <c r="G47" s="66">
        <f t="shared" si="14"/>
        <v>0</v>
      </c>
      <c r="H47" s="66">
        <f t="shared" si="14"/>
        <v>0</v>
      </c>
      <c r="I47" s="66">
        <f t="shared" si="14"/>
        <v>0</v>
      </c>
      <c r="J47" s="66">
        <f t="shared" si="14"/>
        <v>0</v>
      </c>
      <c r="K47" s="66">
        <f t="shared" si="14"/>
        <v>0</v>
      </c>
      <c r="L47" s="67">
        <f t="shared" si="14"/>
        <v>0</v>
      </c>
    </row>
    <row r="48" spans="1:12">
      <c r="A48" s="134" t="s">
        <v>31</v>
      </c>
      <c r="B48" s="130" t="s">
        <v>12</v>
      </c>
      <c r="C48" s="51" t="s">
        <v>13</v>
      </c>
      <c r="D48" s="52">
        <v>3642291.81</v>
      </c>
      <c r="E48" s="52">
        <f>535256.86-307245.16</f>
        <v>228011.7</v>
      </c>
      <c r="F48" s="53">
        <f>D48+E48</f>
        <v>3870303.5100000002</v>
      </c>
      <c r="G48" s="52">
        <f>362930.75-143834.63</f>
        <v>219096.12</v>
      </c>
      <c r="H48" s="52">
        <v>0</v>
      </c>
      <c r="I48" s="52">
        <v>0</v>
      </c>
      <c r="J48" s="52">
        <v>0</v>
      </c>
      <c r="K48" s="53">
        <f>J48+I48+H48+G48+E48+D48</f>
        <v>4089399.63</v>
      </c>
      <c r="L48" s="54">
        <f>194033+44909</f>
        <v>238942</v>
      </c>
    </row>
    <row r="49" spans="1:13">
      <c r="A49" s="135"/>
      <c r="B49" s="131"/>
      <c r="C49" s="14" t="s">
        <v>14</v>
      </c>
      <c r="D49" s="15">
        <v>4333179.46</v>
      </c>
      <c r="E49" s="15">
        <v>228011.7</v>
      </c>
      <c r="F49" s="16">
        <f>D49+E49</f>
        <v>4561191.16</v>
      </c>
      <c r="G49" s="15">
        <v>219096.12</v>
      </c>
      <c r="H49" s="17">
        <v>0</v>
      </c>
      <c r="I49" s="17">
        <v>0</v>
      </c>
      <c r="J49" s="17">
        <v>0</v>
      </c>
      <c r="K49" s="16">
        <f>J49+I49+H49+G49+E49+D49</f>
        <v>4780287.28</v>
      </c>
      <c r="L49" s="55">
        <v>238942</v>
      </c>
    </row>
    <row r="50" spans="1:13">
      <c r="A50" s="135"/>
      <c r="B50" s="131"/>
      <c r="C50" s="39" t="s">
        <v>15</v>
      </c>
      <c r="D50" s="15">
        <v>3642071.06</v>
      </c>
      <c r="E50" s="15">
        <v>228011.7</v>
      </c>
      <c r="F50" s="16">
        <f>D50+E50</f>
        <v>3870082.7600000002</v>
      </c>
      <c r="G50" s="15">
        <v>219096.12</v>
      </c>
      <c r="H50" s="17">
        <v>0</v>
      </c>
      <c r="I50" s="17">
        <v>0</v>
      </c>
      <c r="J50" s="17">
        <v>0</v>
      </c>
      <c r="K50" s="16">
        <f>J50+I50+H50+G50+E50+D50</f>
        <v>4089178.88</v>
      </c>
      <c r="L50" s="55">
        <v>238942</v>
      </c>
    </row>
    <row r="51" spans="1:13">
      <c r="A51" s="135"/>
      <c r="B51" s="131"/>
      <c r="C51" s="14" t="s">
        <v>16</v>
      </c>
      <c r="D51" s="15">
        <f>D48-D50</f>
        <v>220.75</v>
      </c>
      <c r="E51" s="15">
        <f t="shared" ref="E51:L51" si="15">E48-E50</f>
        <v>0</v>
      </c>
      <c r="F51" s="15">
        <f t="shared" si="15"/>
        <v>220.75</v>
      </c>
      <c r="G51" s="15">
        <f t="shared" si="15"/>
        <v>0</v>
      </c>
      <c r="H51" s="15">
        <f t="shared" si="15"/>
        <v>0</v>
      </c>
      <c r="I51" s="15">
        <f t="shared" si="15"/>
        <v>0</v>
      </c>
      <c r="J51" s="15">
        <f t="shared" si="15"/>
        <v>0</v>
      </c>
      <c r="K51" s="15">
        <f t="shared" si="15"/>
        <v>220.75</v>
      </c>
      <c r="L51" s="56">
        <f t="shared" si="15"/>
        <v>0</v>
      </c>
    </row>
    <row r="52" spans="1:13">
      <c r="A52" s="135"/>
      <c r="B52" s="132" t="s">
        <v>17</v>
      </c>
      <c r="C52" s="14" t="s">
        <v>13</v>
      </c>
      <c r="D52" s="17">
        <f>3494353.72</f>
        <v>3494353.72</v>
      </c>
      <c r="E52" s="17">
        <f>535256.86-321281.64</f>
        <v>213975.21999999997</v>
      </c>
      <c r="F52" s="16">
        <f>D52+E52</f>
        <v>3708328.9400000004</v>
      </c>
      <c r="G52" s="17">
        <f>362930.75-60738.28</f>
        <v>302192.46999999997</v>
      </c>
      <c r="H52" s="17">
        <v>0</v>
      </c>
      <c r="I52" s="17">
        <v>0</v>
      </c>
      <c r="J52" s="17">
        <v>0</v>
      </c>
      <c r="K52" s="16">
        <f>J52+I52+H52+G52+E52+D52</f>
        <v>4010521.41</v>
      </c>
      <c r="L52" s="55">
        <v>215259</v>
      </c>
    </row>
    <row r="53" spans="1:13">
      <c r="A53" s="135"/>
      <c r="B53" s="131"/>
      <c r="C53" s="14" t="s">
        <v>14</v>
      </c>
      <c r="D53" s="15">
        <v>3999804.35</v>
      </c>
      <c r="E53" s="15">
        <v>213975.22</v>
      </c>
      <c r="F53" s="16">
        <f>D53+E53</f>
        <v>4213779.57</v>
      </c>
      <c r="G53" s="15">
        <v>302192.46999999997</v>
      </c>
      <c r="H53" s="17">
        <v>0</v>
      </c>
      <c r="I53" s="17">
        <v>0</v>
      </c>
      <c r="J53" s="17">
        <v>0</v>
      </c>
      <c r="K53" s="16">
        <f>J53+I53+H53+G53+E53+D53</f>
        <v>4515972.04</v>
      </c>
      <c r="L53" s="55">
        <v>215259</v>
      </c>
    </row>
    <row r="54" spans="1:13">
      <c r="A54" s="135"/>
      <c r="B54" s="131"/>
      <c r="C54" s="39" t="s">
        <v>15</v>
      </c>
      <c r="D54" s="15">
        <v>3494295.4</v>
      </c>
      <c r="E54" s="15">
        <v>213975.22</v>
      </c>
      <c r="F54" s="16">
        <f>D54+E54</f>
        <v>3708270.62</v>
      </c>
      <c r="G54" s="15">
        <v>302192.46999999997</v>
      </c>
      <c r="H54" s="17">
        <v>0</v>
      </c>
      <c r="I54" s="17">
        <v>0</v>
      </c>
      <c r="J54" s="17">
        <v>0</v>
      </c>
      <c r="K54" s="16">
        <f>J54+I54+H54+G54+E54+D54</f>
        <v>4010463.09</v>
      </c>
      <c r="L54" s="55">
        <v>215259</v>
      </c>
      <c r="M54" s="13"/>
    </row>
    <row r="55" spans="1:13">
      <c r="A55" s="135"/>
      <c r="B55" s="131"/>
      <c r="C55" s="14" t="s">
        <v>18</v>
      </c>
      <c r="D55" s="15">
        <f>D52-D54</f>
        <v>58.320000000298023</v>
      </c>
      <c r="E55" s="15">
        <f t="shared" ref="E55:J55" si="16">E52-E54</f>
        <v>0</v>
      </c>
      <c r="F55" s="15">
        <f t="shared" si="16"/>
        <v>58.320000000298023</v>
      </c>
      <c r="G55" s="15">
        <f t="shared" si="16"/>
        <v>0</v>
      </c>
      <c r="H55" s="15">
        <f t="shared" si="16"/>
        <v>0</v>
      </c>
      <c r="I55" s="15">
        <f t="shared" si="16"/>
        <v>0</v>
      </c>
      <c r="J55" s="15">
        <f t="shared" si="16"/>
        <v>0</v>
      </c>
      <c r="K55" s="15">
        <f>K52-K54</f>
        <v>58.320000000298023</v>
      </c>
      <c r="L55" s="56">
        <f>L52-L54</f>
        <v>0</v>
      </c>
    </row>
    <row r="56" spans="1:13">
      <c r="A56" s="135"/>
      <c r="B56" s="132" t="s">
        <v>19</v>
      </c>
      <c r="C56" s="14" t="s">
        <v>13</v>
      </c>
      <c r="D56" s="17">
        <f>3494323.73</f>
        <v>3494323.73</v>
      </c>
      <c r="E56" s="17">
        <f>535256.86-282703.58</f>
        <v>252553.27999999997</v>
      </c>
      <c r="F56" s="16">
        <f>D56+E56</f>
        <v>3746877.01</v>
      </c>
      <c r="G56" s="17">
        <f>362127.42-15067.2</f>
        <v>347060.22</v>
      </c>
      <c r="H56" s="17">
        <v>0</v>
      </c>
      <c r="I56" s="17">
        <v>0</v>
      </c>
      <c r="J56" s="17">
        <v>0</v>
      </c>
      <c r="K56" s="16">
        <f>J56+I56+H56+G56+E56+D56</f>
        <v>4093937.23</v>
      </c>
      <c r="L56" s="55">
        <v>210914</v>
      </c>
    </row>
    <row r="57" spans="1:13">
      <c r="A57" s="135"/>
      <c r="B57" s="133"/>
      <c r="C57" s="14" t="s">
        <v>14</v>
      </c>
      <c r="D57" s="15">
        <v>4358426.97</v>
      </c>
      <c r="E57" s="15">
        <v>266024.88</v>
      </c>
      <c r="F57" s="16">
        <f>D57+E57</f>
        <v>4624451.8499999996</v>
      </c>
      <c r="G57" s="15">
        <v>347336.3</v>
      </c>
      <c r="H57" s="17">
        <v>0</v>
      </c>
      <c r="I57" s="17">
        <v>0</v>
      </c>
      <c r="J57" s="17">
        <v>0</v>
      </c>
      <c r="K57" s="16">
        <f>J57+I57+H57+G57+E57+D57</f>
        <v>4971788.1499999994</v>
      </c>
      <c r="L57" s="55">
        <v>210914</v>
      </c>
    </row>
    <row r="58" spans="1:13">
      <c r="A58" s="135"/>
      <c r="B58" s="133"/>
      <c r="C58" s="39" t="s">
        <v>15</v>
      </c>
      <c r="D58" s="15">
        <v>3494169.28</v>
      </c>
      <c r="E58" s="15">
        <v>266024.88</v>
      </c>
      <c r="F58" s="16">
        <f>D58+E58</f>
        <v>3760194.1599999997</v>
      </c>
      <c r="G58" s="15">
        <v>347336.3</v>
      </c>
      <c r="H58" s="17">
        <v>0</v>
      </c>
      <c r="I58" s="17">
        <v>0</v>
      </c>
      <c r="J58" s="17">
        <v>0</v>
      </c>
      <c r="K58" s="16">
        <f>J58+I58+H58+G58+E58+D58</f>
        <v>4107530.46</v>
      </c>
      <c r="L58" s="55">
        <v>210914</v>
      </c>
    </row>
    <row r="59" spans="1:13">
      <c r="A59" s="135"/>
      <c r="B59" s="133"/>
      <c r="C59" s="14" t="s">
        <v>18</v>
      </c>
      <c r="D59" s="15">
        <f>D56-D58</f>
        <v>154.45000000018626</v>
      </c>
      <c r="E59" s="15">
        <f t="shared" ref="E59:J59" si="17">E56-E58</f>
        <v>-13471.600000000035</v>
      </c>
      <c r="F59" s="15">
        <f t="shared" si="17"/>
        <v>-13317.149999999907</v>
      </c>
      <c r="G59" s="15">
        <f t="shared" si="17"/>
        <v>-276.0800000000163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>K56-K58</f>
        <v>-13593.229999999981</v>
      </c>
      <c r="L59" s="56">
        <f>L56-L58</f>
        <v>0</v>
      </c>
    </row>
    <row r="60" spans="1:13">
      <c r="A60" s="135"/>
      <c r="B60" s="123" t="s">
        <v>20</v>
      </c>
      <c r="C60" s="14" t="s">
        <v>13</v>
      </c>
      <c r="D60" s="15">
        <f>D56+D52+D48</f>
        <v>10630969.26</v>
      </c>
      <c r="E60" s="15">
        <f>E56+E52+E48</f>
        <v>694540.2</v>
      </c>
      <c r="F60" s="15">
        <f t="shared" ref="F60:K60" si="18">F56+F52+F48</f>
        <v>11325509.460000001</v>
      </c>
      <c r="G60" s="15">
        <f t="shared" si="18"/>
        <v>868348.80999999994</v>
      </c>
      <c r="H60" s="15">
        <v>191843.67</v>
      </c>
      <c r="I60" s="15">
        <f t="shared" si="18"/>
        <v>0</v>
      </c>
      <c r="J60" s="15">
        <f t="shared" si="18"/>
        <v>0</v>
      </c>
      <c r="K60" s="15">
        <f t="shared" si="18"/>
        <v>12193858.27</v>
      </c>
      <c r="L60" s="56">
        <f>L56+L52+L48+7315</f>
        <v>672430</v>
      </c>
    </row>
    <row r="61" spans="1:13">
      <c r="A61" s="135"/>
      <c r="B61" s="124"/>
      <c r="C61" s="14" t="s">
        <v>14</v>
      </c>
      <c r="D61" s="15">
        <f t="shared" ref="D61:L62" si="19">D57+D53+D49</f>
        <v>12691410.780000001</v>
      </c>
      <c r="E61" s="15">
        <f t="shared" si="19"/>
        <v>708011.8</v>
      </c>
      <c r="F61" s="15">
        <f t="shared" si="19"/>
        <v>13399422.58</v>
      </c>
      <c r="G61" s="15">
        <f t="shared" si="19"/>
        <v>868624.89</v>
      </c>
      <c r="H61" s="15">
        <v>191843.67</v>
      </c>
      <c r="I61" s="15">
        <f t="shared" si="19"/>
        <v>0</v>
      </c>
      <c r="J61" s="15">
        <f t="shared" si="19"/>
        <v>0</v>
      </c>
      <c r="K61" s="15">
        <f t="shared" si="19"/>
        <v>14268047.469999999</v>
      </c>
      <c r="L61" s="56">
        <f t="shared" si="19"/>
        <v>665115</v>
      </c>
    </row>
    <row r="62" spans="1:13">
      <c r="A62" s="135"/>
      <c r="B62" s="124"/>
      <c r="C62" s="39" t="s">
        <v>15</v>
      </c>
      <c r="D62" s="15">
        <f t="shared" si="19"/>
        <v>10630535.74</v>
      </c>
      <c r="E62" s="15">
        <f t="shared" si="19"/>
        <v>708011.8</v>
      </c>
      <c r="F62" s="15">
        <f t="shared" si="19"/>
        <v>11338547.539999999</v>
      </c>
      <c r="G62" s="15">
        <f t="shared" si="19"/>
        <v>868624.89</v>
      </c>
      <c r="H62" s="15">
        <v>191843.67</v>
      </c>
      <c r="I62" s="15">
        <f t="shared" si="19"/>
        <v>0</v>
      </c>
      <c r="J62" s="15">
        <f t="shared" si="19"/>
        <v>0</v>
      </c>
      <c r="K62" s="15">
        <f t="shared" si="19"/>
        <v>12207172.43</v>
      </c>
      <c r="L62" s="56">
        <f t="shared" si="19"/>
        <v>665115</v>
      </c>
    </row>
    <row r="63" spans="1:13">
      <c r="A63" s="135"/>
      <c r="B63" s="124"/>
      <c r="C63" s="42" t="s">
        <v>32</v>
      </c>
      <c r="D63" s="41">
        <v>12724618.779999999</v>
      </c>
      <c r="E63" s="41">
        <v>694540.21</v>
      </c>
      <c r="F63" s="41">
        <f>D63+E63</f>
        <v>13419158.989999998</v>
      </c>
      <c r="G63" s="41">
        <v>868348.81</v>
      </c>
      <c r="H63" s="41"/>
      <c r="I63" s="41">
        <f>I65+I64</f>
        <v>0</v>
      </c>
      <c r="J63" s="41">
        <f>J65+J64</f>
        <v>0</v>
      </c>
      <c r="K63" s="41">
        <f>F63+G63</f>
        <v>14287507.799999999</v>
      </c>
      <c r="L63" s="57">
        <f>L65</f>
        <v>672430</v>
      </c>
    </row>
    <row r="64" spans="1:13">
      <c r="A64" s="135"/>
      <c r="B64" s="124"/>
      <c r="C64" s="42" t="s">
        <v>33</v>
      </c>
      <c r="D64" s="41">
        <v>154.94999999999999</v>
      </c>
      <c r="E64" s="41">
        <v>-13471.6</v>
      </c>
      <c r="F64" s="41">
        <f>D64+E64</f>
        <v>-13316.65</v>
      </c>
      <c r="G64" s="41">
        <v>-276.08</v>
      </c>
      <c r="H64" s="41"/>
      <c r="I64" s="41"/>
      <c r="J64" s="41"/>
      <c r="K64" s="41">
        <f>F64+G64</f>
        <v>-13592.73</v>
      </c>
      <c r="L64" s="57">
        <v>7315</v>
      </c>
      <c r="M64" s="13"/>
    </row>
    <row r="65" spans="1:13">
      <c r="A65" s="135"/>
      <c r="B65" s="124"/>
      <c r="C65" s="42" t="s">
        <v>23</v>
      </c>
      <c r="D65" s="41">
        <f>D62+D64</f>
        <v>10630690.689999999</v>
      </c>
      <c r="E65" s="41">
        <f t="shared" ref="E65:L65" si="20">E62+E64</f>
        <v>694540.20000000007</v>
      </c>
      <c r="F65" s="41">
        <f>F62+F64</f>
        <v>11325230.889999999</v>
      </c>
      <c r="G65" s="41">
        <f t="shared" si="20"/>
        <v>868348.81</v>
      </c>
      <c r="H65" s="41">
        <v>191843.67</v>
      </c>
      <c r="I65" s="41">
        <f t="shared" si="20"/>
        <v>0</v>
      </c>
      <c r="J65" s="41">
        <f t="shared" si="20"/>
        <v>0</v>
      </c>
      <c r="K65" s="41">
        <f t="shared" si="20"/>
        <v>12193579.699999999</v>
      </c>
      <c r="L65" s="57">
        <f t="shared" si="20"/>
        <v>672430</v>
      </c>
      <c r="M65" s="13"/>
    </row>
    <row r="66" spans="1:13">
      <c r="A66" s="135"/>
      <c r="B66" s="124"/>
      <c r="C66" s="40" t="s">
        <v>16</v>
      </c>
      <c r="D66" s="41">
        <f>D60-D65</f>
        <v>278.57000000029802</v>
      </c>
      <c r="E66" s="41">
        <f>E60-E65</f>
        <v>0</v>
      </c>
      <c r="F66" s="41">
        <f t="shared" ref="F66:K66" si="21">F60-F65</f>
        <v>278.57000000216067</v>
      </c>
      <c r="G66" s="41">
        <f>G60-G65</f>
        <v>0</v>
      </c>
      <c r="H66" s="41">
        <f t="shared" si="21"/>
        <v>0</v>
      </c>
      <c r="I66" s="41">
        <f t="shared" si="21"/>
        <v>0</v>
      </c>
      <c r="J66" s="41">
        <f t="shared" si="21"/>
        <v>0</v>
      </c>
      <c r="K66" s="41">
        <f t="shared" si="21"/>
        <v>278.57000000029802</v>
      </c>
      <c r="L66" s="57">
        <f>L59+L55+L51</f>
        <v>0</v>
      </c>
      <c r="M66" s="13"/>
    </row>
    <row r="67" spans="1:13">
      <c r="A67" s="161"/>
      <c r="B67" s="118" t="s">
        <v>25</v>
      </c>
      <c r="C67" s="40" t="s">
        <v>13</v>
      </c>
      <c r="D67" s="41">
        <f>3494323.73</f>
        <v>3494323.73</v>
      </c>
      <c r="E67" s="41">
        <f>535256.86-313175.58</f>
        <v>222081.27999999997</v>
      </c>
      <c r="F67" s="41">
        <f>D67+E67</f>
        <v>3716405.01</v>
      </c>
      <c r="G67" s="49">
        <f>362930.75</f>
        <v>362930.75</v>
      </c>
      <c r="H67" s="41">
        <v>0</v>
      </c>
      <c r="I67" s="41">
        <v>0</v>
      </c>
      <c r="J67" s="41">
        <v>0</v>
      </c>
      <c r="K67" s="41">
        <f>J67+I67+H67+G67+E67+D67</f>
        <v>4079335.76</v>
      </c>
      <c r="L67" s="57">
        <f>197200.14+11678.86</f>
        <v>208879</v>
      </c>
    </row>
    <row r="68" spans="1:13">
      <c r="A68" s="161"/>
      <c r="B68" s="119"/>
      <c r="C68" s="40" t="s">
        <v>14</v>
      </c>
      <c r="D68" s="41">
        <v>3685397.61</v>
      </c>
      <c r="E68" s="41">
        <v>222081.28</v>
      </c>
      <c r="F68" s="41">
        <f>D68+E68</f>
        <v>3907478.8899999997</v>
      </c>
      <c r="G68" s="41">
        <v>272068.07</v>
      </c>
      <c r="H68" s="41">
        <v>0</v>
      </c>
      <c r="I68" s="41">
        <v>0</v>
      </c>
      <c r="J68" s="41">
        <v>0</v>
      </c>
      <c r="K68" s="41">
        <f>J68+I68+H68+G68+E68+D68</f>
        <v>4179546.96</v>
      </c>
      <c r="L68" s="57">
        <v>208879</v>
      </c>
    </row>
    <row r="69" spans="1:13">
      <c r="A69" s="161"/>
      <c r="B69" s="119"/>
      <c r="C69" s="42" t="s">
        <v>15</v>
      </c>
      <c r="D69" s="41">
        <v>3494322.41</v>
      </c>
      <c r="E69" s="41">
        <v>222081.28</v>
      </c>
      <c r="F69" s="41">
        <f>D69+E69</f>
        <v>3716403.69</v>
      </c>
      <c r="G69" s="41">
        <v>272068.07</v>
      </c>
      <c r="H69" s="41">
        <v>0</v>
      </c>
      <c r="I69" s="41">
        <v>0</v>
      </c>
      <c r="J69" s="41">
        <v>0</v>
      </c>
      <c r="K69" s="41">
        <f>J69+I69+H69+G69+E69+D69</f>
        <v>3988471.7600000002</v>
      </c>
      <c r="L69" s="57">
        <v>208879</v>
      </c>
    </row>
    <row r="70" spans="1:13">
      <c r="A70" s="161"/>
      <c r="B70" s="120"/>
      <c r="C70" s="40" t="s">
        <v>16</v>
      </c>
      <c r="D70" s="41">
        <f>D67-D69</f>
        <v>1.3199999998323619</v>
      </c>
      <c r="E70" s="41">
        <f t="shared" ref="E70:L70" si="22">E67-E69</f>
        <v>0</v>
      </c>
      <c r="F70" s="41">
        <f t="shared" si="22"/>
        <v>1.3199999998323619</v>
      </c>
      <c r="G70" s="41">
        <f t="shared" si="22"/>
        <v>90862.68</v>
      </c>
      <c r="H70" s="41">
        <f t="shared" si="22"/>
        <v>0</v>
      </c>
      <c r="I70" s="41">
        <f t="shared" si="22"/>
        <v>0</v>
      </c>
      <c r="J70" s="41">
        <f t="shared" si="22"/>
        <v>0</v>
      </c>
      <c r="K70" s="41">
        <f t="shared" si="22"/>
        <v>90863.999999999534</v>
      </c>
      <c r="L70" s="57">
        <f t="shared" si="22"/>
        <v>0</v>
      </c>
    </row>
    <row r="71" spans="1:13">
      <c r="A71" s="161"/>
      <c r="B71" s="118" t="s">
        <v>26</v>
      </c>
      <c r="C71" s="14" t="s">
        <v>13</v>
      </c>
      <c r="D71" s="17">
        <f>3494323.73</f>
        <v>3494323.73</v>
      </c>
      <c r="E71" s="17">
        <f>535256.86-260765.9</f>
        <v>274490.95999999996</v>
      </c>
      <c r="F71" s="16">
        <f>D71+E71</f>
        <v>3768814.69</v>
      </c>
      <c r="G71" s="12">
        <v>362930.75</v>
      </c>
      <c r="H71" s="17">
        <v>0</v>
      </c>
      <c r="I71" s="17">
        <v>0</v>
      </c>
      <c r="J71" s="17">
        <v>0</v>
      </c>
      <c r="K71" s="16">
        <f>J71+I71+H71+G71+E71+D71</f>
        <v>4131745.44</v>
      </c>
      <c r="L71" s="55">
        <f>197200.14+34063.86</f>
        <v>231264</v>
      </c>
    </row>
    <row r="72" spans="1:13">
      <c r="A72" s="161"/>
      <c r="B72" s="119"/>
      <c r="C72" s="14" t="s">
        <v>14</v>
      </c>
      <c r="D72" s="15">
        <v>4627413.25</v>
      </c>
      <c r="E72" s="15">
        <v>274490.96000000002</v>
      </c>
      <c r="F72" s="16">
        <f>D72+E72</f>
        <v>4901904.21</v>
      </c>
      <c r="G72" s="74">
        <v>378739.96</v>
      </c>
      <c r="H72" s="17">
        <v>0</v>
      </c>
      <c r="I72" s="17">
        <v>0</v>
      </c>
      <c r="J72" s="17">
        <v>0</v>
      </c>
      <c r="K72" s="16">
        <f>J72+I72+H72+G72+E72+D72</f>
        <v>5280644.17</v>
      </c>
      <c r="L72" s="76">
        <v>231264</v>
      </c>
    </row>
    <row r="73" spans="1:13">
      <c r="A73" s="161"/>
      <c r="B73" s="119"/>
      <c r="C73" s="39" t="s">
        <v>15</v>
      </c>
      <c r="D73" s="15">
        <v>3494199.36</v>
      </c>
      <c r="E73" s="15">
        <v>274490.96000000002</v>
      </c>
      <c r="F73" s="16">
        <f>D73+E73</f>
        <v>3768690.32</v>
      </c>
      <c r="G73" s="15">
        <v>362919.54</v>
      </c>
      <c r="H73" s="17">
        <v>0</v>
      </c>
      <c r="I73" s="17">
        <v>0</v>
      </c>
      <c r="J73" s="17">
        <v>0</v>
      </c>
      <c r="K73" s="16">
        <f>J73+I73+H73+G73+E73+D73</f>
        <v>4131609.86</v>
      </c>
      <c r="L73" s="55">
        <v>231264</v>
      </c>
    </row>
    <row r="74" spans="1:13">
      <c r="A74" s="161"/>
      <c r="B74" s="120"/>
      <c r="C74" s="14" t="s">
        <v>16</v>
      </c>
      <c r="D74" s="15">
        <f>D71-D73</f>
        <v>124.37000000011176</v>
      </c>
      <c r="E74" s="15">
        <f t="shared" ref="E74:L74" si="23">E71-E73</f>
        <v>0</v>
      </c>
      <c r="F74" s="15">
        <f t="shared" si="23"/>
        <v>124.37000000011176</v>
      </c>
      <c r="G74" s="15">
        <f t="shared" si="23"/>
        <v>11.210000000020955</v>
      </c>
      <c r="H74" s="15">
        <f t="shared" si="23"/>
        <v>0</v>
      </c>
      <c r="I74" s="15">
        <f t="shared" si="23"/>
        <v>0</v>
      </c>
      <c r="J74" s="15">
        <f t="shared" si="23"/>
        <v>0</v>
      </c>
      <c r="K74" s="15">
        <f t="shared" si="23"/>
        <v>135.58000000007451</v>
      </c>
      <c r="L74" s="56">
        <f t="shared" si="23"/>
        <v>0</v>
      </c>
    </row>
    <row r="75" spans="1:13">
      <c r="A75" s="161"/>
      <c r="B75" s="121" t="s">
        <v>27</v>
      </c>
      <c r="C75" s="77" t="s">
        <v>13</v>
      </c>
      <c r="D75" s="17">
        <f>3494323.73-105.14</f>
        <v>3494218.59</v>
      </c>
      <c r="E75" s="17">
        <f>535256.86-203071.79</f>
        <v>332185.06999999995</v>
      </c>
      <c r="F75" s="16">
        <f>D75+E75</f>
        <v>3826403.6599999997</v>
      </c>
      <c r="G75" s="12">
        <f>362930.75-118089.69</f>
        <v>244841.06</v>
      </c>
      <c r="H75" s="16">
        <v>286822.64</v>
      </c>
      <c r="I75" s="16">
        <v>0</v>
      </c>
      <c r="J75" s="16">
        <v>0</v>
      </c>
      <c r="K75" s="16">
        <f>J75+I75+H75+G75+E75+D75</f>
        <v>4358067.3599999994</v>
      </c>
      <c r="L75" s="55">
        <f>224862+14245</f>
        <v>239107</v>
      </c>
    </row>
    <row r="76" spans="1:13">
      <c r="A76" s="161"/>
      <c r="B76" s="122"/>
      <c r="C76" s="77" t="s">
        <v>14</v>
      </c>
      <c r="D76" s="16">
        <v>3538911.38</v>
      </c>
      <c r="E76" s="16">
        <v>311242.26</v>
      </c>
      <c r="F76" s="16">
        <f>SUM(D76:E76)</f>
        <v>3850153.6399999997</v>
      </c>
      <c r="G76" s="16">
        <f>322874.55</f>
        <v>322874.55</v>
      </c>
      <c r="H76" s="16">
        <v>286822.64</v>
      </c>
      <c r="I76" s="16">
        <v>0</v>
      </c>
      <c r="J76" s="16">
        <v>0</v>
      </c>
      <c r="K76" s="16">
        <f>J76+I76+H76+G76+E76+D76</f>
        <v>4459850.83</v>
      </c>
      <c r="L76" s="55">
        <f>224862</f>
        <v>224862</v>
      </c>
    </row>
    <row r="77" spans="1:13">
      <c r="A77" s="161"/>
      <c r="B77" s="122"/>
      <c r="C77" s="78" t="s">
        <v>15</v>
      </c>
      <c r="D77" s="16">
        <v>3493652.64</v>
      </c>
      <c r="E77" s="16">
        <v>311242.26</v>
      </c>
      <c r="F77" s="16">
        <f>SUM(D77:E77)</f>
        <v>3804894.9000000004</v>
      </c>
      <c r="G77" s="16">
        <v>322874.55</v>
      </c>
      <c r="H77" s="16">
        <v>286822.64</v>
      </c>
      <c r="I77" s="16">
        <v>0</v>
      </c>
      <c r="J77" s="16">
        <v>0</v>
      </c>
      <c r="K77" s="16">
        <f>J77+I77+H77+G77+E77+D77</f>
        <v>4414592.09</v>
      </c>
      <c r="L77" s="55">
        <v>224862</v>
      </c>
    </row>
    <row r="78" spans="1:13">
      <c r="A78" s="161"/>
      <c r="B78" s="117"/>
      <c r="C78" s="77" t="s">
        <v>24</v>
      </c>
      <c r="D78" s="16">
        <f>D75-D77</f>
        <v>565.9499999997206</v>
      </c>
      <c r="E78" s="16">
        <f t="shared" ref="E78:L78" si="24">E75-E77</f>
        <v>20942.809999999939</v>
      </c>
      <c r="F78" s="16">
        <f t="shared" si="24"/>
        <v>21508.759999999311</v>
      </c>
      <c r="G78" s="16">
        <f t="shared" si="24"/>
        <v>-78033.489999999991</v>
      </c>
      <c r="H78" s="16">
        <f t="shared" si="24"/>
        <v>0</v>
      </c>
      <c r="I78" s="16">
        <f t="shared" si="24"/>
        <v>0</v>
      </c>
      <c r="J78" s="16">
        <f t="shared" si="24"/>
        <v>0</v>
      </c>
      <c r="K78" s="16">
        <f t="shared" si="24"/>
        <v>-56524.730000000447</v>
      </c>
      <c r="L78" s="73">
        <f t="shared" si="24"/>
        <v>14245</v>
      </c>
    </row>
    <row r="79" spans="1:13">
      <c r="A79" s="161"/>
      <c r="B79" s="123" t="s">
        <v>28</v>
      </c>
      <c r="C79" s="14" t="s">
        <v>13</v>
      </c>
      <c r="D79" s="15">
        <f t="shared" ref="D79:J82" si="25">D75+D71+D67</f>
        <v>10482866.050000001</v>
      </c>
      <c r="E79" s="15">
        <f t="shared" si="25"/>
        <v>828757.30999999982</v>
      </c>
      <c r="F79" s="15">
        <f t="shared" si="25"/>
        <v>11311623.359999999</v>
      </c>
      <c r="G79" s="15">
        <f t="shared" si="25"/>
        <v>970702.56</v>
      </c>
      <c r="H79" s="15">
        <f t="shared" si="25"/>
        <v>286822.64</v>
      </c>
      <c r="I79" s="15">
        <f t="shared" si="25"/>
        <v>0</v>
      </c>
      <c r="J79" s="15">
        <f t="shared" si="25"/>
        <v>0</v>
      </c>
      <c r="K79" s="16">
        <f>J79+I79+H79+G79+E79+D79</f>
        <v>12569148.560000001</v>
      </c>
      <c r="L79" s="55">
        <f>L75+L71+L67</f>
        <v>679250</v>
      </c>
    </row>
    <row r="80" spans="1:13">
      <c r="A80" s="161"/>
      <c r="B80" s="124"/>
      <c r="C80" s="14" t="s">
        <v>14</v>
      </c>
      <c r="D80" s="15">
        <f t="shared" si="25"/>
        <v>11851722.24</v>
      </c>
      <c r="E80" s="15">
        <f t="shared" si="25"/>
        <v>807814.5</v>
      </c>
      <c r="F80" s="16">
        <f>D80+E80</f>
        <v>12659536.74</v>
      </c>
      <c r="G80" s="15">
        <f t="shared" si="25"/>
        <v>973682.58000000007</v>
      </c>
      <c r="H80" s="15">
        <f t="shared" si="25"/>
        <v>286822.64</v>
      </c>
      <c r="I80" s="15">
        <f t="shared" si="25"/>
        <v>0</v>
      </c>
      <c r="J80" s="15">
        <f t="shared" si="25"/>
        <v>0</v>
      </c>
      <c r="K80" s="16">
        <f>J80+I80+H80+G80+E80+D80</f>
        <v>13920041.960000001</v>
      </c>
      <c r="L80" s="55">
        <f>L76+L72+L68</f>
        <v>665005</v>
      </c>
    </row>
    <row r="81" spans="1:13">
      <c r="A81" s="161"/>
      <c r="B81" s="124"/>
      <c r="C81" s="39" t="s">
        <v>15</v>
      </c>
      <c r="D81" s="15">
        <f t="shared" si="25"/>
        <v>10482174.41</v>
      </c>
      <c r="E81" s="15">
        <f t="shared" si="25"/>
        <v>807814.5</v>
      </c>
      <c r="F81" s="16">
        <f>D81+E81</f>
        <v>11289988.91</v>
      </c>
      <c r="G81" s="15">
        <f t="shared" si="25"/>
        <v>957862.15999999992</v>
      </c>
      <c r="H81" s="15">
        <f t="shared" si="25"/>
        <v>286822.64</v>
      </c>
      <c r="I81" s="15">
        <f t="shared" si="25"/>
        <v>0</v>
      </c>
      <c r="J81" s="15">
        <f t="shared" si="25"/>
        <v>0</v>
      </c>
      <c r="K81" s="16">
        <f>J81+I81+H81+G81+E81+D81</f>
        <v>12534673.710000001</v>
      </c>
      <c r="L81" s="55">
        <f>L77+L73+L69</f>
        <v>665005</v>
      </c>
    </row>
    <row r="82" spans="1:13" ht="15.75" thickBot="1">
      <c r="A82" s="161"/>
      <c r="B82" s="125"/>
      <c r="C82" s="81" t="s">
        <v>16</v>
      </c>
      <c r="D82" s="82">
        <f t="shared" si="25"/>
        <v>691.63999999966472</v>
      </c>
      <c r="E82" s="82">
        <f t="shared" si="25"/>
        <v>20942.809999999939</v>
      </c>
      <c r="F82" s="83">
        <f>D82+E82</f>
        <v>21634.449999999604</v>
      </c>
      <c r="G82" s="82">
        <f>G78+G74+G70</f>
        <v>12840.400000000023</v>
      </c>
      <c r="H82" s="81">
        <f>H79-H81</f>
        <v>0</v>
      </c>
      <c r="I82" s="81">
        <f>I79-I81</f>
        <v>0</v>
      </c>
      <c r="J82" s="81">
        <f>J79-J81</f>
        <v>0</v>
      </c>
      <c r="K82" s="83">
        <f>J82+I82+H82+G82+E82+D82</f>
        <v>34474.849999999627</v>
      </c>
      <c r="L82" s="84">
        <f>L78+L74+L70</f>
        <v>14245</v>
      </c>
    </row>
    <row r="83" spans="1:13">
      <c r="A83" s="161"/>
      <c r="B83" s="112" t="s">
        <v>29</v>
      </c>
      <c r="C83" s="70" t="s">
        <v>13</v>
      </c>
      <c r="D83" s="71">
        <f>D60+D79</f>
        <v>21113835.310000002</v>
      </c>
      <c r="E83" s="71">
        <f>E60+E79</f>
        <v>1523297.5099999998</v>
      </c>
      <c r="F83" s="71">
        <f>D83+E83</f>
        <v>22637132.82</v>
      </c>
      <c r="G83" s="71">
        <f>G60+G79</f>
        <v>1839051.37</v>
      </c>
      <c r="H83" s="71">
        <f>H60+H79</f>
        <v>478666.31000000006</v>
      </c>
      <c r="I83" s="71">
        <f>I60+I79</f>
        <v>0</v>
      </c>
      <c r="J83" s="71">
        <f>J60+J79</f>
        <v>0</v>
      </c>
      <c r="K83" s="71">
        <f>J83+I83+H83+G83+E83+D83</f>
        <v>24954850.500000004</v>
      </c>
      <c r="L83" s="72">
        <f>L60+L79</f>
        <v>1351680</v>
      </c>
      <c r="M83" s="13"/>
    </row>
    <row r="84" spans="1:13">
      <c r="A84" s="161"/>
      <c r="B84" s="113"/>
      <c r="C84" s="14" t="s">
        <v>14</v>
      </c>
      <c r="D84" s="15">
        <f>D63+D80</f>
        <v>24576341.02</v>
      </c>
      <c r="E84" s="15">
        <f t="shared" ref="E84:L84" si="26">E63+E80</f>
        <v>1502354.71</v>
      </c>
      <c r="F84" s="15">
        <f t="shared" si="26"/>
        <v>26078695.729999997</v>
      </c>
      <c r="G84" s="15">
        <f t="shared" si="26"/>
        <v>1842031.3900000001</v>
      </c>
      <c r="H84" s="15">
        <f>H61+H80</f>
        <v>478666.31000000006</v>
      </c>
      <c r="I84" s="15">
        <f t="shared" si="26"/>
        <v>0</v>
      </c>
      <c r="J84" s="15">
        <f t="shared" si="26"/>
        <v>0</v>
      </c>
      <c r="K84" s="15">
        <f>K63+K80</f>
        <v>28207549.759999998</v>
      </c>
      <c r="L84" s="56">
        <f t="shared" si="26"/>
        <v>1337435</v>
      </c>
    </row>
    <row r="85" spans="1:13">
      <c r="A85" s="161"/>
      <c r="B85" s="113"/>
      <c r="C85" s="39" t="s">
        <v>15</v>
      </c>
      <c r="D85" s="15">
        <f>D65+D81</f>
        <v>21112865.100000001</v>
      </c>
      <c r="E85" s="15">
        <f t="shared" ref="E85:L86" si="27">E65+E81</f>
        <v>1502354.7000000002</v>
      </c>
      <c r="F85" s="15">
        <f t="shared" si="27"/>
        <v>22615219.799999997</v>
      </c>
      <c r="G85" s="15">
        <f t="shared" si="27"/>
        <v>1826210.97</v>
      </c>
      <c r="H85" s="15">
        <f>H62+H81</f>
        <v>478666.31000000006</v>
      </c>
      <c r="I85" s="15">
        <f t="shared" si="27"/>
        <v>0</v>
      </c>
      <c r="J85" s="15">
        <f t="shared" si="27"/>
        <v>0</v>
      </c>
      <c r="K85" s="15">
        <f t="shared" si="27"/>
        <v>24728253.41</v>
      </c>
      <c r="L85" s="56">
        <f t="shared" si="27"/>
        <v>1337435</v>
      </c>
    </row>
    <row r="86" spans="1:13">
      <c r="A86" s="161"/>
      <c r="B86" s="113"/>
      <c r="C86" s="14" t="s">
        <v>16</v>
      </c>
      <c r="D86" s="15">
        <f>D66+D82</f>
        <v>970.20999999996275</v>
      </c>
      <c r="E86" s="15">
        <f>E66+E82</f>
        <v>20942.809999999939</v>
      </c>
      <c r="F86" s="15">
        <f t="shared" si="27"/>
        <v>21913.020000001765</v>
      </c>
      <c r="G86" s="15">
        <f t="shared" si="27"/>
        <v>12840.400000000023</v>
      </c>
      <c r="H86" s="15">
        <f t="shared" si="27"/>
        <v>0</v>
      </c>
      <c r="I86" s="15">
        <f t="shared" si="27"/>
        <v>0</v>
      </c>
      <c r="J86" s="15">
        <f t="shared" si="27"/>
        <v>0</v>
      </c>
      <c r="K86" s="15">
        <f t="shared" si="27"/>
        <v>34753.419999999925</v>
      </c>
      <c r="L86" s="56">
        <f t="shared" si="27"/>
        <v>14245</v>
      </c>
      <c r="M86" s="13"/>
    </row>
    <row r="87" spans="1:13">
      <c r="A87" s="161"/>
      <c r="B87" s="114"/>
      <c r="C87" s="79" t="s">
        <v>32</v>
      </c>
      <c r="D87" s="25">
        <v>24647951.77</v>
      </c>
      <c r="E87" s="25">
        <v>1523297.51</v>
      </c>
      <c r="F87" s="25">
        <f>D87+E87</f>
        <v>26171249.280000001</v>
      </c>
      <c r="G87" s="25">
        <v>1839051.37</v>
      </c>
      <c r="H87" s="25">
        <v>0</v>
      </c>
      <c r="I87" s="25"/>
      <c r="J87" s="25"/>
      <c r="K87" s="25">
        <f>F87+G87</f>
        <v>28010300.650000002</v>
      </c>
      <c r="L87" s="64">
        <v>1351680</v>
      </c>
    </row>
    <row r="88" spans="1:13">
      <c r="A88" s="161"/>
      <c r="B88" s="114"/>
      <c r="C88" s="79" t="s">
        <v>33</v>
      </c>
      <c r="D88" s="25">
        <v>970.21</v>
      </c>
      <c r="E88" s="25">
        <v>20942.810000000001</v>
      </c>
      <c r="F88" s="25">
        <f>D88+E88</f>
        <v>21913.02</v>
      </c>
      <c r="G88" s="25">
        <v>12840.4</v>
      </c>
      <c r="H88" s="25">
        <v>0</v>
      </c>
      <c r="I88" s="25"/>
      <c r="J88" s="25"/>
      <c r="K88" s="25">
        <f>F88+G88</f>
        <v>34753.42</v>
      </c>
      <c r="L88" s="64">
        <v>14245</v>
      </c>
    </row>
    <row r="89" spans="1:13">
      <c r="A89" s="161"/>
      <c r="B89" s="114"/>
      <c r="C89" s="79" t="s">
        <v>23</v>
      </c>
      <c r="D89" s="25">
        <f>D88+D85</f>
        <v>21113835.310000002</v>
      </c>
      <c r="E89" s="25">
        <f t="shared" ref="E89:L89" si="28">E88+E85</f>
        <v>1523297.5100000002</v>
      </c>
      <c r="F89" s="25">
        <f t="shared" si="28"/>
        <v>22637132.819999997</v>
      </c>
      <c r="G89" s="25">
        <f t="shared" si="28"/>
        <v>1839051.3699999999</v>
      </c>
      <c r="H89" s="25">
        <f t="shared" si="28"/>
        <v>478666.31000000006</v>
      </c>
      <c r="I89" s="25">
        <f t="shared" si="28"/>
        <v>0</v>
      </c>
      <c r="J89" s="25">
        <f t="shared" si="28"/>
        <v>0</v>
      </c>
      <c r="K89" s="25">
        <f>F89+G89+H89</f>
        <v>24954850.499999996</v>
      </c>
      <c r="L89" s="64">
        <f t="shared" si="28"/>
        <v>1351680</v>
      </c>
    </row>
    <row r="90" spans="1:13" ht="15.75" thickBot="1">
      <c r="A90" s="162"/>
      <c r="B90" s="115"/>
      <c r="C90" s="80" t="s">
        <v>16</v>
      </c>
      <c r="D90" s="66">
        <f>D83-D89</f>
        <v>0</v>
      </c>
      <c r="E90" s="66">
        <f t="shared" ref="E90:L90" si="29">E83-E89</f>
        <v>0</v>
      </c>
      <c r="F90" s="66">
        <f t="shared" si="29"/>
        <v>0</v>
      </c>
      <c r="G90" s="66">
        <f t="shared" si="29"/>
        <v>0</v>
      </c>
      <c r="H90" s="66">
        <f t="shared" si="29"/>
        <v>0</v>
      </c>
      <c r="I90" s="66">
        <f t="shared" si="29"/>
        <v>0</v>
      </c>
      <c r="J90" s="66">
        <f t="shared" si="29"/>
        <v>0</v>
      </c>
      <c r="K90" s="66">
        <f t="shared" si="29"/>
        <v>0</v>
      </c>
      <c r="L90" s="67">
        <f t="shared" si="29"/>
        <v>0</v>
      </c>
    </row>
    <row r="91" spans="1:13">
      <c r="A91" s="126" t="s">
        <v>34</v>
      </c>
      <c r="B91" s="130" t="s">
        <v>12</v>
      </c>
      <c r="C91" s="86" t="s">
        <v>13</v>
      </c>
      <c r="D91" s="87">
        <f>1370640.22+285722.58</f>
        <v>1656362.8</v>
      </c>
      <c r="E91" s="87">
        <f>205576.83-158961.54</f>
        <v>46615.289999999979</v>
      </c>
      <c r="F91" s="87">
        <f>D91+E91</f>
        <v>1702978.09</v>
      </c>
      <c r="G91" s="87">
        <f>306451.07-49640.33</f>
        <v>256810.74</v>
      </c>
      <c r="H91" s="87">
        <v>0</v>
      </c>
      <c r="I91" s="87">
        <v>0</v>
      </c>
      <c r="J91" s="87">
        <v>0</v>
      </c>
      <c r="K91" s="87">
        <f>J91+I91+H91+G91+E91+D91</f>
        <v>1959788.83</v>
      </c>
      <c r="L91" s="88">
        <f>113049+16234</f>
        <v>129283</v>
      </c>
    </row>
    <row r="92" spans="1:13">
      <c r="A92" s="127"/>
      <c r="B92" s="131"/>
      <c r="C92" s="40" t="s">
        <v>14</v>
      </c>
      <c r="D92" s="41">
        <v>1595663.91</v>
      </c>
      <c r="E92" s="41">
        <v>46615.29</v>
      </c>
      <c r="F92" s="41">
        <f>D92+E92</f>
        <v>1642279.2</v>
      </c>
      <c r="G92" s="41">
        <v>256810.74</v>
      </c>
      <c r="H92" s="41">
        <v>0</v>
      </c>
      <c r="I92" s="41">
        <v>0</v>
      </c>
      <c r="J92" s="41">
        <v>0</v>
      </c>
      <c r="K92" s="41">
        <f>J92+I92+H92+G92+E92+D92</f>
        <v>1899089.94</v>
      </c>
      <c r="L92" s="57">
        <v>129283</v>
      </c>
    </row>
    <row r="93" spans="1:13">
      <c r="A93" s="127"/>
      <c r="B93" s="131"/>
      <c r="C93" s="42" t="s">
        <v>15</v>
      </c>
      <c r="D93" s="41">
        <v>1595663.91</v>
      </c>
      <c r="E93" s="41">
        <v>46615.29</v>
      </c>
      <c r="F93" s="41">
        <f>D93+E93</f>
        <v>1642279.2</v>
      </c>
      <c r="G93" s="41">
        <v>256810.74</v>
      </c>
      <c r="H93" s="41">
        <v>0</v>
      </c>
      <c r="I93" s="41">
        <v>0</v>
      </c>
      <c r="J93" s="41">
        <v>0</v>
      </c>
      <c r="K93" s="41">
        <f>J93+I93+H93+G93+E93+D93</f>
        <v>1899089.94</v>
      </c>
      <c r="L93" s="57">
        <v>129283</v>
      </c>
    </row>
    <row r="94" spans="1:13">
      <c r="A94" s="127"/>
      <c r="B94" s="131"/>
      <c r="C94" s="40" t="s">
        <v>16</v>
      </c>
      <c r="D94" s="41">
        <f>D91-D93</f>
        <v>60698.89000000013</v>
      </c>
      <c r="E94" s="41">
        <f t="shared" ref="E94:L94" si="30">E91-E93</f>
        <v>0</v>
      </c>
      <c r="F94" s="41">
        <f t="shared" si="30"/>
        <v>60698.89000000013</v>
      </c>
      <c r="G94" s="41">
        <f t="shared" si="30"/>
        <v>0</v>
      </c>
      <c r="H94" s="41">
        <f t="shared" si="30"/>
        <v>0</v>
      </c>
      <c r="I94" s="41">
        <f t="shared" si="30"/>
        <v>0</v>
      </c>
      <c r="J94" s="41">
        <f t="shared" si="30"/>
        <v>0</v>
      </c>
      <c r="K94" s="41">
        <f t="shared" si="30"/>
        <v>60698.89000000013</v>
      </c>
      <c r="L94" s="57">
        <f t="shared" si="30"/>
        <v>0</v>
      </c>
    </row>
    <row r="95" spans="1:13">
      <c r="A95" s="127"/>
      <c r="B95" s="132" t="s">
        <v>17</v>
      </c>
      <c r="C95" s="40" t="s">
        <v>13</v>
      </c>
      <c r="D95" s="41">
        <f>1370640.22+182199.95-59854.59</f>
        <v>1492985.5799999998</v>
      </c>
      <c r="E95" s="41">
        <f>205576.83-116318.69</f>
        <v>89258.139999999985</v>
      </c>
      <c r="F95" s="41">
        <f>D95+E95</f>
        <v>1582243.7199999997</v>
      </c>
      <c r="G95" s="41">
        <f>306451.07-6713.69-10047.58</f>
        <v>289689.8</v>
      </c>
      <c r="H95" s="41">
        <v>0</v>
      </c>
      <c r="I95" s="41">
        <v>0</v>
      </c>
      <c r="J95" s="41">
        <v>0</v>
      </c>
      <c r="K95" s="41">
        <f>J95+I95+H95+G95+E95+D95</f>
        <v>1871933.5199999998</v>
      </c>
      <c r="L95" s="57">
        <v>113971</v>
      </c>
    </row>
    <row r="96" spans="1:13">
      <c r="A96" s="127"/>
      <c r="B96" s="131"/>
      <c r="C96" s="40" t="s">
        <v>14</v>
      </c>
      <c r="D96" s="41">
        <v>1373187.65</v>
      </c>
      <c r="E96" s="41">
        <v>89258.14</v>
      </c>
      <c r="F96" s="41">
        <f>D96+E96</f>
        <v>1462445.7899999998</v>
      </c>
      <c r="G96" s="41">
        <v>271864.53000000003</v>
      </c>
      <c r="H96" s="41">
        <v>0</v>
      </c>
      <c r="I96" s="41">
        <v>0</v>
      </c>
      <c r="J96" s="41">
        <v>0</v>
      </c>
      <c r="K96" s="41">
        <f>J96+I96+H96+G96+E96+D96</f>
        <v>1734310.3199999998</v>
      </c>
      <c r="L96" s="57">
        <v>113971</v>
      </c>
    </row>
    <row r="97" spans="1:13">
      <c r="A97" s="127"/>
      <c r="B97" s="131"/>
      <c r="C97" s="42" t="s">
        <v>15</v>
      </c>
      <c r="D97" s="41">
        <v>1373187.65</v>
      </c>
      <c r="E97" s="41">
        <v>89258.14</v>
      </c>
      <c r="F97" s="41">
        <f>D97+E97</f>
        <v>1462445.7899999998</v>
      </c>
      <c r="G97" s="41">
        <v>271864.53000000003</v>
      </c>
      <c r="H97" s="41">
        <v>0</v>
      </c>
      <c r="I97" s="41">
        <v>0</v>
      </c>
      <c r="J97" s="41">
        <v>0</v>
      </c>
      <c r="K97" s="41">
        <f>J97+I97+H97+G97+E97+D97</f>
        <v>1734310.3199999998</v>
      </c>
      <c r="L97" s="57">
        <v>113971</v>
      </c>
    </row>
    <row r="98" spans="1:13">
      <c r="A98" s="127"/>
      <c r="B98" s="131"/>
      <c r="C98" s="40" t="s">
        <v>18</v>
      </c>
      <c r="D98" s="41">
        <f>D95-D97</f>
        <v>119797.92999999993</v>
      </c>
      <c r="E98" s="41">
        <f t="shared" ref="E98:J98" si="31">E95-E97</f>
        <v>0</v>
      </c>
      <c r="F98" s="41">
        <f t="shared" si="31"/>
        <v>119797.92999999993</v>
      </c>
      <c r="G98" s="41">
        <f t="shared" si="31"/>
        <v>17825.26999999996</v>
      </c>
      <c r="H98" s="41">
        <f t="shared" si="31"/>
        <v>0</v>
      </c>
      <c r="I98" s="41">
        <f t="shared" si="31"/>
        <v>0</v>
      </c>
      <c r="J98" s="41">
        <f t="shared" si="31"/>
        <v>0</v>
      </c>
      <c r="K98" s="41">
        <f>K95-K97</f>
        <v>137623.19999999995</v>
      </c>
      <c r="L98" s="57">
        <f>L95-L97</f>
        <v>0</v>
      </c>
    </row>
    <row r="99" spans="1:13">
      <c r="A99" s="127"/>
      <c r="B99" s="132" t="s">
        <v>19</v>
      </c>
      <c r="C99" s="40" t="s">
        <v>13</v>
      </c>
      <c r="D99" s="41">
        <v>1958649.01</v>
      </c>
      <c r="E99" s="41">
        <f>205576.83-79628.8</f>
        <v>125948.02999999998</v>
      </c>
      <c r="F99" s="41">
        <f>D99+E99</f>
        <v>2084597.04</v>
      </c>
      <c r="G99" s="41">
        <v>306451.07</v>
      </c>
      <c r="H99" s="41">
        <v>0</v>
      </c>
      <c r="I99" s="41">
        <v>0</v>
      </c>
      <c r="J99" s="41">
        <v>0</v>
      </c>
      <c r="K99" s="41">
        <f>J99+I99+H99+G99+E99+D99</f>
        <v>2391048.11</v>
      </c>
      <c r="L99" s="57">
        <v>136004</v>
      </c>
    </row>
    <row r="100" spans="1:13">
      <c r="A100" s="127"/>
      <c r="B100" s="133"/>
      <c r="C100" s="40" t="s">
        <v>14</v>
      </c>
      <c r="D100" s="41">
        <v>2085124.17</v>
      </c>
      <c r="E100" s="41">
        <v>125964.12</v>
      </c>
      <c r="F100" s="41">
        <f>D100+E100</f>
        <v>2211088.29</v>
      </c>
      <c r="G100" s="41">
        <v>324263.78999999998</v>
      </c>
      <c r="H100" s="41">
        <v>0</v>
      </c>
      <c r="I100" s="41">
        <v>0</v>
      </c>
      <c r="J100" s="41">
        <v>0</v>
      </c>
      <c r="K100" s="41">
        <f>J100+I100+H100+G100+E100+D100</f>
        <v>2535352.08</v>
      </c>
      <c r="L100" s="57">
        <v>136004</v>
      </c>
      <c r="M100" s="13"/>
    </row>
    <row r="101" spans="1:13">
      <c r="A101" s="127"/>
      <c r="B101" s="133"/>
      <c r="C101" s="42" t="s">
        <v>15</v>
      </c>
      <c r="D101" s="41">
        <v>1958247.16</v>
      </c>
      <c r="E101" s="41">
        <v>125964.12</v>
      </c>
      <c r="F101" s="41">
        <f>D101+E101</f>
        <v>2084211.2799999998</v>
      </c>
      <c r="G101" s="41">
        <v>306418.86</v>
      </c>
      <c r="H101" s="41">
        <v>0</v>
      </c>
      <c r="I101" s="41">
        <v>0</v>
      </c>
      <c r="J101" s="41">
        <v>0</v>
      </c>
      <c r="K101" s="41">
        <f>J101+I101+H101+G101+E101+D101</f>
        <v>2390630.1399999997</v>
      </c>
      <c r="L101" s="57">
        <v>136004</v>
      </c>
    </row>
    <row r="102" spans="1:13">
      <c r="A102" s="127"/>
      <c r="B102" s="133"/>
      <c r="C102" s="40" t="s">
        <v>18</v>
      </c>
      <c r="D102" s="41">
        <f>D99-D101</f>
        <v>401.85000000009313</v>
      </c>
      <c r="E102" s="41">
        <f t="shared" ref="E102:J102" si="32">E99-E101</f>
        <v>-16.090000000011059</v>
      </c>
      <c r="F102" s="41">
        <f t="shared" si="32"/>
        <v>385.76000000024214</v>
      </c>
      <c r="G102" s="41">
        <f t="shared" si="32"/>
        <v>32.210000000020955</v>
      </c>
      <c r="H102" s="41">
        <f t="shared" si="32"/>
        <v>0</v>
      </c>
      <c r="I102" s="41">
        <f t="shared" si="32"/>
        <v>0</v>
      </c>
      <c r="J102" s="41">
        <f t="shared" si="32"/>
        <v>0</v>
      </c>
      <c r="K102" s="41">
        <f>K99-K101</f>
        <v>417.97000000020489</v>
      </c>
      <c r="L102" s="57">
        <f>L99-L101</f>
        <v>0</v>
      </c>
    </row>
    <row r="103" spans="1:13">
      <c r="A103" s="127"/>
      <c r="B103" s="123" t="s">
        <v>20</v>
      </c>
      <c r="C103" s="40" t="s">
        <v>13</v>
      </c>
      <c r="D103" s="41">
        <f>D99+D95+D91</f>
        <v>5107997.3899999997</v>
      </c>
      <c r="E103" s="41">
        <f>E99+E95+E91</f>
        <v>261821.45999999996</v>
      </c>
      <c r="F103" s="41">
        <f t="shared" ref="F103:K103" si="33">F99+F95+F91</f>
        <v>5369818.8499999996</v>
      </c>
      <c r="G103" s="41">
        <f t="shared" si="33"/>
        <v>852951.61</v>
      </c>
      <c r="H103" s="41">
        <v>0</v>
      </c>
      <c r="I103" s="41">
        <f t="shared" si="33"/>
        <v>0</v>
      </c>
      <c r="J103" s="41">
        <f t="shared" si="33"/>
        <v>0</v>
      </c>
      <c r="K103" s="41">
        <f t="shared" si="33"/>
        <v>6222770.46</v>
      </c>
      <c r="L103" s="57">
        <f>L99+L95+L91+11506</f>
        <v>390764</v>
      </c>
    </row>
    <row r="104" spans="1:13">
      <c r="A104" s="127"/>
      <c r="B104" s="124"/>
      <c r="C104" s="40" t="s">
        <v>14</v>
      </c>
      <c r="D104" s="41">
        <f t="shared" ref="D104:K105" si="34">D100+D96+D92</f>
        <v>5053975.7299999995</v>
      </c>
      <c r="E104" s="41">
        <f t="shared" si="34"/>
        <v>261837.55000000002</v>
      </c>
      <c r="F104" s="41">
        <f t="shared" si="34"/>
        <v>5315813.28</v>
      </c>
      <c r="G104" s="41">
        <f t="shared" si="34"/>
        <v>852939.06</v>
      </c>
      <c r="H104" s="41">
        <f t="shared" si="34"/>
        <v>0</v>
      </c>
      <c r="I104" s="41">
        <f t="shared" si="34"/>
        <v>0</v>
      </c>
      <c r="J104" s="41">
        <f t="shared" si="34"/>
        <v>0</v>
      </c>
      <c r="K104" s="41">
        <f t="shared" si="34"/>
        <v>6168752.3399999999</v>
      </c>
      <c r="L104" s="57">
        <v>390764</v>
      </c>
    </row>
    <row r="105" spans="1:13">
      <c r="A105" s="127"/>
      <c r="B105" s="124"/>
      <c r="C105" s="42" t="s">
        <v>15</v>
      </c>
      <c r="D105" s="41">
        <f t="shared" si="34"/>
        <v>4927098.72</v>
      </c>
      <c r="E105" s="41">
        <f t="shared" si="34"/>
        <v>261837.55000000002</v>
      </c>
      <c r="F105" s="41">
        <f t="shared" si="34"/>
        <v>5188936.2699999996</v>
      </c>
      <c r="G105" s="41">
        <f t="shared" si="34"/>
        <v>835094.13</v>
      </c>
      <c r="H105" s="41">
        <f t="shared" si="34"/>
        <v>0</v>
      </c>
      <c r="I105" s="41">
        <f t="shared" si="34"/>
        <v>0</v>
      </c>
      <c r="J105" s="41">
        <f t="shared" si="34"/>
        <v>0</v>
      </c>
      <c r="K105" s="41">
        <f t="shared" si="34"/>
        <v>6024030.3999999994</v>
      </c>
      <c r="L105" s="57">
        <v>390764</v>
      </c>
    </row>
    <row r="106" spans="1:13">
      <c r="A106" s="127"/>
      <c r="B106" s="124"/>
      <c r="C106" s="42" t="s">
        <v>35</v>
      </c>
      <c r="D106" s="41">
        <v>5107997.3899999997</v>
      </c>
      <c r="E106" s="41">
        <v>261821.46</v>
      </c>
      <c r="F106" s="41">
        <f>D106+E106</f>
        <v>5369818.8499999996</v>
      </c>
      <c r="G106" s="41">
        <v>852951.61</v>
      </c>
      <c r="H106" s="41">
        <v>0</v>
      </c>
      <c r="I106" s="41">
        <f>I104-I105</f>
        <v>0</v>
      </c>
      <c r="J106" s="41">
        <f>J104-J105</f>
        <v>0</v>
      </c>
      <c r="K106" s="41">
        <f>F106+G106</f>
        <v>6222770.46</v>
      </c>
      <c r="L106" s="57">
        <f>L103</f>
        <v>390764</v>
      </c>
    </row>
    <row r="107" spans="1:13">
      <c r="A107" s="127"/>
      <c r="B107" s="124"/>
      <c r="C107" s="42" t="s">
        <v>33</v>
      </c>
      <c r="D107" s="41">
        <v>180898.67</v>
      </c>
      <c r="E107" s="41">
        <v>-16.09</v>
      </c>
      <c r="F107" s="41">
        <f>D107+E107</f>
        <v>180882.58000000002</v>
      </c>
      <c r="G107" s="41">
        <v>17857.48</v>
      </c>
      <c r="H107" s="41">
        <v>0</v>
      </c>
      <c r="I107" s="41"/>
      <c r="J107" s="41"/>
      <c r="K107" s="41">
        <f>F107+G107</f>
        <v>198740.06000000003</v>
      </c>
      <c r="L107" s="57">
        <v>390764</v>
      </c>
    </row>
    <row r="108" spans="1:13" ht="15" customHeight="1">
      <c r="A108" s="127"/>
      <c r="B108" s="124"/>
      <c r="C108" s="42" t="s">
        <v>23</v>
      </c>
      <c r="D108" s="41">
        <f>D105+D107</f>
        <v>5107997.3899999997</v>
      </c>
      <c r="E108" s="41">
        <f t="shared" ref="E108:K108" si="35">E105+E107</f>
        <v>261821.46000000002</v>
      </c>
      <c r="F108" s="41">
        <f t="shared" si="35"/>
        <v>5369818.8499999996</v>
      </c>
      <c r="G108" s="41">
        <f t="shared" si="35"/>
        <v>852951.61</v>
      </c>
      <c r="H108" s="41">
        <v>0</v>
      </c>
      <c r="I108" s="41">
        <f t="shared" si="35"/>
        <v>0</v>
      </c>
      <c r="J108" s="41">
        <f t="shared" si="35"/>
        <v>0</v>
      </c>
      <c r="K108" s="41">
        <f t="shared" si="35"/>
        <v>6222770.459999999</v>
      </c>
      <c r="L108" s="57">
        <v>390764</v>
      </c>
    </row>
    <row r="109" spans="1:13">
      <c r="A109" s="127"/>
      <c r="B109" s="124"/>
      <c r="C109" s="40" t="s">
        <v>16</v>
      </c>
      <c r="D109" s="41">
        <f>D103-D108</f>
        <v>0</v>
      </c>
      <c r="E109" s="41">
        <f t="shared" ref="E109:K109" si="36">E103-E108</f>
        <v>0</v>
      </c>
      <c r="F109" s="41">
        <f t="shared" si="36"/>
        <v>0</v>
      </c>
      <c r="G109" s="41">
        <f t="shared" si="36"/>
        <v>0</v>
      </c>
      <c r="H109" s="41">
        <f t="shared" si="36"/>
        <v>0</v>
      </c>
      <c r="I109" s="41">
        <f t="shared" si="36"/>
        <v>0</v>
      </c>
      <c r="J109" s="41">
        <f t="shared" si="36"/>
        <v>0</v>
      </c>
      <c r="K109" s="41">
        <f t="shared" si="36"/>
        <v>0</v>
      </c>
      <c r="L109" s="57">
        <f>L102+L98+L94</f>
        <v>0</v>
      </c>
    </row>
    <row r="110" spans="1:13">
      <c r="A110" s="128"/>
      <c r="B110" s="118" t="s">
        <v>25</v>
      </c>
      <c r="C110" s="40" t="s">
        <v>13</v>
      </c>
      <c r="D110" s="41">
        <f>1370640.22+285722.58-47620.43</f>
        <v>1608742.37</v>
      </c>
      <c r="E110" s="41">
        <f>205576.83-136502.09</f>
        <v>69074.739999999991</v>
      </c>
      <c r="F110" s="41">
        <f>D110+E110</f>
        <v>1677817.11</v>
      </c>
      <c r="G110" s="41">
        <f>306451.07-22678.9</f>
        <v>283772.17</v>
      </c>
      <c r="H110" s="41">
        <v>0</v>
      </c>
      <c r="I110" s="41">
        <v>0</v>
      </c>
      <c r="J110" s="41">
        <v>0</v>
      </c>
      <c r="K110" s="41">
        <f>J110+I110+H110+G110+E110+D110</f>
        <v>1961589.28</v>
      </c>
      <c r="L110" s="57">
        <f>112060.14-12796.14</f>
        <v>99264</v>
      </c>
    </row>
    <row r="111" spans="1:13">
      <c r="A111" s="128"/>
      <c r="B111" s="119"/>
      <c r="C111" s="40" t="s">
        <v>14</v>
      </c>
      <c r="D111" s="41">
        <v>1607601.58</v>
      </c>
      <c r="E111" s="41">
        <v>70449.06</v>
      </c>
      <c r="F111" s="41">
        <f>D111+E111</f>
        <v>1678050.6400000001</v>
      </c>
      <c r="G111" s="41">
        <v>270676.69</v>
      </c>
      <c r="H111" s="41">
        <v>0</v>
      </c>
      <c r="I111" s="41">
        <v>0</v>
      </c>
      <c r="J111" s="41">
        <v>0</v>
      </c>
      <c r="K111" s="41">
        <f>J111+I111+H111+G111+E111+D111</f>
        <v>1948727.33</v>
      </c>
      <c r="L111" s="57">
        <v>99264</v>
      </c>
    </row>
    <row r="112" spans="1:13">
      <c r="A112" s="128"/>
      <c r="B112" s="119"/>
      <c r="C112" s="42" t="s">
        <v>15</v>
      </c>
      <c r="D112" s="41">
        <v>1607601.58</v>
      </c>
      <c r="E112" s="41">
        <v>69074.740000000005</v>
      </c>
      <c r="F112" s="41">
        <f>D112+E112</f>
        <v>1676676.32</v>
      </c>
      <c r="G112" s="41">
        <v>270676.69</v>
      </c>
      <c r="H112" s="41">
        <v>0</v>
      </c>
      <c r="I112" s="41">
        <v>0</v>
      </c>
      <c r="J112" s="41">
        <v>0</v>
      </c>
      <c r="K112" s="41">
        <f>J112+I112+H112+G112+E112+D112</f>
        <v>1947353.01</v>
      </c>
      <c r="L112" s="57">
        <v>99264</v>
      </c>
    </row>
    <row r="113" spans="1:13">
      <c r="A113" s="128"/>
      <c r="B113" s="120"/>
      <c r="C113" s="40" t="s">
        <v>16</v>
      </c>
      <c r="D113" s="41">
        <f>D110-D112</f>
        <v>1140.7900000000373</v>
      </c>
      <c r="E113" s="41">
        <f t="shared" ref="E113:L113" si="37">E110-E112</f>
        <v>0</v>
      </c>
      <c r="F113" s="41">
        <f t="shared" si="37"/>
        <v>1140.7900000000373</v>
      </c>
      <c r="G113" s="41">
        <f t="shared" si="37"/>
        <v>13095.479999999981</v>
      </c>
      <c r="H113" s="41">
        <f t="shared" si="37"/>
        <v>0</v>
      </c>
      <c r="I113" s="41">
        <f t="shared" si="37"/>
        <v>0</v>
      </c>
      <c r="J113" s="41">
        <f t="shared" si="37"/>
        <v>0</v>
      </c>
      <c r="K113" s="41">
        <f t="shared" si="37"/>
        <v>14236.270000000019</v>
      </c>
      <c r="L113" s="57">
        <f t="shared" si="37"/>
        <v>0</v>
      </c>
    </row>
    <row r="114" spans="1:13">
      <c r="A114" s="128"/>
      <c r="B114" s="118" t="s">
        <v>26</v>
      </c>
      <c r="C114" s="40" t="s">
        <v>13</v>
      </c>
      <c r="D114" s="41">
        <v>1958649.01</v>
      </c>
      <c r="E114" s="41">
        <f>205576.83-112650.95</f>
        <v>92925.87999999999</v>
      </c>
      <c r="F114" s="41">
        <f>D114+E114</f>
        <v>2051574.89</v>
      </c>
      <c r="G114" s="41">
        <v>306451.07</v>
      </c>
      <c r="H114" s="41">
        <v>0</v>
      </c>
      <c r="I114" s="41">
        <v>0</v>
      </c>
      <c r="J114" s="41">
        <v>0</v>
      </c>
      <c r="K114" s="41">
        <f>J114+I114+H114+G114+E114+D114</f>
        <v>2358025.96</v>
      </c>
      <c r="L114" s="57">
        <f>124856.28+11774.72</f>
        <v>136631</v>
      </c>
      <c r="M114" s="13"/>
    </row>
    <row r="115" spans="1:13">
      <c r="A115" s="128"/>
      <c r="B115" s="119"/>
      <c r="C115" s="40" t="s">
        <v>14</v>
      </c>
      <c r="D115" s="41">
        <v>1989967.73</v>
      </c>
      <c r="E115" s="41">
        <v>92925.88</v>
      </c>
      <c r="F115" s="41">
        <f>D115+E115</f>
        <v>2082893.6099999999</v>
      </c>
      <c r="G115" s="59">
        <v>318140.74</v>
      </c>
      <c r="H115" s="41">
        <v>0</v>
      </c>
      <c r="I115" s="41">
        <v>0</v>
      </c>
      <c r="J115" s="41">
        <v>0</v>
      </c>
      <c r="K115" s="41">
        <f>J115+I115+H115+G115+E115+D115</f>
        <v>2401034.35</v>
      </c>
      <c r="L115" s="60">
        <v>136631</v>
      </c>
    </row>
    <row r="116" spans="1:13">
      <c r="A116" s="128"/>
      <c r="B116" s="119"/>
      <c r="C116" s="42" t="s">
        <v>15</v>
      </c>
      <c r="D116" s="41">
        <v>1958083.78</v>
      </c>
      <c r="E116" s="41">
        <v>92925.88</v>
      </c>
      <c r="F116" s="41">
        <f>D116+E116</f>
        <v>2051009.6600000001</v>
      </c>
      <c r="G116" s="41">
        <v>306425.48</v>
      </c>
      <c r="H116" s="41">
        <v>0</v>
      </c>
      <c r="I116" s="41">
        <v>0</v>
      </c>
      <c r="J116" s="41">
        <v>0</v>
      </c>
      <c r="K116" s="41">
        <f>J116+I116+H116+G116+E116+D116</f>
        <v>2357435.14</v>
      </c>
      <c r="L116" s="57">
        <v>136631</v>
      </c>
    </row>
    <row r="117" spans="1:13">
      <c r="A117" s="128"/>
      <c r="B117" s="120"/>
      <c r="C117" s="40" t="s">
        <v>24</v>
      </c>
      <c r="D117" s="41">
        <f>D114-D116</f>
        <v>565.22999999998137</v>
      </c>
      <c r="E117" s="41">
        <f t="shared" ref="E117:L117" si="38">E114-E116</f>
        <v>0</v>
      </c>
      <c r="F117" s="41">
        <f t="shared" si="38"/>
        <v>565.22999999974854</v>
      </c>
      <c r="G117" s="41">
        <f t="shared" si="38"/>
        <v>25.590000000025611</v>
      </c>
      <c r="H117" s="41">
        <f t="shared" si="38"/>
        <v>0</v>
      </c>
      <c r="I117" s="41">
        <f t="shared" si="38"/>
        <v>0</v>
      </c>
      <c r="J117" s="41">
        <f t="shared" si="38"/>
        <v>0</v>
      </c>
      <c r="K117" s="41">
        <f t="shared" si="38"/>
        <v>590.81999999983236</v>
      </c>
      <c r="L117" s="57">
        <f t="shared" si="38"/>
        <v>0</v>
      </c>
    </row>
    <row r="118" spans="1:13">
      <c r="A118" s="128"/>
      <c r="B118" s="121" t="s">
        <v>27</v>
      </c>
      <c r="C118" s="40" t="s">
        <v>13</v>
      </c>
      <c r="D118" s="41">
        <f>1370640.22+285722.58-24009.35</f>
        <v>1632353.45</v>
      </c>
      <c r="E118" s="41">
        <f>205576.83-107936.59</f>
        <v>97640.239999999991</v>
      </c>
      <c r="F118" s="41">
        <f>D118+E118</f>
        <v>1729993.69</v>
      </c>
      <c r="G118" s="41">
        <v>306451.07</v>
      </c>
      <c r="H118" s="41">
        <v>0</v>
      </c>
      <c r="I118" s="41">
        <v>0</v>
      </c>
      <c r="J118" s="41">
        <v>0</v>
      </c>
      <c r="K118" s="41">
        <f>J118+I118+H118+G118+E118+D118</f>
        <v>2036444.76</v>
      </c>
      <c r="L118" s="57">
        <f>107844+3773</f>
        <v>111617</v>
      </c>
    </row>
    <row r="119" spans="1:13">
      <c r="A119" s="128"/>
      <c r="B119" s="122"/>
      <c r="C119" s="40" t="s">
        <v>14</v>
      </c>
      <c r="D119" s="41">
        <v>1567483.74</v>
      </c>
      <c r="E119" s="41">
        <v>98237.77</v>
      </c>
      <c r="F119" s="41">
        <f>SUM(D119:E119)</f>
        <v>1665721.51</v>
      </c>
      <c r="G119" s="41">
        <v>312825.24</v>
      </c>
      <c r="H119" s="41">
        <v>0</v>
      </c>
      <c r="I119" s="41">
        <v>0</v>
      </c>
      <c r="J119" s="41">
        <v>0</v>
      </c>
      <c r="K119" s="41">
        <f>J119+I119+H119+G119+E119+D119</f>
        <v>1978546.75</v>
      </c>
      <c r="L119" s="57">
        <v>107844</v>
      </c>
    </row>
    <row r="120" spans="1:13">
      <c r="A120" s="128"/>
      <c r="B120" s="122"/>
      <c r="C120" s="42" t="s">
        <v>15</v>
      </c>
      <c r="D120" s="41">
        <f>886304.54+681179.2</f>
        <v>1567483.74</v>
      </c>
      <c r="E120" s="41">
        <v>98237.77</v>
      </c>
      <c r="F120" s="41">
        <f>SUM(D120:E120)</f>
        <v>1665721.51</v>
      </c>
      <c r="G120" s="41">
        <v>306425.78000000003</v>
      </c>
      <c r="H120" s="41">
        <v>0</v>
      </c>
      <c r="I120" s="41">
        <v>0</v>
      </c>
      <c r="J120" s="41">
        <v>0</v>
      </c>
      <c r="K120" s="41">
        <f>J120+I120+H120+G120+E120+D120</f>
        <v>1972147.29</v>
      </c>
      <c r="L120" s="57">
        <v>107844</v>
      </c>
    </row>
    <row r="121" spans="1:13">
      <c r="A121" s="128"/>
      <c r="B121" s="117"/>
      <c r="C121" s="40" t="s">
        <v>24</v>
      </c>
      <c r="D121" s="41">
        <f>D118-D120</f>
        <v>64869.709999999963</v>
      </c>
      <c r="E121" s="41">
        <f t="shared" ref="E121:L121" si="39">E118-E120</f>
        <v>-597.53000000001339</v>
      </c>
      <c r="F121" s="41">
        <f t="shared" si="39"/>
        <v>64272.179999999935</v>
      </c>
      <c r="G121" s="41">
        <f t="shared" si="39"/>
        <v>25.289999999979045</v>
      </c>
      <c r="H121" s="41">
        <f t="shared" si="39"/>
        <v>0</v>
      </c>
      <c r="I121" s="41">
        <f t="shared" si="39"/>
        <v>0</v>
      </c>
      <c r="J121" s="41">
        <f t="shared" si="39"/>
        <v>0</v>
      </c>
      <c r="K121" s="41">
        <f t="shared" si="39"/>
        <v>64297.469999999972</v>
      </c>
      <c r="L121" s="57">
        <f t="shared" si="39"/>
        <v>3773</v>
      </c>
    </row>
    <row r="122" spans="1:13">
      <c r="A122" s="128"/>
      <c r="B122" s="123" t="s">
        <v>28</v>
      </c>
      <c r="C122" s="40" t="s">
        <v>13</v>
      </c>
      <c r="D122" s="41">
        <f t="shared" ref="D122:J122" si="40">D118+D114+D110</f>
        <v>5199744.83</v>
      </c>
      <c r="E122" s="41">
        <f t="shared" si="40"/>
        <v>259640.86</v>
      </c>
      <c r="F122" s="41">
        <f t="shared" si="40"/>
        <v>5459385.6900000004</v>
      </c>
      <c r="G122" s="41">
        <f t="shared" si="40"/>
        <v>896674.31</v>
      </c>
      <c r="H122" s="41">
        <f t="shared" si="40"/>
        <v>0</v>
      </c>
      <c r="I122" s="41">
        <f t="shared" si="40"/>
        <v>0</v>
      </c>
      <c r="J122" s="41">
        <f t="shared" si="40"/>
        <v>0</v>
      </c>
      <c r="K122" s="41">
        <f>J122+I122+H122+G122+E122+D122</f>
        <v>6356060</v>
      </c>
      <c r="L122" s="57">
        <f>L118+L114+L110</f>
        <v>347512</v>
      </c>
    </row>
    <row r="123" spans="1:13">
      <c r="A123" s="128"/>
      <c r="B123" s="124"/>
      <c r="C123" s="40" t="s">
        <v>14</v>
      </c>
      <c r="D123" s="41">
        <f>D119+D115+D111</f>
        <v>5165053.05</v>
      </c>
      <c r="E123" s="41">
        <f>E119+E115+E111</f>
        <v>261612.71000000002</v>
      </c>
      <c r="F123" s="41">
        <f>D123+E123</f>
        <v>5426665.7599999998</v>
      </c>
      <c r="G123" s="41">
        <f>G119+G115+G111</f>
        <v>901642.66999999993</v>
      </c>
      <c r="H123" s="41">
        <v>0</v>
      </c>
      <c r="I123" s="41">
        <f>I119+I115+I111</f>
        <v>0</v>
      </c>
      <c r="J123" s="41">
        <f>J119+J115+J111</f>
        <v>0</v>
      </c>
      <c r="K123" s="41">
        <f>J123+I123+H123+G123+E123+D123</f>
        <v>6328308.4299999997</v>
      </c>
      <c r="L123" s="57">
        <f>L119+L115+L111</f>
        <v>343739</v>
      </c>
    </row>
    <row r="124" spans="1:13">
      <c r="A124" s="128"/>
      <c r="B124" s="124"/>
      <c r="C124" s="42" t="s">
        <v>15</v>
      </c>
      <c r="D124" s="41">
        <f>D120+D116+D112</f>
        <v>5133169.0999999996</v>
      </c>
      <c r="E124" s="41">
        <f t="shared" ref="E124:L125" si="41">E120+E116+E112</f>
        <v>260238.39</v>
      </c>
      <c r="F124" s="41">
        <f t="shared" si="41"/>
        <v>5393407.4900000002</v>
      </c>
      <c r="G124" s="41">
        <f t="shared" si="41"/>
        <v>883527.95</v>
      </c>
      <c r="H124" s="41">
        <f t="shared" si="41"/>
        <v>0</v>
      </c>
      <c r="I124" s="41">
        <f t="shared" si="41"/>
        <v>0</v>
      </c>
      <c r="J124" s="41">
        <f t="shared" si="41"/>
        <v>0</v>
      </c>
      <c r="K124" s="41">
        <f t="shared" si="41"/>
        <v>6276935.4399999995</v>
      </c>
      <c r="L124" s="57">
        <f t="shared" si="41"/>
        <v>343739</v>
      </c>
    </row>
    <row r="125" spans="1:13" ht="15.75" thickBot="1">
      <c r="A125" s="128"/>
      <c r="B125" s="125"/>
      <c r="C125" s="68" t="s">
        <v>16</v>
      </c>
      <c r="D125" s="96">
        <f>D121+D117+D113</f>
        <v>66575.729999999981</v>
      </c>
      <c r="E125" s="96">
        <f t="shared" si="41"/>
        <v>-597.53000000001339</v>
      </c>
      <c r="F125" s="96">
        <f t="shared" si="41"/>
        <v>65978.199999999721</v>
      </c>
      <c r="G125" s="96">
        <f t="shared" si="41"/>
        <v>13146.359999999986</v>
      </c>
      <c r="H125" s="96">
        <f t="shared" si="41"/>
        <v>0</v>
      </c>
      <c r="I125" s="96">
        <f t="shared" si="41"/>
        <v>0</v>
      </c>
      <c r="J125" s="96">
        <f t="shared" si="41"/>
        <v>0</v>
      </c>
      <c r="K125" s="96">
        <f t="shared" si="41"/>
        <v>79124.559999999823</v>
      </c>
      <c r="L125" s="97">
        <f t="shared" si="41"/>
        <v>3773</v>
      </c>
    </row>
    <row r="126" spans="1:13">
      <c r="A126" s="128"/>
      <c r="B126" s="112" t="s">
        <v>29</v>
      </c>
      <c r="C126" s="70" t="s">
        <v>13</v>
      </c>
      <c r="D126" s="71">
        <f>D103+D122</f>
        <v>10307742.219999999</v>
      </c>
      <c r="E126" s="71">
        <f>E103+E122</f>
        <v>521462.31999999995</v>
      </c>
      <c r="F126" s="71">
        <f>D126+E126</f>
        <v>10829204.539999999</v>
      </c>
      <c r="G126" s="71">
        <f>G103+G122</f>
        <v>1749625.92</v>
      </c>
      <c r="H126" s="71">
        <f>H103+H122</f>
        <v>0</v>
      </c>
      <c r="I126" s="71">
        <f>I103+I122</f>
        <v>0</v>
      </c>
      <c r="J126" s="71">
        <f>J103+J122</f>
        <v>0</v>
      </c>
      <c r="K126" s="71">
        <f>J126+I126+H126+G126+E126+D126</f>
        <v>12578830.459999999</v>
      </c>
      <c r="L126" s="72">
        <f>L103+L122</f>
        <v>738276</v>
      </c>
    </row>
    <row r="127" spans="1:13">
      <c r="A127" s="128"/>
      <c r="B127" s="113"/>
      <c r="C127" s="14" t="s">
        <v>14</v>
      </c>
      <c r="D127" s="15">
        <f>D106+D123</f>
        <v>10273050.439999999</v>
      </c>
      <c r="E127" s="15">
        <f t="shared" ref="E127:K127" si="42">E106+E123</f>
        <v>523434.17000000004</v>
      </c>
      <c r="F127" s="15">
        <f t="shared" si="42"/>
        <v>10796484.609999999</v>
      </c>
      <c r="G127" s="15">
        <f t="shared" si="42"/>
        <v>1754594.2799999998</v>
      </c>
      <c r="H127" s="15">
        <f t="shared" si="42"/>
        <v>0</v>
      </c>
      <c r="I127" s="15">
        <f t="shared" si="42"/>
        <v>0</v>
      </c>
      <c r="J127" s="15">
        <f t="shared" si="42"/>
        <v>0</v>
      </c>
      <c r="K127" s="15">
        <f t="shared" si="42"/>
        <v>12551078.890000001</v>
      </c>
      <c r="L127" s="55">
        <f>L123+L104</f>
        <v>734503</v>
      </c>
    </row>
    <row r="128" spans="1:13">
      <c r="A128" s="128"/>
      <c r="B128" s="113"/>
      <c r="C128" s="18" t="s">
        <v>15</v>
      </c>
      <c r="D128" s="15">
        <f>D108+D124</f>
        <v>10241166.489999998</v>
      </c>
      <c r="E128" s="15">
        <f t="shared" ref="E128:L129" si="43">E108+E124</f>
        <v>522059.85000000003</v>
      </c>
      <c r="F128" s="15">
        <f t="shared" si="43"/>
        <v>10763226.34</v>
      </c>
      <c r="G128" s="15">
        <f t="shared" si="43"/>
        <v>1736479.56</v>
      </c>
      <c r="H128" s="15">
        <f t="shared" si="43"/>
        <v>0</v>
      </c>
      <c r="I128" s="15">
        <f t="shared" si="43"/>
        <v>0</v>
      </c>
      <c r="J128" s="15">
        <f t="shared" si="43"/>
        <v>0</v>
      </c>
      <c r="K128" s="15">
        <f t="shared" si="43"/>
        <v>12499705.899999999</v>
      </c>
      <c r="L128" s="55">
        <f>L124+L105</f>
        <v>734503</v>
      </c>
    </row>
    <row r="129" spans="1:12">
      <c r="A129" s="128"/>
      <c r="B129" s="113"/>
      <c r="C129" s="14" t="s">
        <v>16</v>
      </c>
      <c r="D129" s="15">
        <f>D109+D125</f>
        <v>66575.729999999981</v>
      </c>
      <c r="E129" s="15">
        <f t="shared" si="43"/>
        <v>-597.53000000001339</v>
      </c>
      <c r="F129" s="15">
        <f t="shared" si="43"/>
        <v>65978.199999999721</v>
      </c>
      <c r="G129" s="15">
        <f t="shared" si="43"/>
        <v>13146.359999999986</v>
      </c>
      <c r="H129" s="15">
        <f t="shared" si="43"/>
        <v>0</v>
      </c>
      <c r="I129" s="15">
        <f t="shared" si="43"/>
        <v>0</v>
      </c>
      <c r="J129" s="15">
        <f t="shared" si="43"/>
        <v>0</v>
      </c>
      <c r="K129" s="15">
        <f t="shared" si="43"/>
        <v>79124.559999999823</v>
      </c>
      <c r="L129" s="56">
        <f t="shared" si="43"/>
        <v>3773</v>
      </c>
    </row>
    <row r="130" spans="1:12">
      <c r="A130" s="128"/>
      <c r="B130" s="114"/>
      <c r="C130" s="30" t="s">
        <v>35</v>
      </c>
      <c r="D130" s="25">
        <v>10307742.220000001</v>
      </c>
      <c r="E130" s="25">
        <v>521462.32</v>
      </c>
      <c r="F130" s="25">
        <f t="shared" ref="F130:F136" si="44">D130+E130</f>
        <v>10829204.540000001</v>
      </c>
      <c r="G130" s="25">
        <v>1749625.92</v>
      </c>
      <c r="H130" s="25"/>
      <c r="I130" s="25"/>
      <c r="J130" s="25"/>
      <c r="K130" s="25">
        <f>F130+G130</f>
        <v>12578830.460000001</v>
      </c>
      <c r="L130" s="64">
        <v>738276</v>
      </c>
    </row>
    <row r="131" spans="1:12">
      <c r="A131" s="128"/>
      <c r="B131" s="114"/>
      <c r="C131" s="30" t="s">
        <v>33</v>
      </c>
      <c r="D131" s="25">
        <v>66575.73</v>
      </c>
      <c r="E131" s="25">
        <v>-597.53</v>
      </c>
      <c r="F131" s="25">
        <f t="shared" si="44"/>
        <v>65978.2</v>
      </c>
      <c r="G131" s="25">
        <v>13146.36</v>
      </c>
      <c r="H131" s="25"/>
      <c r="I131" s="25"/>
      <c r="J131" s="25"/>
      <c r="K131" s="25">
        <f>F131+G131</f>
        <v>79124.56</v>
      </c>
      <c r="L131" s="64">
        <v>3773</v>
      </c>
    </row>
    <row r="132" spans="1:12">
      <c r="A132" s="128"/>
      <c r="B132" s="114"/>
      <c r="C132" s="30" t="s">
        <v>23</v>
      </c>
      <c r="D132" s="25">
        <f>D128+D131</f>
        <v>10307742.219999999</v>
      </c>
      <c r="E132" s="25">
        <f t="shared" ref="E132:L132" si="45">E128+E131</f>
        <v>521462.32</v>
      </c>
      <c r="F132" s="25">
        <f t="shared" si="44"/>
        <v>10829204.539999999</v>
      </c>
      <c r="G132" s="25">
        <f t="shared" si="45"/>
        <v>1749625.9200000002</v>
      </c>
      <c r="H132" s="25">
        <f t="shared" si="45"/>
        <v>0</v>
      </c>
      <c r="I132" s="25">
        <f t="shared" si="45"/>
        <v>0</v>
      </c>
      <c r="J132" s="25">
        <f t="shared" si="45"/>
        <v>0</v>
      </c>
      <c r="K132" s="25">
        <f t="shared" si="45"/>
        <v>12578830.459999999</v>
      </c>
      <c r="L132" s="64">
        <f t="shared" si="45"/>
        <v>738276</v>
      </c>
    </row>
    <row r="133" spans="1:12" ht="15.75" thickBot="1">
      <c r="A133" s="129"/>
      <c r="B133" s="115"/>
      <c r="C133" s="75" t="s">
        <v>16</v>
      </c>
      <c r="D133" s="66">
        <f>D126-D132</f>
        <v>0</v>
      </c>
      <c r="E133" s="66">
        <f t="shared" ref="E133:L133" si="46">E126-E132</f>
        <v>0</v>
      </c>
      <c r="F133" s="66">
        <f t="shared" si="44"/>
        <v>0</v>
      </c>
      <c r="G133" s="66">
        <f t="shared" si="46"/>
        <v>0</v>
      </c>
      <c r="H133" s="66">
        <f t="shared" si="46"/>
        <v>0</v>
      </c>
      <c r="I133" s="66">
        <f t="shared" si="46"/>
        <v>0</v>
      </c>
      <c r="J133" s="66">
        <f t="shared" si="46"/>
        <v>0</v>
      </c>
      <c r="K133" s="66">
        <f t="shared" si="46"/>
        <v>0</v>
      </c>
      <c r="L133" s="67">
        <f t="shared" si="46"/>
        <v>0</v>
      </c>
    </row>
    <row r="134" spans="1:12">
      <c r="A134" s="134" t="s">
        <v>36</v>
      </c>
      <c r="B134" s="131" t="s">
        <v>12</v>
      </c>
      <c r="C134" s="48" t="s">
        <v>13</v>
      </c>
      <c r="D134" s="49">
        <f>11439.1+6863.46</f>
        <v>18302.560000000001</v>
      </c>
      <c r="E134" s="49">
        <v>589808.27</v>
      </c>
      <c r="F134" s="49">
        <f t="shared" si="44"/>
        <v>608110.83000000007</v>
      </c>
      <c r="G134" s="49">
        <v>0</v>
      </c>
      <c r="H134" s="49">
        <v>0</v>
      </c>
      <c r="I134" s="49">
        <v>0</v>
      </c>
      <c r="J134" s="49">
        <v>0</v>
      </c>
      <c r="K134" s="49">
        <f>J134+I134+H134+G134+E134+D134</f>
        <v>608110.83000000007</v>
      </c>
      <c r="L134" s="89">
        <f>103974-13004</f>
        <v>90970</v>
      </c>
    </row>
    <row r="135" spans="1:12">
      <c r="A135" s="135"/>
      <c r="B135" s="131"/>
      <c r="C135" s="40" t="s">
        <v>14</v>
      </c>
      <c r="D135" s="41">
        <v>21381.599999999999</v>
      </c>
      <c r="E135" s="41">
        <v>657590.69999999995</v>
      </c>
      <c r="F135" s="41">
        <f t="shared" si="44"/>
        <v>678972.29999999993</v>
      </c>
      <c r="G135" s="41">
        <v>0</v>
      </c>
      <c r="H135" s="41">
        <v>0</v>
      </c>
      <c r="I135" s="41">
        <v>0</v>
      </c>
      <c r="J135" s="41">
        <v>0</v>
      </c>
      <c r="K135" s="41">
        <f>J135+I135+H135+G135+E135+D135</f>
        <v>678972.29999999993</v>
      </c>
      <c r="L135" s="57">
        <v>90970</v>
      </c>
    </row>
    <row r="136" spans="1:12">
      <c r="A136" s="135"/>
      <c r="B136" s="131"/>
      <c r="C136" s="50" t="s">
        <v>15</v>
      </c>
      <c r="D136" s="44">
        <v>16224.18</v>
      </c>
      <c r="E136" s="44">
        <v>589705.64</v>
      </c>
      <c r="F136" s="44">
        <f t="shared" si="44"/>
        <v>605929.82000000007</v>
      </c>
      <c r="G136" s="44">
        <v>0</v>
      </c>
      <c r="H136" s="44">
        <v>0</v>
      </c>
      <c r="I136" s="44">
        <v>0</v>
      </c>
      <c r="J136" s="44">
        <v>0</v>
      </c>
      <c r="K136" s="44">
        <f>J136+I136+H136+G136+E136+D136</f>
        <v>605929.82000000007</v>
      </c>
      <c r="L136" s="90">
        <v>90970</v>
      </c>
    </row>
    <row r="137" spans="1:12">
      <c r="A137" s="135"/>
      <c r="B137" s="131"/>
      <c r="C137" s="43" t="s">
        <v>16</v>
      </c>
      <c r="D137" s="44">
        <f>D134-D136</f>
        <v>2078.380000000001</v>
      </c>
      <c r="E137" s="44">
        <f t="shared" ref="E137:L137" si="47">E134-E136</f>
        <v>102.63000000000466</v>
      </c>
      <c r="F137" s="44">
        <f t="shared" si="47"/>
        <v>2181.0100000000093</v>
      </c>
      <c r="G137" s="44">
        <f t="shared" si="47"/>
        <v>0</v>
      </c>
      <c r="H137" s="44">
        <f t="shared" si="47"/>
        <v>0</v>
      </c>
      <c r="I137" s="44">
        <f t="shared" si="47"/>
        <v>0</v>
      </c>
      <c r="J137" s="44">
        <f t="shared" si="47"/>
        <v>0</v>
      </c>
      <c r="K137" s="44">
        <f t="shared" si="47"/>
        <v>2181.0100000000093</v>
      </c>
      <c r="L137" s="90">
        <f t="shared" si="47"/>
        <v>0</v>
      </c>
    </row>
    <row r="138" spans="1:12">
      <c r="A138" s="135"/>
      <c r="B138" s="132" t="s">
        <v>17</v>
      </c>
      <c r="C138" s="40" t="s">
        <v>13</v>
      </c>
      <c r="D138" s="41">
        <f>11439.1+6863.46</f>
        <v>18302.560000000001</v>
      </c>
      <c r="E138" s="41">
        <v>589808.27</v>
      </c>
      <c r="F138" s="41">
        <f>D138+E138</f>
        <v>608110.83000000007</v>
      </c>
      <c r="G138" s="41">
        <v>0</v>
      </c>
      <c r="H138" s="41">
        <v>0</v>
      </c>
      <c r="I138" s="41">
        <v>0</v>
      </c>
      <c r="J138" s="41">
        <v>0</v>
      </c>
      <c r="K138" s="41">
        <f>J138+I138+H138+G138+E138+D138</f>
        <v>608110.83000000007</v>
      </c>
      <c r="L138" s="57">
        <v>91179</v>
      </c>
    </row>
    <row r="139" spans="1:12">
      <c r="A139" s="135"/>
      <c r="B139" s="131"/>
      <c r="C139" s="40" t="s">
        <v>14</v>
      </c>
      <c r="D139" s="41">
        <v>31476.87</v>
      </c>
      <c r="E139" s="41">
        <v>590438.74</v>
      </c>
      <c r="F139" s="41">
        <f>D139+E139</f>
        <v>621915.61</v>
      </c>
      <c r="G139" s="41">
        <v>0</v>
      </c>
      <c r="H139" s="41">
        <v>0</v>
      </c>
      <c r="I139" s="41">
        <v>0</v>
      </c>
      <c r="J139" s="41">
        <v>0</v>
      </c>
      <c r="K139" s="41">
        <f>J139+I139+H139+G139+E139+D139</f>
        <v>621915.61</v>
      </c>
      <c r="L139" s="57">
        <v>91179</v>
      </c>
    </row>
    <row r="140" spans="1:12">
      <c r="A140" s="135"/>
      <c r="B140" s="131"/>
      <c r="C140" s="50" t="s">
        <v>15</v>
      </c>
      <c r="D140" s="44">
        <v>17758.400000000001</v>
      </c>
      <c r="E140" s="44">
        <v>589705.64</v>
      </c>
      <c r="F140" s="44">
        <f>D140+E140</f>
        <v>607464.04</v>
      </c>
      <c r="G140" s="44">
        <v>0</v>
      </c>
      <c r="H140" s="44">
        <v>0</v>
      </c>
      <c r="I140" s="44">
        <v>0</v>
      </c>
      <c r="J140" s="44">
        <v>0</v>
      </c>
      <c r="K140" s="44">
        <f>J140+I140+H140+G140+E140+D140</f>
        <v>607464.04</v>
      </c>
      <c r="L140" s="90">
        <v>91179</v>
      </c>
    </row>
    <row r="141" spans="1:12">
      <c r="A141" s="135"/>
      <c r="B141" s="131"/>
      <c r="C141" s="43" t="s">
        <v>18</v>
      </c>
      <c r="D141" s="44">
        <f>D138-D140</f>
        <v>544.15999999999985</v>
      </c>
      <c r="E141" s="44">
        <f t="shared" ref="E141:J141" si="48">E138-E140</f>
        <v>102.63000000000466</v>
      </c>
      <c r="F141" s="44">
        <f t="shared" si="48"/>
        <v>646.79000000003725</v>
      </c>
      <c r="G141" s="44">
        <f t="shared" si="48"/>
        <v>0</v>
      </c>
      <c r="H141" s="44">
        <f t="shared" si="48"/>
        <v>0</v>
      </c>
      <c r="I141" s="44">
        <f t="shared" si="48"/>
        <v>0</v>
      </c>
      <c r="J141" s="44">
        <f t="shared" si="48"/>
        <v>0</v>
      </c>
      <c r="K141" s="44">
        <f>K138-K140</f>
        <v>646.79000000003725</v>
      </c>
      <c r="L141" s="90">
        <f>L138-L140</f>
        <v>0</v>
      </c>
    </row>
    <row r="142" spans="1:12">
      <c r="A142" s="135"/>
      <c r="B142" s="132" t="s">
        <v>19</v>
      </c>
      <c r="C142" s="40" t="s">
        <v>13</v>
      </c>
      <c r="D142" s="41">
        <f>11439.1+6863.46</f>
        <v>18302.560000000001</v>
      </c>
      <c r="E142" s="41">
        <f>589808.27-14.65</f>
        <v>589793.62</v>
      </c>
      <c r="F142" s="41">
        <f>D142+E142</f>
        <v>608096.18000000005</v>
      </c>
      <c r="G142" s="41">
        <v>0</v>
      </c>
      <c r="H142" s="41">
        <v>0</v>
      </c>
      <c r="I142" s="41">
        <v>0</v>
      </c>
      <c r="J142" s="41">
        <v>0</v>
      </c>
      <c r="K142" s="41">
        <f>J142+I142+H142+G142+E142+D142</f>
        <v>608096.18000000005</v>
      </c>
      <c r="L142" s="57">
        <v>90794</v>
      </c>
    </row>
    <row r="143" spans="1:12">
      <c r="A143" s="135"/>
      <c r="B143" s="133"/>
      <c r="C143" s="40" t="s">
        <v>14</v>
      </c>
      <c r="D143" s="41">
        <v>32635.439999999999</v>
      </c>
      <c r="E143" s="41">
        <v>652898.86</v>
      </c>
      <c r="F143" s="41">
        <f>D143+E143</f>
        <v>685534.29999999993</v>
      </c>
      <c r="G143" s="41">
        <v>0</v>
      </c>
      <c r="H143" s="41">
        <v>0</v>
      </c>
      <c r="I143" s="41">
        <v>0</v>
      </c>
      <c r="J143" s="41">
        <v>0</v>
      </c>
      <c r="K143" s="41">
        <f>J143+I143+H143+G143+E143+D143</f>
        <v>685534.29999999993</v>
      </c>
      <c r="L143" s="57">
        <v>90794</v>
      </c>
    </row>
    <row r="144" spans="1:12">
      <c r="A144" s="135"/>
      <c r="B144" s="133"/>
      <c r="C144" s="50" t="s">
        <v>15</v>
      </c>
      <c r="D144" s="44">
        <v>17716.64</v>
      </c>
      <c r="E144" s="44">
        <v>589705.64</v>
      </c>
      <c r="F144" s="44">
        <f>D144+E144</f>
        <v>607422.28</v>
      </c>
      <c r="G144" s="44">
        <v>0</v>
      </c>
      <c r="H144" s="44">
        <v>0</v>
      </c>
      <c r="I144" s="44">
        <v>0</v>
      </c>
      <c r="J144" s="44">
        <v>0</v>
      </c>
      <c r="K144" s="44">
        <f>J144+I144+H144+G144+E144+D144</f>
        <v>607422.28</v>
      </c>
      <c r="L144" s="90">
        <v>90794</v>
      </c>
    </row>
    <row r="145" spans="1:12">
      <c r="A145" s="135"/>
      <c r="B145" s="133"/>
      <c r="C145" s="43" t="s">
        <v>18</v>
      </c>
      <c r="D145" s="44">
        <f>D142-D144</f>
        <v>585.92000000000189</v>
      </c>
      <c r="E145" s="44">
        <f t="shared" ref="E145:J145" si="49">E142-E144</f>
        <v>87.979999999981374</v>
      </c>
      <c r="F145" s="44">
        <f t="shared" si="49"/>
        <v>673.90000000002328</v>
      </c>
      <c r="G145" s="44">
        <f t="shared" si="49"/>
        <v>0</v>
      </c>
      <c r="H145" s="44">
        <f t="shared" si="49"/>
        <v>0</v>
      </c>
      <c r="I145" s="44">
        <f t="shared" si="49"/>
        <v>0</v>
      </c>
      <c r="J145" s="44">
        <f t="shared" si="49"/>
        <v>0</v>
      </c>
      <c r="K145" s="44">
        <f>K142-K144</f>
        <v>673.90000000002328</v>
      </c>
      <c r="L145" s="90">
        <f>L142-L144</f>
        <v>0</v>
      </c>
    </row>
    <row r="146" spans="1:12">
      <c r="A146" s="135"/>
      <c r="B146" s="123" t="s">
        <v>20</v>
      </c>
      <c r="C146" s="40" t="s">
        <v>13</v>
      </c>
      <c r="D146" s="41">
        <f>D142+D138+D134</f>
        <v>54907.680000000008</v>
      </c>
      <c r="E146" s="41">
        <f>E142+E138+E134</f>
        <v>1769410.1600000001</v>
      </c>
      <c r="F146" s="41">
        <f t="shared" ref="F146:K146" si="50">F142+F138+F134</f>
        <v>1824317.8400000003</v>
      </c>
      <c r="G146" s="41">
        <f t="shared" si="50"/>
        <v>0</v>
      </c>
      <c r="H146" s="41">
        <f t="shared" si="50"/>
        <v>0</v>
      </c>
      <c r="I146" s="41">
        <f t="shared" si="50"/>
        <v>0</v>
      </c>
      <c r="J146" s="41">
        <f t="shared" si="50"/>
        <v>0</v>
      </c>
      <c r="K146" s="41">
        <f t="shared" si="50"/>
        <v>1824317.8400000003</v>
      </c>
      <c r="L146" s="57">
        <f>L142+L138+L134+913</f>
        <v>273856</v>
      </c>
    </row>
    <row r="147" spans="1:12">
      <c r="A147" s="135"/>
      <c r="B147" s="124"/>
      <c r="C147" s="40" t="s">
        <v>14</v>
      </c>
      <c r="D147" s="41">
        <f t="shared" ref="D147:L148" si="51">D143+D139+D135</f>
        <v>85493.91</v>
      </c>
      <c r="E147" s="41">
        <f t="shared" si="51"/>
        <v>1900928.3</v>
      </c>
      <c r="F147" s="41">
        <f t="shared" si="51"/>
        <v>1986422.21</v>
      </c>
      <c r="G147" s="41">
        <f t="shared" si="51"/>
        <v>0</v>
      </c>
      <c r="H147" s="41">
        <f t="shared" si="51"/>
        <v>0</v>
      </c>
      <c r="I147" s="41">
        <f t="shared" si="51"/>
        <v>0</v>
      </c>
      <c r="J147" s="41">
        <f t="shared" si="51"/>
        <v>0</v>
      </c>
      <c r="K147" s="41">
        <f t="shared" si="51"/>
        <v>1986422.21</v>
      </c>
      <c r="L147" s="57">
        <f t="shared" si="51"/>
        <v>272943</v>
      </c>
    </row>
    <row r="148" spans="1:12">
      <c r="A148" s="135"/>
      <c r="B148" s="124"/>
      <c r="C148" s="50" t="s">
        <v>15</v>
      </c>
      <c r="D148" s="41">
        <f t="shared" si="51"/>
        <v>51699.22</v>
      </c>
      <c r="E148" s="41">
        <f t="shared" si="51"/>
        <v>1769116.92</v>
      </c>
      <c r="F148" s="41">
        <f t="shared" si="51"/>
        <v>1820816.1400000001</v>
      </c>
      <c r="G148" s="41">
        <f t="shared" si="51"/>
        <v>0</v>
      </c>
      <c r="H148" s="41">
        <f t="shared" si="51"/>
        <v>0</v>
      </c>
      <c r="I148" s="41">
        <f t="shared" si="51"/>
        <v>0</v>
      </c>
      <c r="J148" s="41">
        <f t="shared" si="51"/>
        <v>0</v>
      </c>
      <c r="K148" s="41">
        <f t="shared" si="51"/>
        <v>1820816.1400000001</v>
      </c>
      <c r="L148" s="57">
        <f>L144+L140+L136</f>
        <v>272943</v>
      </c>
    </row>
    <row r="149" spans="1:12">
      <c r="A149" s="135"/>
      <c r="B149" s="124"/>
      <c r="C149" s="50" t="s">
        <v>37</v>
      </c>
      <c r="D149" s="44">
        <v>85493.91</v>
      </c>
      <c r="E149" s="44">
        <v>1900928.3</v>
      </c>
      <c r="F149" s="44">
        <f>D149+E149</f>
        <v>1986422.21</v>
      </c>
      <c r="G149" s="44">
        <v>0</v>
      </c>
      <c r="H149" s="44">
        <v>0</v>
      </c>
      <c r="I149" s="44"/>
      <c r="J149" s="44"/>
      <c r="K149" s="44">
        <f>F149</f>
        <v>1986422.21</v>
      </c>
      <c r="L149" s="90">
        <f>L148+913</f>
        <v>273856</v>
      </c>
    </row>
    <row r="150" spans="1:12">
      <c r="A150" s="135"/>
      <c r="B150" s="124"/>
      <c r="C150" s="50" t="s">
        <v>33</v>
      </c>
      <c r="D150" s="44">
        <v>2078.0500000000002</v>
      </c>
      <c r="E150" s="44">
        <v>293.24</v>
      </c>
      <c r="F150" s="44">
        <f>D150+E150</f>
        <v>2371.29</v>
      </c>
      <c r="G150" s="44">
        <v>0</v>
      </c>
      <c r="H150" s="44">
        <v>0</v>
      </c>
      <c r="I150" s="44"/>
      <c r="J150" s="44"/>
      <c r="K150" s="44">
        <f>F150</f>
        <v>2371.29</v>
      </c>
      <c r="L150" s="90">
        <f>913</f>
        <v>913</v>
      </c>
    </row>
    <row r="151" spans="1:12">
      <c r="A151" s="135"/>
      <c r="B151" s="124"/>
      <c r="C151" s="50" t="s">
        <v>23</v>
      </c>
      <c r="D151" s="44">
        <f>D148+D150</f>
        <v>53777.270000000004</v>
      </c>
      <c r="E151" s="44">
        <f>E148+E150</f>
        <v>1769410.16</v>
      </c>
      <c r="F151" s="44">
        <f>D151+E151</f>
        <v>1823187.43</v>
      </c>
      <c r="G151" s="44">
        <v>0</v>
      </c>
      <c r="H151" s="44">
        <v>0</v>
      </c>
      <c r="I151" s="44"/>
      <c r="J151" s="44"/>
      <c r="K151" s="44">
        <f>F151</f>
        <v>1823187.43</v>
      </c>
      <c r="L151" s="90">
        <f>L148+L150</f>
        <v>273856</v>
      </c>
    </row>
    <row r="152" spans="1:12">
      <c r="A152" s="135"/>
      <c r="B152" s="124"/>
      <c r="C152" s="43" t="s">
        <v>16</v>
      </c>
      <c r="D152" s="44">
        <f>D146-D151</f>
        <v>1130.4100000000035</v>
      </c>
      <c r="E152" s="44">
        <f t="shared" ref="E152:K152" si="52">E146-E151</f>
        <v>0</v>
      </c>
      <c r="F152" s="44">
        <f t="shared" si="52"/>
        <v>1130.4100000003818</v>
      </c>
      <c r="G152" s="44">
        <f t="shared" si="52"/>
        <v>0</v>
      </c>
      <c r="H152" s="44">
        <f t="shared" si="52"/>
        <v>0</v>
      </c>
      <c r="I152" s="44">
        <f t="shared" si="52"/>
        <v>0</v>
      </c>
      <c r="J152" s="44">
        <f t="shared" si="52"/>
        <v>0</v>
      </c>
      <c r="K152" s="44">
        <f t="shared" si="52"/>
        <v>1130.4100000003818</v>
      </c>
      <c r="L152" s="90">
        <f>L145+L141+L137</f>
        <v>0</v>
      </c>
    </row>
    <row r="153" spans="1:12">
      <c r="A153" s="135"/>
      <c r="B153" s="118" t="s">
        <v>25</v>
      </c>
      <c r="C153" s="40" t="s">
        <v>13</v>
      </c>
      <c r="D153" s="41">
        <f>11439.1+6863.46</f>
        <v>18302.560000000001</v>
      </c>
      <c r="E153" s="41">
        <v>589808.27</v>
      </c>
      <c r="F153" s="41">
        <f>D153+E153</f>
        <v>608110.83000000007</v>
      </c>
      <c r="G153" s="41">
        <v>0</v>
      </c>
      <c r="H153" s="41">
        <v>0</v>
      </c>
      <c r="I153" s="41">
        <v>0</v>
      </c>
      <c r="J153" s="41">
        <v>0</v>
      </c>
      <c r="K153" s="41">
        <f>J153+I153+H153+G153+E153+D153</f>
        <v>608110.83000000007</v>
      </c>
      <c r="L153" s="57">
        <f>103665.57-12431.57</f>
        <v>91234</v>
      </c>
    </row>
    <row r="154" spans="1:12">
      <c r="A154" s="135"/>
      <c r="B154" s="119"/>
      <c r="C154" s="40" t="s">
        <v>14</v>
      </c>
      <c r="D154" s="41">
        <v>22414.9</v>
      </c>
      <c r="E154" s="41">
        <v>643515.18000000005</v>
      </c>
      <c r="F154" s="41">
        <f>D154+E154</f>
        <v>665930.08000000007</v>
      </c>
      <c r="G154" s="41">
        <v>0</v>
      </c>
      <c r="H154" s="41">
        <v>0</v>
      </c>
      <c r="I154" s="41">
        <v>0</v>
      </c>
      <c r="J154" s="41">
        <v>0</v>
      </c>
      <c r="K154" s="41">
        <f>J154+I154+H154+G154+E154+D154</f>
        <v>665930.08000000007</v>
      </c>
      <c r="L154" s="57">
        <v>91234</v>
      </c>
    </row>
    <row r="155" spans="1:12">
      <c r="A155" s="135"/>
      <c r="B155" s="119"/>
      <c r="C155" s="50" t="s">
        <v>15</v>
      </c>
      <c r="D155" s="41">
        <v>16954.59</v>
      </c>
      <c r="E155" s="41">
        <v>589705.64</v>
      </c>
      <c r="F155" s="41">
        <f>D155+E155</f>
        <v>606660.23</v>
      </c>
      <c r="G155" s="41">
        <v>0</v>
      </c>
      <c r="H155" s="41">
        <v>0</v>
      </c>
      <c r="I155" s="41">
        <v>0</v>
      </c>
      <c r="J155" s="41">
        <v>0</v>
      </c>
      <c r="K155" s="41">
        <f>J155+I155+H155+G155+E155+D155</f>
        <v>606660.23</v>
      </c>
      <c r="L155" s="57">
        <v>91234</v>
      </c>
    </row>
    <row r="156" spans="1:12">
      <c r="A156" s="135"/>
      <c r="B156" s="120"/>
      <c r="C156" s="40" t="s">
        <v>16</v>
      </c>
      <c r="D156" s="41">
        <f>D153-D155</f>
        <v>1347.9700000000012</v>
      </c>
      <c r="E156" s="41">
        <f t="shared" ref="E156:L156" si="53">E153-E155</f>
        <v>102.63000000000466</v>
      </c>
      <c r="F156" s="41">
        <f t="shared" si="53"/>
        <v>1450.6000000000931</v>
      </c>
      <c r="G156" s="41">
        <f t="shared" si="53"/>
        <v>0</v>
      </c>
      <c r="H156" s="41">
        <f t="shared" si="53"/>
        <v>0</v>
      </c>
      <c r="I156" s="41">
        <f t="shared" si="53"/>
        <v>0</v>
      </c>
      <c r="J156" s="41">
        <f t="shared" si="53"/>
        <v>0</v>
      </c>
      <c r="K156" s="41">
        <f t="shared" si="53"/>
        <v>1450.6000000000931</v>
      </c>
      <c r="L156" s="57">
        <f t="shared" si="53"/>
        <v>0</v>
      </c>
    </row>
    <row r="157" spans="1:12">
      <c r="A157" s="135"/>
      <c r="B157" s="118" t="s">
        <v>26</v>
      </c>
      <c r="C157" s="40" t="s">
        <v>13</v>
      </c>
      <c r="D157" s="41">
        <f>11439.1+6863.46</f>
        <v>18302.560000000001</v>
      </c>
      <c r="E157" s="41">
        <v>589808.27</v>
      </c>
      <c r="F157" s="41">
        <f>D157+E157</f>
        <v>608110.83000000007</v>
      </c>
      <c r="G157" s="41">
        <v>0</v>
      </c>
      <c r="H157" s="41">
        <v>0</v>
      </c>
      <c r="I157" s="41">
        <v>0</v>
      </c>
      <c r="J157" s="41">
        <v>0</v>
      </c>
      <c r="K157" s="41">
        <f>J157+I157+H157+G157+E157+D157</f>
        <v>608110.83000000007</v>
      </c>
      <c r="L157" s="57">
        <f>104418.28-12249.28</f>
        <v>92169</v>
      </c>
    </row>
    <row r="158" spans="1:12">
      <c r="A158" s="135"/>
      <c r="B158" s="119"/>
      <c r="C158" s="40" t="s">
        <v>14</v>
      </c>
      <c r="D158" s="41">
        <v>34368.83</v>
      </c>
      <c r="E158" s="41">
        <v>657150.84</v>
      </c>
      <c r="F158" s="41">
        <f>D158+E158</f>
        <v>691519.66999999993</v>
      </c>
      <c r="G158" s="91">
        <v>0</v>
      </c>
      <c r="H158" s="41">
        <v>0</v>
      </c>
      <c r="I158" s="41">
        <v>0</v>
      </c>
      <c r="J158" s="41">
        <v>0</v>
      </c>
      <c r="K158" s="41">
        <f>J158+I158+H158+G158+E158+D158</f>
        <v>691519.66999999993</v>
      </c>
      <c r="L158" s="92">
        <v>92169</v>
      </c>
    </row>
    <row r="159" spans="1:12">
      <c r="A159" s="135"/>
      <c r="B159" s="119"/>
      <c r="C159" s="50" t="s">
        <v>15</v>
      </c>
      <c r="D159" s="41">
        <v>18228.66</v>
      </c>
      <c r="E159" s="41">
        <v>589705.64</v>
      </c>
      <c r="F159" s="41">
        <f>D159+E159</f>
        <v>607934.30000000005</v>
      </c>
      <c r="G159" s="41">
        <v>0</v>
      </c>
      <c r="H159" s="41">
        <v>0</v>
      </c>
      <c r="I159" s="41">
        <v>0</v>
      </c>
      <c r="J159" s="41">
        <v>0</v>
      </c>
      <c r="K159" s="41">
        <f>J159+I159+H159+G159+E159+D159</f>
        <v>607934.30000000005</v>
      </c>
      <c r="L159" s="57">
        <v>92169</v>
      </c>
    </row>
    <row r="160" spans="1:12">
      <c r="A160" s="135"/>
      <c r="B160" s="120"/>
      <c r="C160" s="40" t="s">
        <v>24</v>
      </c>
      <c r="D160" s="41">
        <f>D157-D159</f>
        <v>73.900000000001455</v>
      </c>
      <c r="E160" s="41">
        <f t="shared" ref="E160:L160" si="54">E157-E159</f>
        <v>102.63000000000466</v>
      </c>
      <c r="F160" s="41">
        <f t="shared" si="54"/>
        <v>176.53000000002794</v>
      </c>
      <c r="G160" s="41">
        <f t="shared" si="54"/>
        <v>0</v>
      </c>
      <c r="H160" s="41">
        <f t="shared" si="54"/>
        <v>0</v>
      </c>
      <c r="I160" s="41">
        <f t="shared" si="54"/>
        <v>0</v>
      </c>
      <c r="J160" s="41">
        <f t="shared" si="54"/>
        <v>0</v>
      </c>
      <c r="K160" s="41">
        <f t="shared" si="54"/>
        <v>176.53000000002794</v>
      </c>
      <c r="L160" s="57">
        <f t="shared" si="54"/>
        <v>0</v>
      </c>
    </row>
    <row r="161" spans="1:13">
      <c r="A161" s="135"/>
      <c r="B161" s="121" t="s">
        <v>27</v>
      </c>
      <c r="C161" s="43" t="s">
        <v>13</v>
      </c>
      <c r="D161" s="41">
        <f>11439.1+6863.46-113.16-60</f>
        <v>18129.400000000001</v>
      </c>
      <c r="E161" s="41">
        <f>589808.27-14.64-0.01</f>
        <v>589793.62</v>
      </c>
      <c r="F161" s="41">
        <f>D161+E161</f>
        <v>607923.02</v>
      </c>
      <c r="G161" s="44">
        <v>0</v>
      </c>
      <c r="H161" s="44">
        <v>0</v>
      </c>
      <c r="I161" s="44">
        <v>0</v>
      </c>
      <c r="J161" s="44">
        <v>0</v>
      </c>
      <c r="K161" s="44">
        <f>J161+I161+H161+G161+E161+D161</f>
        <v>607923.02</v>
      </c>
      <c r="L161" s="90">
        <f>91498</f>
        <v>91498</v>
      </c>
    </row>
    <row r="162" spans="1:13">
      <c r="A162" s="135"/>
      <c r="B162" s="122"/>
      <c r="C162" s="43" t="s">
        <v>14</v>
      </c>
      <c r="D162" s="44">
        <v>32875.870000000003</v>
      </c>
      <c r="E162" s="44">
        <v>632665.30000000005</v>
      </c>
      <c r="F162" s="44">
        <f>SUM(D162:E162)</f>
        <v>665541.17000000004</v>
      </c>
      <c r="G162" s="44">
        <v>0</v>
      </c>
      <c r="H162" s="44">
        <v>0</v>
      </c>
      <c r="I162" s="44">
        <v>0</v>
      </c>
      <c r="J162" s="44">
        <v>0</v>
      </c>
      <c r="K162" s="44">
        <f>J162+I162+H162+G162+E162+D162</f>
        <v>665541.17000000004</v>
      </c>
      <c r="L162" s="90">
        <f>91498</f>
        <v>91498</v>
      </c>
    </row>
    <row r="163" spans="1:13">
      <c r="A163" s="135"/>
      <c r="B163" s="122"/>
      <c r="C163" s="50" t="s">
        <v>15</v>
      </c>
      <c r="D163" s="44">
        <v>18197.169999999998</v>
      </c>
      <c r="E163" s="44">
        <v>589705.64</v>
      </c>
      <c r="F163" s="44">
        <f>SUM(D163:E163)</f>
        <v>607902.81000000006</v>
      </c>
      <c r="G163" s="44">
        <v>0</v>
      </c>
      <c r="H163" s="44">
        <v>0</v>
      </c>
      <c r="I163" s="44">
        <v>0</v>
      </c>
      <c r="J163" s="44">
        <v>0</v>
      </c>
      <c r="K163" s="44">
        <f>J163+I163+H163+G163+E163+D163</f>
        <v>607902.81000000006</v>
      </c>
      <c r="L163" s="90">
        <f>91498</f>
        <v>91498</v>
      </c>
    </row>
    <row r="164" spans="1:13">
      <c r="A164" s="135"/>
      <c r="B164" s="117"/>
      <c r="C164" s="43" t="s">
        <v>24</v>
      </c>
      <c r="D164" s="44">
        <f>D161-D163</f>
        <v>-67.769999999996799</v>
      </c>
      <c r="E164" s="44">
        <f t="shared" ref="E164:L164" si="55">E161-E163</f>
        <v>87.979999999981374</v>
      </c>
      <c r="F164" s="44">
        <f t="shared" si="55"/>
        <v>20.209999999962747</v>
      </c>
      <c r="G164" s="44">
        <f t="shared" si="55"/>
        <v>0</v>
      </c>
      <c r="H164" s="44">
        <f t="shared" si="55"/>
        <v>0</v>
      </c>
      <c r="I164" s="44">
        <f t="shared" si="55"/>
        <v>0</v>
      </c>
      <c r="J164" s="44">
        <f t="shared" si="55"/>
        <v>0</v>
      </c>
      <c r="K164" s="44">
        <f t="shared" si="55"/>
        <v>20.209999999962747</v>
      </c>
      <c r="L164" s="90">
        <f t="shared" si="55"/>
        <v>0</v>
      </c>
    </row>
    <row r="165" spans="1:13">
      <c r="A165" s="135"/>
      <c r="B165" s="123" t="s">
        <v>28</v>
      </c>
      <c r="C165" s="40" t="s">
        <v>13</v>
      </c>
      <c r="D165" s="41">
        <f t="shared" ref="D165:J165" si="56">D161+D157+D153</f>
        <v>54734.520000000004</v>
      </c>
      <c r="E165" s="41">
        <f t="shared" si="56"/>
        <v>1769410.1600000001</v>
      </c>
      <c r="F165" s="41">
        <f t="shared" si="56"/>
        <v>1824144.6800000002</v>
      </c>
      <c r="G165" s="41">
        <f t="shared" si="56"/>
        <v>0</v>
      </c>
      <c r="H165" s="41">
        <f t="shared" si="56"/>
        <v>0</v>
      </c>
      <c r="I165" s="41">
        <f t="shared" si="56"/>
        <v>0</v>
      </c>
      <c r="J165" s="41">
        <f t="shared" si="56"/>
        <v>0</v>
      </c>
      <c r="K165" s="41">
        <f>J165+I165+H165+G165+E165+D165</f>
        <v>1824144.6800000002</v>
      </c>
      <c r="L165" s="57">
        <f>L161+L157+L153</f>
        <v>274901</v>
      </c>
    </row>
    <row r="166" spans="1:13">
      <c r="A166" s="135"/>
      <c r="B166" s="124"/>
      <c r="C166" s="40" t="s">
        <v>14</v>
      </c>
      <c r="D166" s="41">
        <f>D162+D158+D154</f>
        <v>89659.6</v>
      </c>
      <c r="E166" s="41">
        <f>E162+E158+E154</f>
        <v>1933331.3200000003</v>
      </c>
      <c r="F166" s="41">
        <f>D166+E166</f>
        <v>2022990.9200000004</v>
      </c>
      <c r="G166" s="41">
        <f>G162+G158+G154</f>
        <v>0</v>
      </c>
      <c r="H166" s="41">
        <v>0</v>
      </c>
      <c r="I166" s="41">
        <f>I162+I158+I154</f>
        <v>0</v>
      </c>
      <c r="J166" s="41">
        <f>J162+J158+J154</f>
        <v>0</v>
      </c>
      <c r="K166" s="41">
        <f>J166+I166+H166+G166+E166+D166</f>
        <v>2022990.9200000004</v>
      </c>
      <c r="L166" s="57">
        <f>L162+L158+L154</f>
        <v>274901</v>
      </c>
    </row>
    <row r="167" spans="1:13">
      <c r="A167" s="135"/>
      <c r="B167" s="124"/>
      <c r="C167" s="50" t="s">
        <v>15</v>
      </c>
      <c r="D167" s="41">
        <f>D163+D159+D155</f>
        <v>53380.42</v>
      </c>
      <c r="E167" s="41">
        <f t="shared" ref="E167:L168" si="57">E163+E159+E155</f>
        <v>1769116.92</v>
      </c>
      <c r="F167" s="41">
        <f t="shared" si="57"/>
        <v>1822497.34</v>
      </c>
      <c r="G167" s="41">
        <f t="shared" si="57"/>
        <v>0</v>
      </c>
      <c r="H167" s="41">
        <f t="shared" si="57"/>
        <v>0</v>
      </c>
      <c r="I167" s="41">
        <f t="shared" si="57"/>
        <v>0</v>
      </c>
      <c r="J167" s="41">
        <f t="shared" si="57"/>
        <v>0</v>
      </c>
      <c r="K167" s="41">
        <f t="shared" si="57"/>
        <v>1822497.34</v>
      </c>
      <c r="L167" s="57">
        <f t="shared" si="57"/>
        <v>274901</v>
      </c>
    </row>
    <row r="168" spans="1:13" ht="15.75" thickBot="1">
      <c r="A168" s="135"/>
      <c r="B168" s="125"/>
      <c r="C168" s="68" t="s">
        <v>16</v>
      </c>
      <c r="D168" s="96">
        <f>D164+D160+D156</f>
        <v>1354.1000000000058</v>
      </c>
      <c r="E168" s="96">
        <f t="shared" si="57"/>
        <v>293.23999999999069</v>
      </c>
      <c r="F168" s="96">
        <f t="shared" si="57"/>
        <v>1647.3400000000838</v>
      </c>
      <c r="G168" s="96">
        <f t="shared" si="57"/>
        <v>0</v>
      </c>
      <c r="H168" s="96">
        <f t="shared" si="57"/>
        <v>0</v>
      </c>
      <c r="I168" s="96">
        <f t="shared" si="57"/>
        <v>0</v>
      </c>
      <c r="J168" s="96">
        <f t="shared" si="57"/>
        <v>0</v>
      </c>
      <c r="K168" s="96">
        <f t="shared" si="57"/>
        <v>1647.3400000000838</v>
      </c>
      <c r="L168" s="97">
        <f t="shared" si="57"/>
        <v>0</v>
      </c>
    </row>
    <row r="169" spans="1:13">
      <c r="A169" s="135"/>
      <c r="B169" s="112" t="s">
        <v>29</v>
      </c>
      <c r="C169" s="70" t="s">
        <v>13</v>
      </c>
      <c r="D169" s="71">
        <f>D146+D165</f>
        <v>109642.20000000001</v>
      </c>
      <c r="E169" s="71">
        <f>E146+E165</f>
        <v>3538820.3200000003</v>
      </c>
      <c r="F169" s="71">
        <f>D169+E169</f>
        <v>3648462.5200000005</v>
      </c>
      <c r="G169" s="71">
        <f>G146+G165</f>
        <v>0</v>
      </c>
      <c r="H169" s="71">
        <f>H146+H165</f>
        <v>0</v>
      </c>
      <c r="I169" s="71">
        <f>I146+I165</f>
        <v>0</v>
      </c>
      <c r="J169" s="71">
        <f>J146+J165</f>
        <v>0</v>
      </c>
      <c r="K169" s="71">
        <f>J169+I169+H169+G169+E169+D169</f>
        <v>3648462.5200000005</v>
      </c>
      <c r="L169" s="72">
        <f>L146+L165-858</f>
        <v>547899</v>
      </c>
      <c r="M169" s="85"/>
    </row>
    <row r="170" spans="1:13">
      <c r="A170" s="135"/>
      <c r="B170" s="113"/>
      <c r="C170" s="14" t="s">
        <v>14</v>
      </c>
      <c r="D170" s="15">
        <f>D147+D166</f>
        <v>175153.51</v>
      </c>
      <c r="E170" s="15">
        <f>E147+E166</f>
        <v>3834259.62</v>
      </c>
      <c r="F170" s="16">
        <f>D170+E170</f>
        <v>4009413.13</v>
      </c>
      <c r="G170" s="15">
        <f t="shared" ref="G170:J171" si="58">G166+G147</f>
        <v>0</v>
      </c>
      <c r="H170" s="15">
        <f t="shared" si="58"/>
        <v>0</v>
      </c>
      <c r="I170" s="15">
        <f t="shared" si="58"/>
        <v>0</v>
      </c>
      <c r="J170" s="15">
        <f t="shared" si="58"/>
        <v>0</v>
      </c>
      <c r="K170" s="16">
        <f>J170+I170+H170+G170+E170+D170</f>
        <v>4009413.13</v>
      </c>
      <c r="L170" s="55">
        <f>L149+L166</f>
        <v>548757</v>
      </c>
    </row>
    <row r="171" spans="1:13">
      <c r="A171" s="135"/>
      <c r="B171" s="113"/>
      <c r="C171" s="42" t="s">
        <v>15</v>
      </c>
      <c r="D171" s="41">
        <f>D151+D167</f>
        <v>107157.69</v>
      </c>
      <c r="E171" s="41">
        <f>E151+E167</f>
        <v>3538527.08</v>
      </c>
      <c r="F171" s="41">
        <f>D171+E171</f>
        <v>3645684.77</v>
      </c>
      <c r="G171" s="41">
        <f t="shared" si="58"/>
        <v>0</v>
      </c>
      <c r="H171" s="41">
        <f t="shared" si="58"/>
        <v>0</v>
      </c>
      <c r="I171" s="41">
        <f t="shared" si="58"/>
        <v>0</v>
      </c>
      <c r="J171" s="41">
        <f t="shared" si="58"/>
        <v>0</v>
      </c>
      <c r="K171" s="41">
        <f>J171+I171+H171+G171+E171+D171</f>
        <v>3645684.77</v>
      </c>
      <c r="L171" s="57">
        <f>L167+L151</f>
        <v>548757</v>
      </c>
    </row>
    <row r="172" spans="1:13">
      <c r="A172" s="135"/>
      <c r="B172" s="113"/>
      <c r="C172" s="40" t="s">
        <v>16</v>
      </c>
      <c r="D172" s="41">
        <f>D152+D168</f>
        <v>2484.5100000000093</v>
      </c>
      <c r="E172" s="41">
        <f>E152+E168</f>
        <v>293.23999999999069</v>
      </c>
      <c r="F172" s="41">
        <f t="shared" ref="F172:L172" si="59">F152+F168</f>
        <v>2777.7500000004657</v>
      </c>
      <c r="G172" s="41">
        <f t="shared" si="59"/>
        <v>0</v>
      </c>
      <c r="H172" s="41">
        <f t="shared" si="59"/>
        <v>0</v>
      </c>
      <c r="I172" s="41">
        <f t="shared" si="59"/>
        <v>0</v>
      </c>
      <c r="J172" s="41">
        <f t="shared" si="59"/>
        <v>0</v>
      </c>
      <c r="K172" s="41">
        <f t="shared" si="59"/>
        <v>2777.7500000004657</v>
      </c>
      <c r="L172" s="57">
        <f t="shared" si="59"/>
        <v>0</v>
      </c>
    </row>
    <row r="173" spans="1:13">
      <c r="A173" s="135"/>
      <c r="B173" s="114"/>
      <c r="C173" s="31" t="s">
        <v>37</v>
      </c>
      <c r="D173" s="23">
        <v>175153.52</v>
      </c>
      <c r="E173" s="23">
        <v>3834259.62</v>
      </c>
      <c r="F173" s="23">
        <f t="shared" ref="F173:F179" si="60">D173+E173</f>
        <v>4009413.14</v>
      </c>
      <c r="G173" s="23">
        <v>0</v>
      </c>
      <c r="H173" s="23">
        <v>0</v>
      </c>
      <c r="I173" s="23"/>
      <c r="J173" s="23"/>
      <c r="K173" s="23">
        <f>F173</f>
        <v>4009413.14</v>
      </c>
      <c r="L173" s="61">
        <v>547899</v>
      </c>
    </row>
    <row r="174" spans="1:13">
      <c r="A174" s="135"/>
      <c r="B174" s="114"/>
      <c r="C174" s="31" t="s">
        <v>33</v>
      </c>
      <c r="D174" s="23">
        <v>2484.5100000000002</v>
      </c>
      <c r="E174" s="23">
        <v>293.24</v>
      </c>
      <c r="F174" s="23">
        <f t="shared" si="60"/>
        <v>2777.75</v>
      </c>
      <c r="G174" s="23">
        <v>0</v>
      </c>
      <c r="H174" s="23">
        <v>0</v>
      </c>
      <c r="I174" s="23"/>
      <c r="J174" s="23"/>
      <c r="K174" s="23">
        <f>F172</f>
        <v>2777.7500000004657</v>
      </c>
      <c r="L174" s="61">
        <v>-858</v>
      </c>
    </row>
    <row r="175" spans="1:13">
      <c r="A175" s="135"/>
      <c r="B175" s="114"/>
      <c r="C175" s="31" t="s">
        <v>23</v>
      </c>
      <c r="D175" s="23">
        <f>D171+D174</f>
        <v>109642.2</v>
      </c>
      <c r="E175" s="23">
        <f t="shared" ref="E175:L175" si="61">E171+E174</f>
        <v>3538820.3200000003</v>
      </c>
      <c r="F175" s="23">
        <f t="shared" si="60"/>
        <v>3648462.5200000005</v>
      </c>
      <c r="G175" s="23">
        <f t="shared" si="61"/>
        <v>0</v>
      </c>
      <c r="H175" s="23">
        <f t="shared" si="61"/>
        <v>0</v>
      </c>
      <c r="I175" s="23">
        <f t="shared" si="61"/>
        <v>0</v>
      </c>
      <c r="J175" s="23">
        <f t="shared" si="61"/>
        <v>0</v>
      </c>
      <c r="K175" s="23">
        <f>F175</f>
        <v>3648462.5200000005</v>
      </c>
      <c r="L175" s="61">
        <f t="shared" si="61"/>
        <v>547899</v>
      </c>
    </row>
    <row r="176" spans="1:13" ht="15.75" thickBot="1">
      <c r="A176" s="136"/>
      <c r="B176" s="115"/>
      <c r="C176" s="93" t="s">
        <v>16</v>
      </c>
      <c r="D176" s="94">
        <f>D169-D175</f>
        <v>0</v>
      </c>
      <c r="E176" s="94">
        <f>E169-E175</f>
        <v>0</v>
      </c>
      <c r="F176" s="94">
        <f t="shared" si="60"/>
        <v>0</v>
      </c>
      <c r="G176" s="94">
        <f>E176+F176</f>
        <v>0</v>
      </c>
      <c r="H176" s="94">
        <f>F176+G176</f>
        <v>0</v>
      </c>
      <c r="I176" s="94">
        <f>G176+H176</f>
        <v>0</v>
      </c>
      <c r="J176" s="94">
        <f>H176+I176</f>
        <v>0</v>
      </c>
      <c r="K176" s="94">
        <f>I176+J176</f>
        <v>0</v>
      </c>
      <c r="L176" s="95">
        <f>L169-L175</f>
        <v>0</v>
      </c>
    </row>
    <row r="177" spans="1:12">
      <c r="A177" s="141" t="s">
        <v>38</v>
      </c>
      <c r="B177" s="130" t="s">
        <v>12</v>
      </c>
      <c r="C177" s="86" t="s">
        <v>13</v>
      </c>
      <c r="D177" s="87">
        <v>0</v>
      </c>
      <c r="E177" s="87">
        <v>0</v>
      </c>
      <c r="F177" s="87">
        <f t="shared" si="60"/>
        <v>0</v>
      </c>
      <c r="G177" s="87">
        <f>100248.07-10664.27</f>
        <v>89583.8</v>
      </c>
      <c r="H177" s="87">
        <v>0</v>
      </c>
      <c r="I177" s="87">
        <v>0</v>
      </c>
      <c r="J177" s="87">
        <v>0</v>
      </c>
      <c r="K177" s="87">
        <f>J177+I177+H177+G177+E177+D177</f>
        <v>89583.8</v>
      </c>
      <c r="L177" s="88">
        <v>0</v>
      </c>
    </row>
    <row r="178" spans="1:12">
      <c r="A178" s="142"/>
      <c r="B178" s="131"/>
      <c r="C178" s="40" t="s">
        <v>14</v>
      </c>
      <c r="D178" s="41">
        <v>0</v>
      </c>
      <c r="E178" s="41">
        <v>0</v>
      </c>
      <c r="F178" s="41">
        <f t="shared" si="60"/>
        <v>0</v>
      </c>
      <c r="G178" s="41">
        <v>87931.85</v>
      </c>
      <c r="H178" s="41">
        <v>0</v>
      </c>
      <c r="I178" s="41">
        <v>0</v>
      </c>
      <c r="J178" s="41">
        <v>0</v>
      </c>
      <c r="K178" s="41">
        <f>J178+I178+H178+G178+E178+D178</f>
        <v>87931.85</v>
      </c>
      <c r="L178" s="57">
        <v>0</v>
      </c>
    </row>
    <row r="179" spans="1:12">
      <c r="A179" s="142"/>
      <c r="B179" s="131"/>
      <c r="C179" s="42" t="s">
        <v>15</v>
      </c>
      <c r="D179" s="41">
        <v>0</v>
      </c>
      <c r="E179" s="41">
        <v>0</v>
      </c>
      <c r="F179" s="41">
        <f t="shared" si="60"/>
        <v>0</v>
      </c>
      <c r="G179" s="41">
        <v>87931.85</v>
      </c>
      <c r="H179" s="41">
        <v>0</v>
      </c>
      <c r="I179" s="41">
        <v>0</v>
      </c>
      <c r="J179" s="41">
        <v>0</v>
      </c>
      <c r="K179" s="41">
        <f>J179+I179+H179+G179+E179+D179</f>
        <v>87931.85</v>
      </c>
      <c r="L179" s="57">
        <v>0</v>
      </c>
    </row>
    <row r="180" spans="1:12">
      <c r="A180" s="142"/>
      <c r="B180" s="145"/>
      <c r="C180" s="40" t="s">
        <v>16</v>
      </c>
      <c r="D180" s="41">
        <f>D177-D179</f>
        <v>0</v>
      </c>
      <c r="E180" s="41">
        <f t="shared" ref="E180:L180" si="62">E177-E179</f>
        <v>0</v>
      </c>
      <c r="F180" s="41">
        <f t="shared" si="62"/>
        <v>0</v>
      </c>
      <c r="G180" s="41">
        <f t="shared" si="62"/>
        <v>1651.9499999999971</v>
      </c>
      <c r="H180" s="41">
        <f t="shared" si="62"/>
        <v>0</v>
      </c>
      <c r="I180" s="41">
        <f t="shared" si="62"/>
        <v>0</v>
      </c>
      <c r="J180" s="41">
        <f t="shared" si="62"/>
        <v>0</v>
      </c>
      <c r="K180" s="41">
        <f t="shared" si="62"/>
        <v>1651.9499999999971</v>
      </c>
      <c r="L180" s="57">
        <f t="shared" si="62"/>
        <v>0</v>
      </c>
    </row>
    <row r="181" spans="1:12">
      <c r="A181" s="142"/>
      <c r="B181" s="132" t="s">
        <v>17</v>
      </c>
      <c r="C181" s="40" t="s">
        <v>13</v>
      </c>
      <c r="D181" s="41">
        <v>0</v>
      </c>
      <c r="E181" s="41">
        <v>0</v>
      </c>
      <c r="F181" s="41">
        <f>D181+E181</f>
        <v>0</v>
      </c>
      <c r="G181" s="41">
        <v>100248.07</v>
      </c>
      <c r="H181" s="41">
        <v>0</v>
      </c>
      <c r="I181" s="41">
        <v>0</v>
      </c>
      <c r="J181" s="41">
        <v>0</v>
      </c>
      <c r="K181" s="41">
        <f>J181+I181+H181+G181+E181+D181</f>
        <v>100248.07</v>
      </c>
      <c r="L181" s="57">
        <v>0</v>
      </c>
    </row>
    <row r="182" spans="1:12">
      <c r="A182" s="142"/>
      <c r="B182" s="131"/>
      <c r="C182" s="40" t="s">
        <v>14</v>
      </c>
      <c r="D182" s="41">
        <v>0</v>
      </c>
      <c r="E182" s="41">
        <v>0</v>
      </c>
      <c r="F182" s="41">
        <f>D182+E182</f>
        <v>0</v>
      </c>
      <c r="G182" s="41">
        <v>96904.24</v>
      </c>
      <c r="H182" s="41">
        <v>0</v>
      </c>
      <c r="I182" s="41">
        <v>0</v>
      </c>
      <c r="J182" s="41">
        <v>0</v>
      </c>
      <c r="K182" s="41">
        <f>J182+I182+H182+G182+E182+D182</f>
        <v>96904.24</v>
      </c>
      <c r="L182" s="57">
        <v>0</v>
      </c>
    </row>
    <row r="183" spans="1:12">
      <c r="A183" s="142"/>
      <c r="B183" s="131"/>
      <c r="C183" s="42" t="s">
        <v>15</v>
      </c>
      <c r="D183" s="41">
        <v>0</v>
      </c>
      <c r="E183" s="41">
        <v>0</v>
      </c>
      <c r="F183" s="41">
        <f>D183+E183</f>
        <v>0</v>
      </c>
      <c r="G183" s="41">
        <v>96904.24</v>
      </c>
      <c r="H183" s="41">
        <v>0</v>
      </c>
      <c r="I183" s="41">
        <v>0</v>
      </c>
      <c r="J183" s="41">
        <v>0</v>
      </c>
      <c r="K183" s="41">
        <f>J183+I183+H183+G183+E183+D183</f>
        <v>96904.24</v>
      </c>
      <c r="L183" s="57">
        <v>0</v>
      </c>
    </row>
    <row r="184" spans="1:12">
      <c r="A184" s="142"/>
      <c r="B184" s="145"/>
      <c r="C184" s="40" t="s">
        <v>18</v>
      </c>
      <c r="D184" s="41">
        <f>D181-D183</f>
        <v>0</v>
      </c>
      <c r="E184" s="41">
        <f t="shared" ref="E184:J184" si="63">E181-E183</f>
        <v>0</v>
      </c>
      <c r="F184" s="41">
        <f t="shared" si="63"/>
        <v>0</v>
      </c>
      <c r="G184" s="41">
        <f t="shared" si="63"/>
        <v>3343.8300000000017</v>
      </c>
      <c r="H184" s="41">
        <f t="shared" si="63"/>
        <v>0</v>
      </c>
      <c r="I184" s="41">
        <f t="shared" si="63"/>
        <v>0</v>
      </c>
      <c r="J184" s="41">
        <f t="shared" si="63"/>
        <v>0</v>
      </c>
      <c r="K184" s="41">
        <f>K181-K183</f>
        <v>3343.8300000000017</v>
      </c>
      <c r="L184" s="57">
        <f>L181-L183</f>
        <v>0</v>
      </c>
    </row>
    <row r="185" spans="1:12">
      <c r="A185" s="142"/>
      <c r="B185" s="132" t="s">
        <v>19</v>
      </c>
      <c r="C185" s="40" t="s">
        <v>13</v>
      </c>
      <c r="D185" s="41">
        <v>0</v>
      </c>
      <c r="E185" s="41">
        <v>0</v>
      </c>
      <c r="F185" s="41">
        <f>D185+E185</f>
        <v>0</v>
      </c>
      <c r="G185" s="49">
        <v>100248.07</v>
      </c>
      <c r="H185" s="41">
        <v>0</v>
      </c>
      <c r="I185" s="41">
        <v>0</v>
      </c>
      <c r="J185" s="41">
        <v>0</v>
      </c>
      <c r="K185" s="41">
        <f>J185+I185+H185+G185+E185+D185</f>
        <v>100248.07</v>
      </c>
      <c r="L185" s="57">
        <v>0</v>
      </c>
    </row>
    <row r="186" spans="1:12">
      <c r="A186" s="142"/>
      <c r="B186" s="131"/>
      <c r="C186" s="40" t="s">
        <v>14</v>
      </c>
      <c r="D186" s="41">
        <v>0</v>
      </c>
      <c r="E186" s="41">
        <v>0</v>
      </c>
      <c r="F186" s="41">
        <f>D186+E186</f>
        <v>0</v>
      </c>
      <c r="G186" s="41">
        <v>103984.63</v>
      </c>
      <c r="H186" s="41">
        <v>0</v>
      </c>
      <c r="I186" s="41">
        <v>0</v>
      </c>
      <c r="J186" s="41">
        <v>0</v>
      </c>
      <c r="K186" s="41">
        <f>J186+I186+H186+G186+E186+D186</f>
        <v>103984.63</v>
      </c>
      <c r="L186" s="57">
        <v>0</v>
      </c>
    </row>
    <row r="187" spans="1:12">
      <c r="A187" s="142"/>
      <c r="B187" s="131"/>
      <c r="C187" s="42" t="s">
        <v>15</v>
      </c>
      <c r="D187" s="41">
        <v>0</v>
      </c>
      <c r="E187" s="41">
        <v>0</v>
      </c>
      <c r="F187" s="41">
        <f>D187+E187</f>
        <v>0</v>
      </c>
      <c r="G187" s="41">
        <v>99990.83</v>
      </c>
      <c r="H187" s="41">
        <v>0</v>
      </c>
      <c r="I187" s="41">
        <v>0</v>
      </c>
      <c r="J187" s="41">
        <v>0</v>
      </c>
      <c r="K187" s="41">
        <f>J187+I187+H187+G187+E187+D187</f>
        <v>99990.83</v>
      </c>
      <c r="L187" s="57">
        <v>0</v>
      </c>
    </row>
    <row r="188" spans="1:12">
      <c r="A188" s="142"/>
      <c r="B188" s="145"/>
      <c r="C188" s="40" t="s">
        <v>18</v>
      </c>
      <c r="D188" s="41">
        <f>D185-D187</f>
        <v>0</v>
      </c>
      <c r="E188" s="41">
        <f t="shared" ref="E188:J188" si="64">E185-E187</f>
        <v>0</v>
      </c>
      <c r="F188" s="41">
        <f t="shared" si="64"/>
        <v>0</v>
      </c>
      <c r="G188" s="41">
        <f t="shared" si="64"/>
        <v>257.24000000000524</v>
      </c>
      <c r="H188" s="41">
        <f t="shared" si="64"/>
        <v>0</v>
      </c>
      <c r="I188" s="41">
        <f t="shared" si="64"/>
        <v>0</v>
      </c>
      <c r="J188" s="41">
        <f t="shared" si="64"/>
        <v>0</v>
      </c>
      <c r="K188" s="41">
        <f>K185-K187</f>
        <v>257.24000000000524</v>
      </c>
      <c r="L188" s="57">
        <f>L185-L187</f>
        <v>0</v>
      </c>
    </row>
    <row r="189" spans="1:12">
      <c r="A189" s="142"/>
      <c r="B189" s="137" t="s">
        <v>20</v>
      </c>
      <c r="C189" s="40" t="s">
        <v>13</v>
      </c>
      <c r="D189" s="41">
        <f>D185+D181+D177</f>
        <v>0</v>
      </c>
      <c r="E189" s="41">
        <f>E185+E181+E177</f>
        <v>0</v>
      </c>
      <c r="F189" s="41">
        <f t="shared" ref="F189:L189" si="65">F185+F181+F177</f>
        <v>0</v>
      </c>
      <c r="G189" s="41">
        <f t="shared" si="65"/>
        <v>290079.94</v>
      </c>
      <c r="H189" s="41">
        <f t="shared" si="65"/>
        <v>0</v>
      </c>
      <c r="I189" s="41">
        <f t="shared" si="65"/>
        <v>0</v>
      </c>
      <c r="J189" s="41">
        <f t="shared" si="65"/>
        <v>0</v>
      </c>
      <c r="K189" s="41">
        <f t="shared" si="65"/>
        <v>290079.94</v>
      </c>
      <c r="L189" s="57">
        <f t="shared" si="65"/>
        <v>0</v>
      </c>
    </row>
    <row r="190" spans="1:12">
      <c r="A190" s="142"/>
      <c r="B190" s="138"/>
      <c r="C190" s="40" t="s">
        <v>14</v>
      </c>
      <c r="D190" s="41">
        <f t="shared" ref="D190:L191" si="66">D186+D182+D178</f>
        <v>0</v>
      </c>
      <c r="E190" s="41">
        <f t="shared" si="66"/>
        <v>0</v>
      </c>
      <c r="F190" s="41">
        <f t="shared" si="66"/>
        <v>0</v>
      </c>
      <c r="G190" s="41">
        <f t="shared" si="66"/>
        <v>288820.71999999997</v>
      </c>
      <c r="H190" s="41">
        <f t="shared" si="66"/>
        <v>0</v>
      </c>
      <c r="I190" s="41">
        <f t="shared" si="66"/>
        <v>0</v>
      </c>
      <c r="J190" s="41">
        <f t="shared" si="66"/>
        <v>0</v>
      </c>
      <c r="K190" s="41">
        <f t="shared" si="66"/>
        <v>288820.71999999997</v>
      </c>
      <c r="L190" s="57">
        <f t="shared" si="66"/>
        <v>0</v>
      </c>
    </row>
    <row r="191" spans="1:12">
      <c r="A191" s="142"/>
      <c r="B191" s="138"/>
      <c r="C191" s="42" t="s">
        <v>15</v>
      </c>
      <c r="D191" s="41">
        <f t="shared" si="66"/>
        <v>0</v>
      </c>
      <c r="E191" s="41">
        <f t="shared" si="66"/>
        <v>0</v>
      </c>
      <c r="F191" s="41">
        <f t="shared" si="66"/>
        <v>0</v>
      </c>
      <c r="G191" s="41">
        <f t="shared" si="66"/>
        <v>284826.92000000004</v>
      </c>
      <c r="H191" s="41">
        <f t="shared" si="66"/>
        <v>0</v>
      </c>
      <c r="I191" s="41">
        <f t="shared" si="66"/>
        <v>0</v>
      </c>
      <c r="J191" s="41">
        <f t="shared" si="66"/>
        <v>0</v>
      </c>
      <c r="K191" s="41">
        <f t="shared" si="66"/>
        <v>284826.92000000004</v>
      </c>
      <c r="L191" s="57">
        <f t="shared" si="66"/>
        <v>0</v>
      </c>
    </row>
    <row r="192" spans="1:12">
      <c r="A192" s="142"/>
      <c r="B192" s="138"/>
      <c r="C192" s="42" t="s">
        <v>39</v>
      </c>
      <c r="D192" s="41">
        <v>0</v>
      </c>
      <c r="E192" s="41">
        <v>0</v>
      </c>
      <c r="F192" s="41">
        <v>0</v>
      </c>
      <c r="G192" s="41">
        <v>290079.94</v>
      </c>
      <c r="H192" s="41">
        <v>0</v>
      </c>
      <c r="I192" s="41"/>
      <c r="J192" s="41"/>
      <c r="K192" s="41">
        <f>G192</f>
        <v>290079.94</v>
      </c>
      <c r="L192" s="57">
        <v>0</v>
      </c>
    </row>
    <row r="193" spans="1:12">
      <c r="A193" s="142"/>
      <c r="B193" s="138"/>
      <c r="C193" s="42" t="s">
        <v>33</v>
      </c>
      <c r="D193" s="41">
        <v>0</v>
      </c>
      <c r="E193" s="41">
        <v>0</v>
      </c>
      <c r="F193" s="41">
        <v>0</v>
      </c>
      <c r="G193" s="41">
        <v>5253.02</v>
      </c>
      <c r="H193" s="41">
        <v>0</v>
      </c>
      <c r="I193" s="41"/>
      <c r="J193" s="41"/>
      <c r="K193" s="41">
        <f>G193</f>
        <v>5253.02</v>
      </c>
      <c r="L193" s="57">
        <v>0</v>
      </c>
    </row>
    <row r="194" spans="1:12">
      <c r="A194" s="142"/>
      <c r="B194" s="138"/>
      <c r="C194" s="42" t="s">
        <v>23</v>
      </c>
      <c r="D194" s="41">
        <v>0</v>
      </c>
      <c r="E194" s="41">
        <v>0</v>
      </c>
      <c r="F194" s="41">
        <v>0</v>
      </c>
      <c r="G194" s="41">
        <f>G191+G193</f>
        <v>290079.94000000006</v>
      </c>
      <c r="H194" s="41">
        <v>0</v>
      </c>
      <c r="I194" s="41"/>
      <c r="J194" s="41"/>
      <c r="K194" s="41">
        <f>G194</f>
        <v>290079.94000000006</v>
      </c>
      <c r="L194" s="57">
        <v>0</v>
      </c>
    </row>
    <row r="195" spans="1:12">
      <c r="A195" s="142"/>
      <c r="B195" s="146"/>
      <c r="C195" s="40" t="s">
        <v>16</v>
      </c>
      <c r="D195" s="41">
        <f>D188+D184+D180</f>
        <v>0</v>
      </c>
      <c r="E195" s="41">
        <f>E188+E184+E180</f>
        <v>0</v>
      </c>
      <c r="F195" s="41">
        <f>F188+F184+F180</f>
        <v>0</v>
      </c>
      <c r="G195" s="41">
        <f>G189-G194</f>
        <v>0</v>
      </c>
      <c r="H195" s="41">
        <f>H188+H184+H180</f>
        <v>0</v>
      </c>
      <c r="I195" s="41">
        <f>I188+I184+I180</f>
        <v>0</v>
      </c>
      <c r="J195" s="41">
        <f>J188+J184+J180</f>
        <v>0</v>
      </c>
      <c r="K195" s="41">
        <f>G195</f>
        <v>0</v>
      </c>
      <c r="L195" s="57">
        <f>L188+L184+L180</f>
        <v>0</v>
      </c>
    </row>
    <row r="196" spans="1:12">
      <c r="A196" s="143"/>
      <c r="B196" s="118" t="s">
        <v>25</v>
      </c>
      <c r="C196" s="40" t="s">
        <v>13</v>
      </c>
      <c r="D196" s="41">
        <v>0</v>
      </c>
      <c r="E196" s="41">
        <v>0</v>
      </c>
      <c r="F196" s="41">
        <f>D196+E196</f>
        <v>0</v>
      </c>
      <c r="G196" s="49">
        <f>100248.07-42993.86</f>
        <v>57254.210000000006</v>
      </c>
      <c r="H196" s="41">
        <v>0</v>
      </c>
      <c r="I196" s="41">
        <v>0</v>
      </c>
      <c r="J196" s="41">
        <v>0</v>
      </c>
      <c r="K196" s="41">
        <f>J196+I196+H196+G196+E196+D196</f>
        <v>57254.210000000006</v>
      </c>
      <c r="L196" s="57">
        <v>0</v>
      </c>
    </row>
    <row r="197" spans="1:12">
      <c r="A197" s="143"/>
      <c r="B197" s="119"/>
      <c r="C197" s="40" t="s">
        <v>14</v>
      </c>
      <c r="D197" s="41">
        <v>0</v>
      </c>
      <c r="E197" s="41">
        <v>0</v>
      </c>
      <c r="F197" s="41">
        <f>D197+E197</f>
        <v>0</v>
      </c>
      <c r="G197" s="41">
        <v>57254.21</v>
      </c>
      <c r="H197" s="41">
        <v>0</v>
      </c>
      <c r="I197" s="41">
        <v>0</v>
      </c>
      <c r="J197" s="41">
        <v>0</v>
      </c>
      <c r="K197" s="41">
        <f>J197+I197+H197+G197+E197+D197</f>
        <v>57254.21</v>
      </c>
      <c r="L197" s="57">
        <v>0</v>
      </c>
    </row>
    <row r="198" spans="1:12">
      <c r="A198" s="143"/>
      <c r="B198" s="119"/>
      <c r="C198" s="42" t="s">
        <v>15</v>
      </c>
      <c r="D198" s="41">
        <v>0</v>
      </c>
      <c r="E198" s="41">
        <v>0</v>
      </c>
      <c r="F198" s="41">
        <f>D198+E198</f>
        <v>0</v>
      </c>
      <c r="G198" s="41">
        <v>57254.21</v>
      </c>
      <c r="H198" s="41">
        <v>0</v>
      </c>
      <c r="I198" s="41">
        <v>0</v>
      </c>
      <c r="J198" s="41">
        <v>0</v>
      </c>
      <c r="K198" s="41">
        <f>J198+I198+H198+G198+E198+D198</f>
        <v>57254.21</v>
      </c>
      <c r="L198" s="57">
        <v>0</v>
      </c>
    </row>
    <row r="199" spans="1:12">
      <c r="A199" s="143"/>
      <c r="B199" s="120"/>
      <c r="C199" s="40" t="s">
        <v>16</v>
      </c>
      <c r="D199" s="41">
        <f>D196-D198</f>
        <v>0</v>
      </c>
      <c r="E199" s="41">
        <f t="shared" ref="E199:L199" si="67">E196-E198</f>
        <v>0</v>
      </c>
      <c r="F199" s="41">
        <f t="shared" si="67"/>
        <v>0</v>
      </c>
      <c r="G199" s="41">
        <f t="shared" si="67"/>
        <v>0</v>
      </c>
      <c r="H199" s="41">
        <f t="shared" si="67"/>
        <v>0</v>
      </c>
      <c r="I199" s="41">
        <f t="shared" si="67"/>
        <v>0</v>
      </c>
      <c r="J199" s="41">
        <f t="shared" si="67"/>
        <v>0</v>
      </c>
      <c r="K199" s="41">
        <f t="shared" si="67"/>
        <v>0</v>
      </c>
      <c r="L199" s="57">
        <f t="shared" si="67"/>
        <v>0</v>
      </c>
    </row>
    <row r="200" spans="1:12">
      <c r="A200" s="143"/>
      <c r="B200" s="118" t="s">
        <v>26</v>
      </c>
      <c r="C200" s="40" t="s">
        <v>13</v>
      </c>
      <c r="D200" s="41">
        <v>0</v>
      </c>
      <c r="E200" s="41">
        <v>0</v>
      </c>
      <c r="F200" s="41">
        <f>D200+E200</f>
        <v>0</v>
      </c>
      <c r="G200" s="49">
        <f>100248.07</f>
        <v>100248.07</v>
      </c>
      <c r="H200" s="41">
        <v>0</v>
      </c>
      <c r="I200" s="41">
        <v>0</v>
      </c>
      <c r="J200" s="41">
        <v>0</v>
      </c>
      <c r="K200" s="41">
        <f>J200+I200+H200+G200+E200+D200</f>
        <v>100248.07</v>
      </c>
      <c r="L200" s="57">
        <v>0</v>
      </c>
    </row>
    <row r="201" spans="1:12">
      <c r="A201" s="143"/>
      <c r="B201" s="119"/>
      <c r="C201" s="40" t="s">
        <v>14</v>
      </c>
      <c r="D201" s="41">
        <v>0</v>
      </c>
      <c r="E201" s="41">
        <v>0</v>
      </c>
      <c r="F201" s="41">
        <f>D201+E201</f>
        <v>0</v>
      </c>
      <c r="G201" s="59">
        <v>99271.26</v>
      </c>
      <c r="H201" s="41">
        <v>0</v>
      </c>
      <c r="I201" s="41">
        <v>0</v>
      </c>
      <c r="J201" s="41">
        <v>0</v>
      </c>
      <c r="K201" s="41">
        <f>J201+I201+H201+G201+E201+D201</f>
        <v>99271.26</v>
      </c>
      <c r="L201" s="57">
        <v>0</v>
      </c>
    </row>
    <row r="202" spans="1:12">
      <c r="A202" s="143"/>
      <c r="B202" s="119"/>
      <c r="C202" s="42" t="s">
        <v>15</v>
      </c>
      <c r="D202" s="41">
        <v>0</v>
      </c>
      <c r="E202" s="41">
        <v>0</v>
      </c>
      <c r="F202" s="41">
        <f>D202+E202</f>
        <v>0</v>
      </c>
      <c r="G202" s="41">
        <v>99271.26</v>
      </c>
      <c r="H202" s="41">
        <v>0</v>
      </c>
      <c r="I202" s="41">
        <v>0</v>
      </c>
      <c r="J202" s="41">
        <v>0</v>
      </c>
      <c r="K202" s="41">
        <f>J202+I202+H202+G202+E202+D202</f>
        <v>99271.26</v>
      </c>
      <c r="L202" s="57">
        <v>0</v>
      </c>
    </row>
    <row r="203" spans="1:12">
      <c r="A203" s="143"/>
      <c r="B203" s="120"/>
      <c r="C203" s="40" t="s">
        <v>24</v>
      </c>
      <c r="D203" s="41">
        <f>D200-D202</f>
        <v>0</v>
      </c>
      <c r="E203" s="41">
        <f t="shared" ref="E203:L203" si="68">E200-E202</f>
        <v>0</v>
      </c>
      <c r="F203" s="41">
        <f t="shared" si="68"/>
        <v>0</v>
      </c>
      <c r="G203" s="41">
        <f t="shared" si="68"/>
        <v>976.81000000001222</v>
      </c>
      <c r="H203" s="41">
        <f t="shared" si="68"/>
        <v>0</v>
      </c>
      <c r="I203" s="41">
        <f t="shared" si="68"/>
        <v>0</v>
      </c>
      <c r="J203" s="41">
        <f t="shared" si="68"/>
        <v>0</v>
      </c>
      <c r="K203" s="41">
        <f t="shared" si="68"/>
        <v>976.81000000001222</v>
      </c>
      <c r="L203" s="57">
        <f t="shared" si="68"/>
        <v>0</v>
      </c>
    </row>
    <row r="204" spans="1:12">
      <c r="A204" s="143"/>
      <c r="B204" s="121" t="s">
        <v>27</v>
      </c>
      <c r="C204" s="40" t="s">
        <v>13</v>
      </c>
      <c r="D204" s="41">
        <v>0</v>
      </c>
      <c r="E204" s="41">
        <v>0</v>
      </c>
      <c r="F204" s="41">
        <f>SUM(D204:E204)</f>
        <v>0</v>
      </c>
      <c r="G204" s="49">
        <f>100248.07-5683.15</f>
        <v>94564.920000000013</v>
      </c>
      <c r="H204" s="41">
        <v>0</v>
      </c>
      <c r="I204" s="41">
        <v>0</v>
      </c>
      <c r="J204" s="41">
        <v>0</v>
      </c>
      <c r="K204" s="41">
        <f>J204+I204+H204+G204+E204+D204</f>
        <v>94564.920000000013</v>
      </c>
      <c r="L204" s="57">
        <v>0</v>
      </c>
    </row>
    <row r="205" spans="1:12">
      <c r="A205" s="143"/>
      <c r="B205" s="122"/>
      <c r="C205" s="40" t="s">
        <v>14</v>
      </c>
      <c r="D205" s="41">
        <v>0</v>
      </c>
      <c r="E205" s="41">
        <v>0</v>
      </c>
      <c r="F205" s="41">
        <f>SUM(D205:E205)</f>
        <v>0</v>
      </c>
      <c r="G205" s="41">
        <f>95965.26</f>
        <v>95965.26</v>
      </c>
      <c r="H205" s="41">
        <v>0</v>
      </c>
      <c r="I205" s="41">
        <v>0</v>
      </c>
      <c r="J205" s="41">
        <v>0</v>
      </c>
      <c r="K205" s="41">
        <f>J205+I205+H205+G205+E205+D205</f>
        <v>95965.26</v>
      </c>
      <c r="L205" s="57">
        <v>0</v>
      </c>
    </row>
    <row r="206" spans="1:12">
      <c r="A206" s="143"/>
      <c r="B206" s="122"/>
      <c r="C206" s="42" t="s">
        <v>15</v>
      </c>
      <c r="D206" s="41">
        <v>0</v>
      </c>
      <c r="E206" s="41">
        <v>0</v>
      </c>
      <c r="F206" s="41">
        <f>SUM(D206:E206)</f>
        <v>0</v>
      </c>
      <c r="G206" s="41">
        <v>95965.26</v>
      </c>
      <c r="H206" s="41">
        <v>0</v>
      </c>
      <c r="I206" s="41">
        <v>0</v>
      </c>
      <c r="J206" s="41">
        <v>0</v>
      </c>
      <c r="K206" s="41">
        <f>J206+I206+H206+G206+E206+D206</f>
        <v>95965.26</v>
      </c>
      <c r="L206" s="57">
        <v>0</v>
      </c>
    </row>
    <row r="207" spans="1:12">
      <c r="A207" s="143"/>
      <c r="B207" s="147"/>
      <c r="C207" s="40" t="s">
        <v>24</v>
      </c>
      <c r="D207" s="41">
        <f>D204-D206</f>
        <v>0</v>
      </c>
      <c r="E207" s="41">
        <f t="shared" ref="E207:L207" si="69">E204-E206</f>
        <v>0</v>
      </c>
      <c r="F207" s="41">
        <f t="shared" si="69"/>
        <v>0</v>
      </c>
      <c r="G207" s="41">
        <f t="shared" si="69"/>
        <v>-1400.339999999982</v>
      </c>
      <c r="H207" s="41">
        <f t="shared" si="69"/>
        <v>0</v>
      </c>
      <c r="I207" s="41">
        <f t="shared" si="69"/>
        <v>0</v>
      </c>
      <c r="J207" s="41">
        <f t="shared" si="69"/>
        <v>0</v>
      </c>
      <c r="K207" s="41">
        <f t="shared" si="69"/>
        <v>-1400.339999999982</v>
      </c>
      <c r="L207" s="57">
        <f t="shared" si="69"/>
        <v>0</v>
      </c>
    </row>
    <row r="208" spans="1:12">
      <c r="A208" s="143"/>
      <c r="B208" s="137" t="s">
        <v>28</v>
      </c>
      <c r="C208" s="40" t="s">
        <v>13</v>
      </c>
      <c r="D208" s="41">
        <f t="shared" ref="D208:J208" si="70">D204+D200+D196</f>
        <v>0</v>
      </c>
      <c r="E208" s="41">
        <f t="shared" si="70"/>
        <v>0</v>
      </c>
      <c r="F208" s="41">
        <f t="shared" si="70"/>
        <v>0</v>
      </c>
      <c r="G208" s="41">
        <f t="shared" si="70"/>
        <v>252067.20000000001</v>
      </c>
      <c r="H208" s="41">
        <f t="shared" si="70"/>
        <v>0</v>
      </c>
      <c r="I208" s="41">
        <f t="shared" si="70"/>
        <v>0</v>
      </c>
      <c r="J208" s="41">
        <f t="shared" si="70"/>
        <v>0</v>
      </c>
      <c r="K208" s="41">
        <f>J208+I208+H208+G208+E208+D208</f>
        <v>252067.20000000001</v>
      </c>
      <c r="L208" s="57">
        <f>L204+L200+L196</f>
        <v>0</v>
      </c>
    </row>
    <row r="209" spans="1:12">
      <c r="A209" s="143"/>
      <c r="B209" s="138"/>
      <c r="C209" s="40" t="s">
        <v>14</v>
      </c>
      <c r="D209" s="41">
        <f>D205+D201+D197</f>
        <v>0</v>
      </c>
      <c r="E209" s="41">
        <f>E205+E201+E197</f>
        <v>0</v>
      </c>
      <c r="F209" s="41">
        <f>D209+E209</f>
        <v>0</v>
      </c>
      <c r="G209" s="41">
        <f>G205+G201+G197</f>
        <v>252490.72999999998</v>
      </c>
      <c r="H209" s="41">
        <v>0</v>
      </c>
      <c r="I209" s="41">
        <f>I205+I201+I197</f>
        <v>0</v>
      </c>
      <c r="J209" s="41">
        <f>J205+J201+J197</f>
        <v>0</v>
      </c>
      <c r="K209" s="41">
        <f>J209+I209+H209+G209+E209+D209</f>
        <v>252490.72999999998</v>
      </c>
      <c r="L209" s="57">
        <f>L205+L201+L197</f>
        <v>0</v>
      </c>
    </row>
    <row r="210" spans="1:12">
      <c r="A210" s="143"/>
      <c r="B210" s="138"/>
      <c r="C210" s="42" t="s">
        <v>15</v>
      </c>
      <c r="D210" s="41">
        <f>D206+D202+D198</f>
        <v>0</v>
      </c>
      <c r="E210" s="41">
        <f>E206+E202+E198</f>
        <v>0</v>
      </c>
      <c r="F210" s="41">
        <f>D210+E210</f>
        <v>0</v>
      </c>
      <c r="G210" s="41">
        <f>G206+G202+G198</f>
        <v>252490.72999999998</v>
      </c>
      <c r="H210" s="41">
        <f>H206+H202+H198</f>
        <v>0</v>
      </c>
      <c r="I210" s="41">
        <f>I206+I202+I198</f>
        <v>0</v>
      </c>
      <c r="J210" s="41">
        <f>J206+J202+J198</f>
        <v>0</v>
      </c>
      <c r="K210" s="41">
        <f>J210+I210+H210+G210+E210+D210</f>
        <v>252490.72999999998</v>
      </c>
      <c r="L210" s="57">
        <f>L206+L202+L198</f>
        <v>0</v>
      </c>
    </row>
    <row r="211" spans="1:12" ht="15.75" thickBot="1">
      <c r="A211" s="143"/>
      <c r="B211" s="138"/>
      <c r="C211" s="68" t="s">
        <v>16</v>
      </c>
      <c r="D211" s="68">
        <f>D208-D210</f>
        <v>0</v>
      </c>
      <c r="E211" s="68">
        <f t="shared" ref="E211:L211" si="71">E208-E210</f>
        <v>0</v>
      </c>
      <c r="F211" s="68">
        <f t="shared" si="71"/>
        <v>0</v>
      </c>
      <c r="G211" s="68">
        <f>G208-G210</f>
        <v>-423.52999999996973</v>
      </c>
      <c r="H211" s="68">
        <f t="shared" si="71"/>
        <v>0</v>
      </c>
      <c r="I211" s="68">
        <f t="shared" si="71"/>
        <v>0</v>
      </c>
      <c r="J211" s="68">
        <f t="shared" si="71"/>
        <v>0</v>
      </c>
      <c r="K211" s="68">
        <f t="shared" si="71"/>
        <v>-423.52999999996973</v>
      </c>
      <c r="L211" s="69">
        <f t="shared" si="71"/>
        <v>0</v>
      </c>
    </row>
    <row r="212" spans="1:12">
      <c r="A212" s="143"/>
      <c r="B212" s="112" t="s">
        <v>29</v>
      </c>
      <c r="C212" s="70" t="s">
        <v>13</v>
      </c>
      <c r="D212" s="71">
        <f t="shared" ref="D212:E214" si="72">D189+D208</f>
        <v>0</v>
      </c>
      <c r="E212" s="71">
        <f t="shared" si="72"/>
        <v>0</v>
      </c>
      <c r="F212" s="71">
        <f>D212+E212</f>
        <v>0</v>
      </c>
      <c r="G212" s="71">
        <f>G189+G208</f>
        <v>542147.14</v>
      </c>
      <c r="H212" s="71">
        <f>H189+H208</f>
        <v>0</v>
      </c>
      <c r="I212" s="71">
        <f>I189+I208</f>
        <v>0</v>
      </c>
      <c r="J212" s="71">
        <f>J189+J208</f>
        <v>0</v>
      </c>
      <c r="K212" s="71">
        <f>J212+I212+H212+G212+E212+D212</f>
        <v>542147.14</v>
      </c>
      <c r="L212" s="72">
        <f>L189+L208</f>
        <v>0</v>
      </c>
    </row>
    <row r="213" spans="1:12">
      <c r="A213" s="143"/>
      <c r="B213" s="113"/>
      <c r="C213" s="14" t="s">
        <v>14</v>
      </c>
      <c r="D213" s="15">
        <f t="shared" si="72"/>
        <v>0</v>
      </c>
      <c r="E213" s="15">
        <f t="shared" si="72"/>
        <v>0</v>
      </c>
      <c r="F213" s="16">
        <f>D213+E213</f>
        <v>0</v>
      </c>
      <c r="G213" s="15">
        <f>G192+G209</f>
        <v>542570.66999999993</v>
      </c>
      <c r="H213" s="15">
        <f t="shared" ref="H213:J214" si="73">H209+H190</f>
        <v>0</v>
      </c>
      <c r="I213" s="15">
        <f t="shared" si="73"/>
        <v>0</v>
      </c>
      <c r="J213" s="15">
        <f t="shared" si="73"/>
        <v>0</v>
      </c>
      <c r="K213" s="16">
        <f>J213+I213+H213+G213+E213+D213</f>
        <v>542570.66999999993</v>
      </c>
      <c r="L213" s="55">
        <f>L209+L190</f>
        <v>0</v>
      </c>
    </row>
    <row r="214" spans="1:12">
      <c r="A214" s="143"/>
      <c r="B214" s="113"/>
      <c r="C214" s="18" t="s">
        <v>15</v>
      </c>
      <c r="D214" s="19">
        <f t="shared" si="72"/>
        <v>0</v>
      </c>
      <c r="E214" s="19">
        <f t="shared" si="72"/>
        <v>0</v>
      </c>
      <c r="F214" s="20">
        <f>D214+E214</f>
        <v>0</v>
      </c>
      <c r="G214" s="19">
        <f>G194+G210</f>
        <v>542570.67000000004</v>
      </c>
      <c r="H214" s="19">
        <f t="shared" si="73"/>
        <v>0</v>
      </c>
      <c r="I214" s="19">
        <f t="shared" si="73"/>
        <v>0</v>
      </c>
      <c r="J214" s="19">
        <f t="shared" si="73"/>
        <v>0</v>
      </c>
      <c r="K214" s="20">
        <f>J214+I214+H214+G214+E214+D214</f>
        <v>542570.67000000004</v>
      </c>
      <c r="L214" s="62">
        <f>L210+L191</f>
        <v>0</v>
      </c>
    </row>
    <row r="215" spans="1:12">
      <c r="A215" s="143"/>
      <c r="B215" s="113"/>
      <c r="C215" s="14" t="s">
        <v>16</v>
      </c>
      <c r="D215" s="15">
        <f>D195+D211</f>
        <v>0</v>
      </c>
      <c r="E215" s="15">
        <f>E195+E211</f>
        <v>0</v>
      </c>
      <c r="F215" s="15">
        <f t="shared" ref="F215:L215" si="74">F195+F211</f>
        <v>0</v>
      </c>
      <c r="G215" s="15">
        <f>G195+G211</f>
        <v>-423.52999999996973</v>
      </c>
      <c r="H215" s="15">
        <f t="shared" si="74"/>
        <v>0</v>
      </c>
      <c r="I215" s="15">
        <f t="shared" si="74"/>
        <v>0</v>
      </c>
      <c r="J215" s="15">
        <f t="shared" si="74"/>
        <v>0</v>
      </c>
      <c r="K215" s="15">
        <f t="shared" si="74"/>
        <v>-423.52999999996973</v>
      </c>
      <c r="L215" s="56">
        <f t="shared" si="74"/>
        <v>0</v>
      </c>
    </row>
    <row r="216" spans="1:12">
      <c r="A216" s="143"/>
      <c r="B216" s="139"/>
      <c r="C216" s="98" t="s">
        <v>39</v>
      </c>
      <c r="D216" s="23"/>
      <c r="E216" s="23"/>
      <c r="F216" s="23"/>
      <c r="G216" s="23">
        <v>542147.14</v>
      </c>
      <c r="H216" s="23"/>
      <c r="I216" s="23"/>
      <c r="J216" s="23"/>
      <c r="K216" s="23">
        <f>G216</f>
        <v>542147.14</v>
      </c>
      <c r="L216" s="61"/>
    </row>
    <row r="217" spans="1:12">
      <c r="A217" s="143"/>
      <c r="B217" s="139"/>
      <c r="C217" s="98" t="s">
        <v>33</v>
      </c>
      <c r="D217" s="23"/>
      <c r="E217" s="23"/>
      <c r="F217" s="23"/>
      <c r="G217" s="23">
        <v>-423.53</v>
      </c>
      <c r="H217" s="23"/>
      <c r="I217" s="23"/>
      <c r="J217" s="23"/>
      <c r="K217" s="23">
        <f>G217</f>
        <v>-423.53</v>
      </c>
      <c r="L217" s="61"/>
    </row>
    <row r="218" spans="1:12">
      <c r="A218" s="143"/>
      <c r="B218" s="139"/>
      <c r="C218" s="98" t="s">
        <v>23</v>
      </c>
      <c r="D218" s="23"/>
      <c r="E218" s="23"/>
      <c r="F218" s="23"/>
      <c r="G218" s="23">
        <f>G217+G214</f>
        <v>542147.14</v>
      </c>
      <c r="H218" s="23"/>
      <c r="I218" s="23"/>
      <c r="J218" s="23"/>
      <c r="K218" s="23">
        <f>G218</f>
        <v>542147.14</v>
      </c>
      <c r="L218" s="61"/>
    </row>
    <row r="219" spans="1:12" ht="15.75" thickBot="1">
      <c r="A219" s="144"/>
      <c r="B219" s="140"/>
      <c r="C219" s="99" t="s">
        <v>16</v>
      </c>
      <c r="D219" s="94"/>
      <c r="E219" s="94"/>
      <c r="F219" s="94"/>
      <c r="G219" s="94">
        <f>G212-G218</f>
        <v>0</v>
      </c>
      <c r="H219" s="94">
        <f>H212-H218</f>
        <v>0</v>
      </c>
      <c r="I219" s="94">
        <f>I212-I218</f>
        <v>0</v>
      </c>
      <c r="J219" s="94">
        <f>J212-J218</f>
        <v>0</v>
      </c>
      <c r="K219" s="94">
        <f>K212-K218</f>
        <v>0</v>
      </c>
      <c r="L219" s="95"/>
    </row>
    <row r="220" spans="1:12">
      <c r="A220" s="148" t="s">
        <v>40</v>
      </c>
      <c r="B220" s="130" t="s">
        <v>12</v>
      </c>
      <c r="C220" s="86" t="s">
        <v>13</v>
      </c>
      <c r="D220" s="87">
        <v>0</v>
      </c>
      <c r="E220" s="87">
        <v>225564.08</v>
      </c>
      <c r="F220" s="87">
        <f>D220+E220</f>
        <v>225564.08</v>
      </c>
      <c r="G220" s="87">
        <v>0</v>
      </c>
      <c r="H220" s="87">
        <v>0</v>
      </c>
      <c r="I220" s="87">
        <v>0</v>
      </c>
      <c r="J220" s="87">
        <v>0</v>
      </c>
      <c r="K220" s="87">
        <f>J220+I220+H220+G220+E220+D220</f>
        <v>225564.08</v>
      </c>
      <c r="L220" s="88">
        <v>0</v>
      </c>
    </row>
    <row r="221" spans="1:12">
      <c r="A221" s="149"/>
      <c r="B221" s="131"/>
      <c r="C221" s="40" t="s">
        <v>14</v>
      </c>
      <c r="D221" s="41">
        <v>0</v>
      </c>
      <c r="E221" s="49">
        <v>290830.2</v>
      </c>
      <c r="F221" s="41">
        <f>D221+E221</f>
        <v>290830.2</v>
      </c>
      <c r="G221" s="41">
        <v>0</v>
      </c>
      <c r="H221" s="41">
        <v>0</v>
      </c>
      <c r="I221" s="41">
        <v>0</v>
      </c>
      <c r="J221" s="41">
        <v>0</v>
      </c>
      <c r="K221" s="41">
        <f>J221+I221+H221+G221+E221+D221</f>
        <v>290830.2</v>
      </c>
      <c r="L221" s="57">
        <v>0</v>
      </c>
    </row>
    <row r="222" spans="1:12">
      <c r="A222" s="149"/>
      <c r="B222" s="131"/>
      <c r="C222" s="50" t="s">
        <v>15</v>
      </c>
      <c r="D222" s="44">
        <v>0</v>
      </c>
      <c r="E222" s="49">
        <v>225564.08</v>
      </c>
      <c r="F222" s="44">
        <f>D222+E222</f>
        <v>225564.08</v>
      </c>
      <c r="G222" s="44">
        <v>0</v>
      </c>
      <c r="H222" s="44">
        <v>0</v>
      </c>
      <c r="I222" s="44">
        <v>0</v>
      </c>
      <c r="J222" s="44">
        <v>0</v>
      </c>
      <c r="K222" s="44">
        <f>J222+I222+H222+G222+E222+D222</f>
        <v>225564.08</v>
      </c>
      <c r="L222" s="90">
        <v>0</v>
      </c>
    </row>
    <row r="223" spans="1:12">
      <c r="A223" s="149"/>
      <c r="B223" s="131"/>
      <c r="C223" s="43" t="s">
        <v>16</v>
      </c>
      <c r="D223" s="44">
        <f>D220-D222</f>
        <v>0</v>
      </c>
      <c r="E223" s="44">
        <f t="shared" ref="E223:L223" si="75">E220-E222</f>
        <v>0</v>
      </c>
      <c r="F223" s="44">
        <f t="shared" si="75"/>
        <v>0</v>
      </c>
      <c r="G223" s="44">
        <f t="shared" si="75"/>
        <v>0</v>
      </c>
      <c r="H223" s="44">
        <f t="shared" si="75"/>
        <v>0</v>
      </c>
      <c r="I223" s="44">
        <f t="shared" si="75"/>
        <v>0</v>
      </c>
      <c r="J223" s="44">
        <f t="shared" si="75"/>
        <v>0</v>
      </c>
      <c r="K223" s="44">
        <f t="shared" si="75"/>
        <v>0</v>
      </c>
      <c r="L223" s="90">
        <f t="shared" si="75"/>
        <v>0</v>
      </c>
    </row>
    <row r="224" spans="1:12">
      <c r="A224" s="149"/>
      <c r="B224" s="132" t="s">
        <v>17</v>
      </c>
      <c r="C224" s="40" t="s">
        <v>13</v>
      </c>
      <c r="D224" s="41">
        <v>0</v>
      </c>
      <c r="E224" s="41">
        <v>225564.08</v>
      </c>
      <c r="F224" s="41">
        <f>D224+E224</f>
        <v>225564.08</v>
      </c>
      <c r="G224" s="41">
        <v>0</v>
      </c>
      <c r="H224" s="41">
        <v>0</v>
      </c>
      <c r="I224" s="41">
        <v>0</v>
      </c>
      <c r="J224" s="41">
        <v>0</v>
      </c>
      <c r="K224" s="41">
        <f>J224+I224+H224+G224+E224+D224</f>
        <v>225564.08</v>
      </c>
      <c r="L224" s="57">
        <v>0</v>
      </c>
    </row>
    <row r="225" spans="1:12">
      <c r="A225" s="149"/>
      <c r="B225" s="131"/>
      <c r="C225" s="40" t="s">
        <v>14</v>
      </c>
      <c r="D225" s="41">
        <v>0</v>
      </c>
      <c r="E225" s="41">
        <v>267618.40000000002</v>
      </c>
      <c r="F225" s="41">
        <f>D225+E225</f>
        <v>267618.40000000002</v>
      </c>
      <c r="G225" s="41">
        <v>0</v>
      </c>
      <c r="H225" s="41">
        <v>0</v>
      </c>
      <c r="I225" s="41">
        <v>0</v>
      </c>
      <c r="J225" s="41">
        <v>0</v>
      </c>
      <c r="K225" s="41">
        <f>J225+I225+H225+G225+E225+D225</f>
        <v>267618.40000000002</v>
      </c>
      <c r="L225" s="57">
        <v>0</v>
      </c>
    </row>
    <row r="226" spans="1:12">
      <c r="A226" s="149"/>
      <c r="B226" s="131"/>
      <c r="C226" s="50" t="s">
        <v>15</v>
      </c>
      <c r="D226" s="44">
        <v>0</v>
      </c>
      <c r="E226" s="44">
        <v>225564.08</v>
      </c>
      <c r="F226" s="44">
        <f>D226+E226</f>
        <v>225564.08</v>
      </c>
      <c r="G226" s="44">
        <v>0</v>
      </c>
      <c r="H226" s="44">
        <v>0</v>
      </c>
      <c r="I226" s="44">
        <v>0</v>
      </c>
      <c r="J226" s="44">
        <v>0</v>
      </c>
      <c r="K226" s="44">
        <f>J226+I226+H226+G226+E226+D226</f>
        <v>225564.08</v>
      </c>
      <c r="L226" s="90">
        <v>0</v>
      </c>
    </row>
    <row r="227" spans="1:12">
      <c r="A227" s="149"/>
      <c r="B227" s="131"/>
      <c r="C227" s="43" t="s">
        <v>18</v>
      </c>
      <c r="D227" s="44">
        <f>D224-D226</f>
        <v>0</v>
      </c>
      <c r="E227" s="44">
        <f t="shared" ref="E227:J227" si="76">E224-E226</f>
        <v>0</v>
      </c>
      <c r="F227" s="44">
        <f t="shared" si="76"/>
        <v>0</v>
      </c>
      <c r="G227" s="44">
        <f t="shared" si="76"/>
        <v>0</v>
      </c>
      <c r="H227" s="44">
        <f t="shared" si="76"/>
        <v>0</v>
      </c>
      <c r="I227" s="44">
        <f t="shared" si="76"/>
        <v>0</v>
      </c>
      <c r="J227" s="44">
        <f t="shared" si="76"/>
        <v>0</v>
      </c>
      <c r="K227" s="44">
        <f>K224-K226</f>
        <v>0</v>
      </c>
      <c r="L227" s="90">
        <f>L224-L226</f>
        <v>0</v>
      </c>
    </row>
    <row r="228" spans="1:12">
      <c r="A228" s="149"/>
      <c r="B228" s="132" t="s">
        <v>19</v>
      </c>
      <c r="C228" s="40" t="s">
        <v>13</v>
      </c>
      <c r="D228" s="41">
        <v>0</v>
      </c>
      <c r="E228" s="41">
        <v>225564.08</v>
      </c>
      <c r="F228" s="41">
        <f>D228+E228</f>
        <v>225564.08</v>
      </c>
      <c r="G228" s="41">
        <v>0</v>
      </c>
      <c r="H228" s="41">
        <v>0</v>
      </c>
      <c r="I228" s="41">
        <v>0</v>
      </c>
      <c r="J228" s="41">
        <v>0</v>
      </c>
      <c r="K228" s="41">
        <f>J228+I228+H228+G228+E228+D228</f>
        <v>225564.08</v>
      </c>
      <c r="L228" s="57">
        <v>0</v>
      </c>
    </row>
    <row r="229" spans="1:12">
      <c r="A229" s="149"/>
      <c r="B229" s="133"/>
      <c r="C229" s="40" t="s">
        <v>14</v>
      </c>
      <c r="D229" s="41">
        <v>0</v>
      </c>
      <c r="E229" s="41">
        <v>225564.08</v>
      </c>
      <c r="F229" s="41">
        <f>D229+E229</f>
        <v>225564.08</v>
      </c>
      <c r="G229" s="41">
        <v>0</v>
      </c>
      <c r="H229" s="41">
        <v>0</v>
      </c>
      <c r="I229" s="41">
        <v>0</v>
      </c>
      <c r="J229" s="41">
        <v>0</v>
      </c>
      <c r="K229" s="41">
        <f>J229+I229+H229+G229+E229+D229</f>
        <v>225564.08</v>
      </c>
      <c r="L229" s="57">
        <v>0</v>
      </c>
    </row>
    <row r="230" spans="1:12">
      <c r="A230" s="149"/>
      <c r="B230" s="133"/>
      <c r="C230" s="50" t="s">
        <v>15</v>
      </c>
      <c r="D230" s="44">
        <v>0</v>
      </c>
      <c r="E230" s="44">
        <v>225564.08</v>
      </c>
      <c r="F230" s="44">
        <f>D230+E230</f>
        <v>225564.08</v>
      </c>
      <c r="G230" s="44">
        <v>0</v>
      </c>
      <c r="H230" s="44">
        <v>0</v>
      </c>
      <c r="I230" s="44">
        <v>0</v>
      </c>
      <c r="J230" s="44">
        <v>0</v>
      </c>
      <c r="K230" s="44">
        <f>J230+I230+H230+G230+E230+D230</f>
        <v>225564.08</v>
      </c>
      <c r="L230" s="90">
        <v>0</v>
      </c>
    </row>
    <row r="231" spans="1:12">
      <c r="A231" s="149"/>
      <c r="B231" s="133"/>
      <c r="C231" s="43" t="s">
        <v>18</v>
      </c>
      <c r="D231" s="44">
        <f>D228-D230</f>
        <v>0</v>
      </c>
      <c r="E231" s="44">
        <f t="shared" ref="E231:J231" si="77">E228-E230</f>
        <v>0</v>
      </c>
      <c r="F231" s="44">
        <f t="shared" si="77"/>
        <v>0</v>
      </c>
      <c r="G231" s="44">
        <f t="shared" si="77"/>
        <v>0</v>
      </c>
      <c r="H231" s="44">
        <f t="shared" si="77"/>
        <v>0</v>
      </c>
      <c r="I231" s="44">
        <f t="shared" si="77"/>
        <v>0</v>
      </c>
      <c r="J231" s="44">
        <f t="shared" si="77"/>
        <v>0</v>
      </c>
      <c r="K231" s="44">
        <f>K228-K230</f>
        <v>0</v>
      </c>
      <c r="L231" s="90">
        <f>L228-L230</f>
        <v>0</v>
      </c>
    </row>
    <row r="232" spans="1:12">
      <c r="A232" s="149"/>
      <c r="B232" s="123" t="s">
        <v>20</v>
      </c>
      <c r="C232" s="40" t="s">
        <v>13</v>
      </c>
      <c r="D232" s="41">
        <f>D228+D224+D220</f>
        <v>0</v>
      </c>
      <c r="E232" s="41">
        <f>E228+E224+E220</f>
        <v>676692.24</v>
      </c>
      <c r="F232" s="41">
        <f t="shared" ref="F232:L232" si="78">F228+F224+F220</f>
        <v>676692.24</v>
      </c>
      <c r="G232" s="41">
        <f t="shared" si="78"/>
        <v>0</v>
      </c>
      <c r="H232" s="41">
        <f t="shared" si="78"/>
        <v>0</v>
      </c>
      <c r="I232" s="41">
        <f t="shared" si="78"/>
        <v>0</v>
      </c>
      <c r="J232" s="41">
        <f t="shared" si="78"/>
        <v>0</v>
      </c>
      <c r="K232" s="41">
        <f t="shared" si="78"/>
        <v>676692.24</v>
      </c>
      <c r="L232" s="57">
        <f t="shared" si="78"/>
        <v>0</v>
      </c>
    </row>
    <row r="233" spans="1:12">
      <c r="A233" s="149"/>
      <c r="B233" s="124"/>
      <c r="C233" s="40" t="s">
        <v>14</v>
      </c>
      <c r="D233" s="41">
        <f t="shared" ref="D233:L234" si="79">D229+D225+D221</f>
        <v>0</v>
      </c>
      <c r="E233" s="41">
        <f t="shared" si="79"/>
        <v>784012.67999999993</v>
      </c>
      <c r="F233" s="41">
        <f t="shared" si="79"/>
        <v>784012.67999999993</v>
      </c>
      <c r="G233" s="41">
        <f t="shared" si="79"/>
        <v>0</v>
      </c>
      <c r="H233" s="41">
        <f t="shared" si="79"/>
        <v>0</v>
      </c>
      <c r="I233" s="41">
        <f t="shared" si="79"/>
        <v>0</v>
      </c>
      <c r="J233" s="41">
        <f t="shared" si="79"/>
        <v>0</v>
      </c>
      <c r="K233" s="41">
        <f t="shared" si="79"/>
        <v>784012.67999999993</v>
      </c>
      <c r="L233" s="57">
        <f t="shared" si="79"/>
        <v>0</v>
      </c>
    </row>
    <row r="234" spans="1:12">
      <c r="A234" s="149"/>
      <c r="B234" s="124"/>
      <c r="C234" s="50" t="s">
        <v>15</v>
      </c>
      <c r="D234" s="41">
        <f t="shared" si="79"/>
        <v>0</v>
      </c>
      <c r="E234" s="41">
        <f t="shared" si="79"/>
        <v>676692.24</v>
      </c>
      <c r="F234" s="41">
        <f t="shared" si="79"/>
        <v>676692.24</v>
      </c>
      <c r="G234" s="41">
        <f t="shared" si="79"/>
        <v>0</v>
      </c>
      <c r="H234" s="41">
        <f t="shared" si="79"/>
        <v>0</v>
      </c>
      <c r="I234" s="41">
        <f t="shared" si="79"/>
        <v>0</v>
      </c>
      <c r="J234" s="41">
        <f t="shared" si="79"/>
        <v>0</v>
      </c>
      <c r="K234" s="41">
        <f t="shared" si="79"/>
        <v>676692.24</v>
      </c>
      <c r="L234" s="57">
        <f t="shared" si="79"/>
        <v>0</v>
      </c>
    </row>
    <row r="235" spans="1:12">
      <c r="A235" s="149"/>
      <c r="B235" s="124"/>
      <c r="C235" s="50" t="s">
        <v>35</v>
      </c>
      <c r="D235" s="41">
        <v>0</v>
      </c>
      <c r="E235" s="41">
        <v>852555.76</v>
      </c>
      <c r="F235" s="41">
        <f>D235+E235</f>
        <v>852555.76</v>
      </c>
      <c r="G235" s="41">
        <v>0</v>
      </c>
      <c r="H235" s="41">
        <v>0</v>
      </c>
      <c r="I235" s="41"/>
      <c r="J235" s="41"/>
      <c r="K235" s="41">
        <f>F235</f>
        <v>852555.76</v>
      </c>
      <c r="L235" s="57">
        <v>0</v>
      </c>
    </row>
    <row r="236" spans="1:12">
      <c r="A236" s="149"/>
      <c r="B236" s="124"/>
      <c r="C236" s="50" t="s">
        <v>33</v>
      </c>
      <c r="D236" s="41">
        <v>0</v>
      </c>
      <c r="E236" s="41">
        <v>0</v>
      </c>
      <c r="F236" s="41">
        <f>D236+E236</f>
        <v>0</v>
      </c>
      <c r="G236" s="41">
        <v>0</v>
      </c>
      <c r="H236" s="41">
        <v>0</v>
      </c>
      <c r="I236" s="41"/>
      <c r="J236" s="41"/>
      <c r="K236" s="41">
        <f>F236</f>
        <v>0</v>
      </c>
      <c r="L236" s="57">
        <v>0</v>
      </c>
    </row>
    <row r="237" spans="1:12">
      <c r="A237" s="149"/>
      <c r="B237" s="124"/>
      <c r="C237" s="50" t="s">
        <v>23</v>
      </c>
      <c r="D237" s="41">
        <v>0</v>
      </c>
      <c r="E237" s="41">
        <f>E234+E236</f>
        <v>676692.24</v>
      </c>
      <c r="F237" s="41">
        <f>D237+E237</f>
        <v>676692.24</v>
      </c>
      <c r="G237" s="41">
        <v>0</v>
      </c>
      <c r="H237" s="41">
        <v>0</v>
      </c>
      <c r="I237" s="41"/>
      <c r="J237" s="41"/>
      <c r="K237" s="41">
        <f>F237</f>
        <v>676692.24</v>
      </c>
      <c r="L237" s="57">
        <v>0</v>
      </c>
    </row>
    <row r="238" spans="1:12">
      <c r="A238" s="149"/>
      <c r="B238" s="124"/>
      <c r="C238" s="40" t="s">
        <v>16</v>
      </c>
      <c r="D238" s="41">
        <f t="shared" ref="D238:L238" si="80">D231+D227+D223</f>
        <v>0</v>
      </c>
      <c r="E238" s="41">
        <f t="shared" si="80"/>
        <v>0</v>
      </c>
      <c r="F238" s="41">
        <f t="shared" si="80"/>
        <v>0</v>
      </c>
      <c r="G238" s="41">
        <f t="shared" si="80"/>
        <v>0</v>
      </c>
      <c r="H238" s="41">
        <f t="shared" si="80"/>
        <v>0</v>
      </c>
      <c r="I238" s="41">
        <f t="shared" si="80"/>
        <v>0</v>
      </c>
      <c r="J238" s="41">
        <f t="shared" si="80"/>
        <v>0</v>
      </c>
      <c r="K238" s="41">
        <f t="shared" si="80"/>
        <v>0</v>
      </c>
      <c r="L238" s="57">
        <f t="shared" si="80"/>
        <v>0</v>
      </c>
    </row>
    <row r="239" spans="1:12">
      <c r="A239" s="150"/>
      <c r="B239" s="118" t="s">
        <v>25</v>
      </c>
      <c r="C239" s="40" t="s">
        <v>13</v>
      </c>
      <c r="D239" s="41">
        <v>0</v>
      </c>
      <c r="E239" s="41">
        <v>225564.08</v>
      </c>
      <c r="F239" s="41">
        <f>D239+E239</f>
        <v>225564.08</v>
      </c>
      <c r="G239" s="41">
        <v>0</v>
      </c>
      <c r="H239" s="41">
        <v>0</v>
      </c>
      <c r="I239" s="41">
        <v>0</v>
      </c>
      <c r="J239" s="41">
        <v>0</v>
      </c>
      <c r="K239" s="41">
        <f>J239+I239+H239+G239+E239+D239</f>
        <v>225564.08</v>
      </c>
      <c r="L239" s="57">
        <v>0</v>
      </c>
    </row>
    <row r="240" spans="1:12">
      <c r="A240" s="150"/>
      <c r="B240" s="119"/>
      <c r="C240" s="40" t="s">
        <v>14</v>
      </c>
      <c r="D240" s="41">
        <v>0</v>
      </c>
      <c r="E240" s="41">
        <v>283183.96000000002</v>
      </c>
      <c r="F240" s="41">
        <f>D240+E240</f>
        <v>283183.96000000002</v>
      </c>
      <c r="G240" s="41">
        <v>0</v>
      </c>
      <c r="H240" s="41">
        <v>0</v>
      </c>
      <c r="I240" s="41">
        <v>0</v>
      </c>
      <c r="J240" s="41">
        <v>0</v>
      </c>
      <c r="K240" s="41">
        <f>J240+I240+H240+G240+E240+D240</f>
        <v>283183.96000000002</v>
      </c>
      <c r="L240" s="57">
        <v>0</v>
      </c>
    </row>
    <row r="241" spans="1:13">
      <c r="A241" s="150"/>
      <c r="B241" s="119"/>
      <c r="C241" s="50" t="s">
        <v>15</v>
      </c>
      <c r="D241" s="41">
        <v>0</v>
      </c>
      <c r="E241" s="41">
        <v>225564.08</v>
      </c>
      <c r="F241" s="41">
        <f>D241+E241</f>
        <v>225564.08</v>
      </c>
      <c r="G241" s="41">
        <v>0</v>
      </c>
      <c r="H241" s="41">
        <v>0</v>
      </c>
      <c r="I241" s="41">
        <v>0</v>
      </c>
      <c r="J241" s="41">
        <v>0</v>
      </c>
      <c r="K241" s="41">
        <f>J241+I241+H241+G241+E241+D241</f>
        <v>225564.08</v>
      </c>
      <c r="L241" s="57">
        <v>0</v>
      </c>
    </row>
    <row r="242" spans="1:13">
      <c r="A242" s="150"/>
      <c r="B242" s="120"/>
      <c r="C242" s="40" t="s">
        <v>16</v>
      </c>
      <c r="D242" s="41">
        <f>D239-D241</f>
        <v>0</v>
      </c>
      <c r="E242" s="41">
        <f t="shared" ref="E242:L242" si="81">E239-E241</f>
        <v>0</v>
      </c>
      <c r="F242" s="41">
        <f t="shared" si="81"/>
        <v>0</v>
      </c>
      <c r="G242" s="41">
        <f t="shared" si="81"/>
        <v>0</v>
      </c>
      <c r="H242" s="41">
        <f t="shared" si="81"/>
        <v>0</v>
      </c>
      <c r="I242" s="41">
        <f t="shared" si="81"/>
        <v>0</v>
      </c>
      <c r="J242" s="41">
        <f t="shared" si="81"/>
        <v>0</v>
      </c>
      <c r="K242" s="41">
        <f t="shared" si="81"/>
        <v>0</v>
      </c>
      <c r="L242" s="57">
        <f t="shared" si="81"/>
        <v>0</v>
      </c>
    </row>
    <row r="243" spans="1:13">
      <c r="A243" s="150"/>
      <c r="B243" s="118" t="s">
        <v>26</v>
      </c>
      <c r="C243" s="40" t="s">
        <v>13</v>
      </c>
      <c r="D243" s="41">
        <v>0</v>
      </c>
      <c r="E243" s="41">
        <v>225564.08</v>
      </c>
      <c r="F243" s="41">
        <f>D243+E243</f>
        <v>225564.08</v>
      </c>
      <c r="G243" s="41">
        <v>0</v>
      </c>
      <c r="H243" s="41">
        <v>0</v>
      </c>
      <c r="I243" s="41">
        <v>0</v>
      </c>
      <c r="J243" s="41">
        <v>0</v>
      </c>
      <c r="K243" s="41">
        <f>J243+I243+H243+G243+E243+D243</f>
        <v>225564.08</v>
      </c>
      <c r="L243" s="57">
        <v>0</v>
      </c>
    </row>
    <row r="244" spans="1:13">
      <c r="A244" s="150"/>
      <c r="B244" s="119"/>
      <c r="C244" s="40" t="s">
        <v>14</v>
      </c>
      <c r="D244" s="41">
        <v>0</v>
      </c>
      <c r="E244" s="41">
        <v>295199.48</v>
      </c>
      <c r="F244" s="41">
        <f>D244+E244</f>
        <v>295199.48</v>
      </c>
      <c r="G244" s="91">
        <v>0</v>
      </c>
      <c r="H244" s="41">
        <v>0</v>
      </c>
      <c r="I244" s="41">
        <v>0</v>
      </c>
      <c r="J244" s="41">
        <v>0</v>
      </c>
      <c r="K244" s="41">
        <f>J244+I244+H244+G244+E244+D244</f>
        <v>295199.48</v>
      </c>
      <c r="L244" s="100">
        <v>0</v>
      </c>
    </row>
    <row r="245" spans="1:13">
      <c r="A245" s="150"/>
      <c r="B245" s="119"/>
      <c r="C245" s="50" t="s">
        <v>15</v>
      </c>
      <c r="D245" s="41">
        <v>0</v>
      </c>
      <c r="E245" s="41">
        <v>225564.08</v>
      </c>
      <c r="F245" s="41">
        <f>D245+E245</f>
        <v>225564.08</v>
      </c>
      <c r="G245" s="41">
        <v>0</v>
      </c>
      <c r="H245" s="41">
        <v>0</v>
      </c>
      <c r="I245" s="41">
        <v>0</v>
      </c>
      <c r="J245" s="41">
        <v>0</v>
      </c>
      <c r="K245" s="41">
        <f>J245+I245+H245+G245+E245+D245</f>
        <v>225564.08</v>
      </c>
      <c r="L245" s="57">
        <v>0</v>
      </c>
    </row>
    <row r="246" spans="1:13">
      <c r="A246" s="150"/>
      <c r="B246" s="120"/>
      <c r="C246" s="40" t="s">
        <v>24</v>
      </c>
      <c r="D246" s="41">
        <f>D243-D245</f>
        <v>0</v>
      </c>
      <c r="E246" s="41">
        <f t="shared" ref="E246:L246" si="82">E243-E245</f>
        <v>0</v>
      </c>
      <c r="F246" s="41">
        <f t="shared" si="82"/>
        <v>0</v>
      </c>
      <c r="G246" s="41">
        <f t="shared" si="82"/>
        <v>0</v>
      </c>
      <c r="H246" s="41">
        <f t="shared" si="82"/>
        <v>0</v>
      </c>
      <c r="I246" s="41">
        <f t="shared" si="82"/>
        <v>0</v>
      </c>
      <c r="J246" s="41">
        <f t="shared" si="82"/>
        <v>0</v>
      </c>
      <c r="K246" s="41">
        <f t="shared" si="82"/>
        <v>0</v>
      </c>
      <c r="L246" s="57">
        <f t="shared" si="82"/>
        <v>0</v>
      </c>
    </row>
    <row r="247" spans="1:13">
      <c r="A247" s="150"/>
      <c r="B247" s="121" t="s">
        <v>27</v>
      </c>
      <c r="C247" s="43" t="s">
        <v>13</v>
      </c>
      <c r="D247" s="44">
        <v>0</v>
      </c>
      <c r="E247" s="41">
        <v>225564.08</v>
      </c>
      <c r="F247" s="44">
        <f>SUM(D247:E247)</f>
        <v>225564.08</v>
      </c>
      <c r="G247" s="44">
        <v>0</v>
      </c>
      <c r="H247" s="44">
        <v>0</v>
      </c>
      <c r="I247" s="44">
        <v>0</v>
      </c>
      <c r="J247" s="44">
        <v>0</v>
      </c>
      <c r="K247" s="44">
        <f>J247+I247+H247+G247+E247+D247</f>
        <v>225564.08</v>
      </c>
      <c r="L247" s="90">
        <v>0</v>
      </c>
    </row>
    <row r="248" spans="1:13">
      <c r="A248" s="150"/>
      <c r="B248" s="122"/>
      <c r="C248" s="43" t="s">
        <v>14</v>
      </c>
      <c r="D248" s="44">
        <v>0</v>
      </c>
      <c r="E248" s="44">
        <v>285641.68</v>
      </c>
      <c r="F248" s="44">
        <f>SUM(D248:E248)</f>
        <v>285641.68</v>
      </c>
      <c r="G248" s="44">
        <v>0</v>
      </c>
      <c r="H248" s="44">
        <v>0</v>
      </c>
      <c r="I248" s="44">
        <v>0</v>
      </c>
      <c r="J248" s="44">
        <v>0</v>
      </c>
      <c r="K248" s="44">
        <f>J248+I248+H248+G248+E248+D248</f>
        <v>285641.68</v>
      </c>
      <c r="L248" s="90">
        <v>0</v>
      </c>
    </row>
    <row r="249" spans="1:13">
      <c r="A249" s="150"/>
      <c r="B249" s="122"/>
      <c r="C249" s="50" t="s">
        <v>15</v>
      </c>
      <c r="D249" s="44">
        <v>0</v>
      </c>
      <c r="E249" s="44">
        <v>225564.08</v>
      </c>
      <c r="F249" s="44">
        <f>SUM(D249:E249)</f>
        <v>225564.08</v>
      </c>
      <c r="G249" s="44">
        <v>0</v>
      </c>
      <c r="H249" s="44">
        <v>0</v>
      </c>
      <c r="I249" s="44">
        <v>0</v>
      </c>
      <c r="J249" s="44">
        <v>0</v>
      </c>
      <c r="K249" s="44">
        <f>J249+I249+H249+G249+E249+D249</f>
        <v>225564.08</v>
      </c>
      <c r="L249" s="90">
        <v>0</v>
      </c>
    </row>
    <row r="250" spans="1:13">
      <c r="A250" s="150"/>
      <c r="B250" s="117"/>
      <c r="C250" s="43" t="s">
        <v>24</v>
      </c>
      <c r="D250" s="44">
        <f>D247-D249</f>
        <v>0</v>
      </c>
      <c r="E250" s="44">
        <f t="shared" ref="E250:L250" si="83">E247-E249</f>
        <v>0</v>
      </c>
      <c r="F250" s="44">
        <f t="shared" si="83"/>
        <v>0</v>
      </c>
      <c r="G250" s="44">
        <f t="shared" si="83"/>
        <v>0</v>
      </c>
      <c r="H250" s="44">
        <f t="shared" si="83"/>
        <v>0</v>
      </c>
      <c r="I250" s="44">
        <f t="shared" si="83"/>
        <v>0</v>
      </c>
      <c r="J250" s="44">
        <f t="shared" si="83"/>
        <v>0</v>
      </c>
      <c r="K250" s="44">
        <f t="shared" si="83"/>
        <v>0</v>
      </c>
      <c r="L250" s="90">
        <f t="shared" si="83"/>
        <v>0</v>
      </c>
    </row>
    <row r="251" spans="1:13">
      <c r="A251" s="150"/>
      <c r="B251" s="123" t="s">
        <v>28</v>
      </c>
      <c r="C251" s="40" t="s">
        <v>13</v>
      </c>
      <c r="D251" s="41">
        <f t="shared" ref="D251:J251" si="84">D247+D243+D239</f>
        <v>0</v>
      </c>
      <c r="E251" s="41">
        <f t="shared" si="84"/>
        <v>676692.24</v>
      </c>
      <c r="F251" s="41">
        <f t="shared" si="84"/>
        <v>676692.24</v>
      </c>
      <c r="G251" s="41">
        <f t="shared" si="84"/>
        <v>0</v>
      </c>
      <c r="H251" s="41">
        <f t="shared" si="84"/>
        <v>0</v>
      </c>
      <c r="I251" s="41">
        <f t="shared" si="84"/>
        <v>0</v>
      </c>
      <c r="J251" s="41">
        <f t="shared" si="84"/>
        <v>0</v>
      </c>
      <c r="K251" s="41">
        <f>J251+I251+H251+G251+E251+D251</f>
        <v>676692.24</v>
      </c>
      <c r="L251" s="57">
        <f>L247+L243+L239</f>
        <v>0</v>
      </c>
      <c r="M251" s="13"/>
    </row>
    <row r="252" spans="1:13">
      <c r="A252" s="150"/>
      <c r="B252" s="124"/>
      <c r="C252" s="40" t="s">
        <v>14</v>
      </c>
      <c r="D252" s="41">
        <f>D248+D244+D240</f>
        <v>0</v>
      </c>
      <c r="E252" s="41">
        <f>E248+E244+E240</f>
        <v>864025.11999999988</v>
      </c>
      <c r="F252" s="41">
        <f>D252+E252</f>
        <v>864025.11999999988</v>
      </c>
      <c r="G252" s="41">
        <f>G248+G244+G240</f>
        <v>0</v>
      </c>
      <c r="H252" s="41">
        <v>0</v>
      </c>
      <c r="I252" s="41">
        <f>I248+I244+I240</f>
        <v>0</v>
      </c>
      <c r="J252" s="41">
        <f>J248+J244+J240</f>
        <v>0</v>
      </c>
      <c r="K252" s="41">
        <f>J252+I252+H252+G252+E252+D252</f>
        <v>864025.11999999988</v>
      </c>
      <c r="L252" s="57">
        <f>L248+L244+L240</f>
        <v>0</v>
      </c>
      <c r="M252" s="13"/>
    </row>
    <row r="253" spans="1:13">
      <c r="A253" s="150"/>
      <c r="B253" s="124"/>
      <c r="C253" s="50" t="s">
        <v>15</v>
      </c>
      <c r="D253" s="41">
        <f>D249+D245+D241</f>
        <v>0</v>
      </c>
      <c r="E253" s="41">
        <f>E249+E245+E241</f>
        <v>676692.24</v>
      </c>
      <c r="F253" s="41">
        <f>D253+E253</f>
        <v>676692.24</v>
      </c>
      <c r="G253" s="41">
        <f>G249+G245+G241</f>
        <v>0</v>
      </c>
      <c r="H253" s="41">
        <f>H249+H245+H241</f>
        <v>0</v>
      </c>
      <c r="I253" s="41">
        <f>I249+I245+I241</f>
        <v>0</v>
      </c>
      <c r="J253" s="41">
        <f>J249+J245+J241</f>
        <v>0</v>
      </c>
      <c r="K253" s="41">
        <f>J253+I253+H253+G253+E253+D253</f>
        <v>676692.24</v>
      </c>
      <c r="L253" s="57">
        <f>L249+L245+L241</f>
        <v>0</v>
      </c>
      <c r="M253" s="13"/>
    </row>
    <row r="254" spans="1:13" ht="15.75" thickBot="1">
      <c r="A254" s="150"/>
      <c r="B254" s="125"/>
      <c r="C254" s="68" t="s">
        <v>16</v>
      </c>
      <c r="D254" s="68">
        <f>D251-D253</f>
        <v>0</v>
      </c>
      <c r="E254" s="68">
        <f t="shared" ref="E254:L254" si="85">E251-E253</f>
        <v>0</v>
      </c>
      <c r="F254" s="68">
        <f t="shared" si="85"/>
        <v>0</v>
      </c>
      <c r="G254" s="68">
        <f t="shared" si="85"/>
        <v>0</v>
      </c>
      <c r="H254" s="68">
        <f t="shared" si="85"/>
        <v>0</v>
      </c>
      <c r="I254" s="68">
        <f t="shared" si="85"/>
        <v>0</v>
      </c>
      <c r="J254" s="68">
        <f t="shared" si="85"/>
        <v>0</v>
      </c>
      <c r="K254" s="68">
        <f t="shared" si="85"/>
        <v>0</v>
      </c>
      <c r="L254" s="69">
        <f t="shared" si="85"/>
        <v>0</v>
      </c>
      <c r="M254" s="13"/>
    </row>
    <row r="255" spans="1:13">
      <c r="A255" s="150"/>
      <c r="B255" s="112" t="s">
        <v>29</v>
      </c>
      <c r="C255" s="70" t="s">
        <v>13</v>
      </c>
      <c r="D255" s="71">
        <f>D232+D251</f>
        <v>0</v>
      </c>
      <c r="E255" s="71">
        <f>E232+E251</f>
        <v>1353384.48</v>
      </c>
      <c r="F255" s="71">
        <f>D255+E255</f>
        <v>1353384.48</v>
      </c>
      <c r="G255" s="71">
        <f>G232+G251</f>
        <v>0</v>
      </c>
      <c r="H255" s="71">
        <f>H232+H251</f>
        <v>0</v>
      </c>
      <c r="I255" s="71">
        <f>I232+I251</f>
        <v>0</v>
      </c>
      <c r="J255" s="71">
        <f>J232+J251</f>
        <v>0</v>
      </c>
      <c r="K255" s="71">
        <f>J255+I255+H255+G255+E255+D255</f>
        <v>1353384.48</v>
      </c>
      <c r="L255" s="72">
        <f>L232+L251</f>
        <v>0</v>
      </c>
      <c r="M255" s="13"/>
    </row>
    <row r="256" spans="1:13">
      <c r="A256" s="150"/>
      <c r="B256" s="113"/>
      <c r="C256" s="14" t="s">
        <v>14</v>
      </c>
      <c r="D256" s="15">
        <f>D233+D252</f>
        <v>0</v>
      </c>
      <c r="E256" s="15">
        <f>E235+E252</f>
        <v>1716580.88</v>
      </c>
      <c r="F256" s="16">
        <f>D256+E256</f>
        <v>1716580.88</v>
      </c>
      <c r="G256" s="15">
        <f t="shared" ref="G256:J257" si="86">G252+G233</f>
        <v>0</v>
      </c>
      <c r="H256" s="15">
        <f t="shared" si="86"/>
        <v>0</v>
      </c>
      <c r="I256" s="15">
        <f t="shared" si="86"/>
        <v>0</v>
      </c>
      <c r="J256" s="15">
        <f t="shared" si="86"/>
        <v>0</v>
      </c>
      <c r="K256" s="16">
        <f>J256+I256+H256+G256+E256+D256</f>
        <v>1716580.88</v>
      </c>
      <c r="L256" s="55">
        <f>L252+L233</f>
        <v>0</v>
      </c>
    </row>
    <row r="257" spans="1:12">
      <c r="A257" s="150"/>
      <c r="B257" s="113"/>
      <c r="C257" s="39" t="s">
        <v>15</v>
      </c>
      <c r="D257" s="15">
        <f>D234+D253</f>
        <v>0</v>
      </c>
      <c r="E257" s="15">
        <f>E234+E253</f>
        <v>1353384.48</v>
      </c>
      <c r="F257" s="16">
        <f>D257+E257</f>
        <v>1353384.48</v>
      </c>
      <c r="G257" s="15">
        <f t="shared" si="86"/>
        <v>0</v>
      </c>
      <c r="H257" s="15">
        <f t="shared" si="86"/>
        <v>0</v>
      </c>
      <c r="I257" s="15">
        <f t="shared" si="86"/>
        <v>0</v>
      </c>
      <c r="J257" s="15">
        <f t="shared" si="86"/>
        <v>0</v>
      </c>
      <c r="K257" s="16">
        <f>J257+I257+H257+G257+E257+D257</f>
        <v>1353384.48</v>
      </c>
      <c r="L257" s="55">
        <f>L253+L234</f>
        <v>0</v>
      </c>
    </row>
    <row r="258" spans="1:12">
      <c r="A258" s="150"/>
      <c r="B258" s="113"/>
      <c r="C258" s="14" t="s">
        <v>16</v>
      </c>
      <c r="D258" s="15">
        <f>D238+D254</f>
        <v>0</v>
      </c>
      <c r="E258" s="15">
        <f>E238+E254</f>
        <v>0</v>
      </c>
      <c r="F258" s="15">
        <f t="shared" ref="F258:L258" si="87">F238+F254</f>
        <v>0</v>
      </c>
      <c r="G258" s="15">
        <f t="shared" si="87"/>
        <v>0</v>
      </c>
      <c r="H258" s="15">
        <f t="shared" si="87"/>
        <v>0</v>
      </c>
      <c r="I258" s="15">
        <f t="shared" si="87"/>
        <v>0</v>
      </c>
      <c r="J258" s="15">
        <f t="shared" si="87"/>
        <v>0</v>
      </c>
      <c r="K258" s="15">
        <f t="shared" si="87"/>
        <v>0</v>
      </c>
      <c r="L258" s="56">
        <f t="shared" si="87"/>
        <v>0</v>
      </c>
    </row>
    <row r="259" spans="1:12">
      <c r="A259" s="150"/>
      <c r="B259" s="114"/>
      <c r="C259" s="101" t="s">
        <v>35</v>
      </c>
      <c r="D259" s="23">
        <v>0</v>
      </c>
      <c r="E259" s="23">
        <f>E235+864025.12</f>
        <v>1716580.88</v>
      </c>
      <c r="F259" s="23">
        <f t="shared" ref="F259:K259" si="88">F235+864025.12</f>
        <v>1716580.88</v>
      </c>
      <c r="G259" s="23">
        <v>0</v>
      </c>
      <c r="H259" s="23">
        <v>0</v>
      </c>
      <c r="I259" s="23">
        <f t="shared" si="88"/>
        <v>864025.12</v>
      </c>
      <c r="J259" s="23">
        <f t="shared" si="88"/>
        <v>864025.12</v>
      </c>
      <c r="K259" s="23">
        <f t="shared" si="88"/>
        <v>1716580.88</v>
      </c>
      <c r="L259" s="61">
        <v>0</v>
      </c>
    </row>
    <row r="260" spans="1:12">
      <c r="A260" s="150"/>
      <c r="B260" s="114"/>
      <c r="C260" s="101" t="s">
        <v>33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61">
        <v>0</v>
      </c>
    </row>
    <row r="261" spans="1:12">
      <c r="A261" s="150"/>
      <c r="B261" s="114"/>
      <c r="C261" s="101" t="s">
        <v>23</v>
      </c>
      <c r="D261" s="23">
        <v>0</v>
      </c>
      <c r="E261" s="23">
        <f t="shared" ref="E261:L261" si="89">E260+E257</f>
        <v>1353384.48</v>
      </c>
      <c r="F261" s="23">
        <f t="shared" si="89"/>
        <v>1353384.48</v>
      </c>
      <c r="G261" s="23">
        <f t="shared" si="89"/>
        <v>0</v>
      </c>
      <c r="H261" s="23">
        <f t="shared" si="89"/>
        <v>0</v>
      </c>
      <c r="I261" s="23">
        <f t="shared" si="89"/>
        <v>0</v>
      </c>
      <c r="J261" s="23">
        <f t="shared" si="89"/>
        <v>0</v>
      </c>
      <c r="K261" s="23">
        <f t="shared" si="89"/>
        <v>1353384.48</v>
      </c>
      <c r="L261" s="61">
        <f t="shared" si="89"/>
        <v>0</v>
      </c>
    </row>
    <row r="262" spans="1:12" ht="15.75" thickBot="1">
      <c r="A262" s="151"/>
      <c r="B262" s="115"/>
      <c r="C262" s="99" t="s">
        <v>16</v>
      </c>
      <c r="D262" s="94">
        <v>0</v>
      </c>
      <c r="E262" s="94">
        <f>E255-E261</f>
        <v>0</v>
      </c>
      <c r="F262" s="94">
        <f t="shared" ref="F262:L262" si="90">F255-F261</f>
        <v>0</v>
      </c>
      <c r="G262" s="94">
        <f t="shared" si="90"/>
        <v>0</v>
      </c>
      <c r="H262" s="94">
        <f t="shared" si="90"/>
        <v>0</v>
      </c>
      <c r="I262" s="94">
        <f t="shared" si="90"/>
        <v>0</v>
      </c>
      <c r="J262" s="94">
        <f t="shared" si="90"/>
        <v>0</v>
      </c>
      <c r="K262" s="94">
        <f t="shared" si="90"/>
        <v>0</v>
      </c>
      <c r="L262" s="95">
        <f t="shared" si="90"/>
        <v>0</v>
      </c>
    </row>
    <row r="263" spans="1:12">
      <c r="A263" s="155" t="s">
        <v>41</v>
      </c>
      <c r="B263" s="130" t="s">
        <v>12</v>
      </c>
      <c r="C263" s="86" t="s">
        <v>13</v>
      </c>
      <c r="D263" s="87">
        <f>D5+D91+D134+D177+D220+D48</f>
        <v>9549879.1199999992</v>
      </c>
      <c r="E263" s="87">
        <f t="shared" ref="E263:L263" si="91">E5+E91+E134+E177+E220+E48</f>
        <v>1429728.46</v>
      </c>
      <c r="F263" s="87">
        <f t="shared" si="91"/>
        <v>10979607.58</v>
      </c>
      <c r="G263" s="87">
        <f t="shared" si="91"/>
        <v>851451.93</v>
      </c>
      <c r="H263" s="87">
        <f t="shared" si="91"/>
        <v>0</v>
      </c>
      <c r="I263" s="87">
        <f t="shared" si="91"/>
        <v>0</v>
      </c>
      <c r="J263" s="87">
        <f t="shared" si="91"/>
        <v>0</v>
      </c>
      <c r="K263" s="87">
        <f t="shared" si="91"/>
        <v>11831059.51</v>
      </c>
      <c r="L263" s="88">
        <f t="shared" si="91"/>
        <v>771661</v>
      </c>
    </row>
    <row r="264" spans="1:12">
      <c r="A264" s="156"/>
      <c r="B264" s="131"/>
      <c r="C264" s="40" t="s">
        <v>14</v>
      </c>
      <c r="D264" s="49">
        <f t="shared" ref="D264:H305" si="92">D6+D92+D135+D178+D221+D49</f>
        <v>10182279.98</v>
      </c>
      <c r="E264" s="49">
        <f t="shared" si="92"/>
        <v>1562777.0099999998</v>
      </c>
      <c r="F264" s="49">
        <f t="shared" si="92"/>
        <v>11745056.99</v>
      </c>
      <c r="G264" s="49">
        <f t="shared" si="92"/>
        <v>849799.98</v>
      </c>
      <c r="H264" s="49">
        <f t="shared" si="92"/>
        <v>0</v>
      </c>
      <c r="I264" s="49" t="e">
        <f>I6+#REF!+I92+I135+I178+I221</f>
        <v>#REF!</v>
      </c>
      <c r="J264" s="49" t="e">
        <f>J6+#REF!+J92+J135+J178+J221</f>
        <v>#REF!</v>
      </c>
      <c r="K264" s="49">
        <f t="shared" ref="K264:L264" si="93">K6+K92+K135+K178+K221+K49</f>
        <v>12594856.969999999</v>
      </c>
      <c r="L264" s="89">
        <f t="shared" si="93"/>
        <v>771661</v>
      </c>
    </row>
    <row r="265" spans="1:12">
      <c r="A265" s="156"/>
      <c r="B265" s="131"/>
      <c r="C265" s="42" t="s">
        <v>15</v>
      </c>
      <c r="D265" s="49">
        <f t="shared" si="92"/>
        <v>9486014.1600000001</v>
      </c>
      <c r="E265" s="49">
        <f t="shared" si="92"/>
        <v>1429625.83</v>
      </c>
      <c r="F265" s="49">
        <f t="shared" si="92"/>
        <v>10915639.99</v>
      </c>
      <c r="G265" s="49">
        <f t="shared" si="92"/>
        <v>849799.98</v>
      </c>
      <c r="H265" s="49">
        <f t="shared" si="92"/>
        <v>0</v>
      </c>
      <c r="I265" s="49" t="e">
        <f>I7+#REF!+I93+I136+I179+I222</f>
        <v>#REF!</v>
      </c>
      <c r="J265" s="49" t="e">
        <f>J7+#REF!+J93+J136+J179+J222</f>
        <v>#REF!</v>
      </c>
      <c r="K265" s="49">
        <f t="shared" ref="K265:L265" si="94">K7+K93+K136+K179+K222+K50</f>
        <v>11765439.969999999</v>
      </c>
      <c r="L265" s="89">
        <f t="shared" si="94"/>
        <v>771661</v>
      </c>
    </row>
    <row r="266" spans="1:12">
      <c r="A266" s="156"/>
      <c r="B266" s="145"/>
      <c r="C266" s="40" t="s">
        <v>16</v>
      </c>
      <c r="D266" s="49">
        <f t="shared" si="92"/>
        <v>63864.960000000545</v>
      </c>
      <c r="E266" s="49">
        <f t="shared" si="92"/>
        <v>102.63000000000466</v>
      </c>
      <c r="F266" s="49">
        <f t="shared" si="92"/>
        <v>63967.590000000549</v>
      </c>
      <c r="G266" s="49">
        <f t="shared" si="92"/>
        <v>1651.9499999999971</v>
      </c>
      <c r="H266" s="49">
        <f t="shared" si="92"/>
        <v>0</v>
      </c>
      <c r="I266" s="49" t="e">
        <f>I8+#REF!+I94+I137+I180+I223</f>
        <v>#REF!</v>
      </c>
      <c r="J266" s="49" t="e">
        <f>J8+#REF!+J94+J137+J180+J223</f>
        <v>#REF!</v>
      </c>
      <c r="K266" s="49">
        <f t="shared" ref="K266:L266" si="95">K8+K94+K137+K180+K223+K51</f>
        <v>65619.540000000547</v>
      </c>
      <c r="L266" s="89">
        <f t="shared" si="95"/>
        <v>0</v>
      </c>
    </row>
    <row r="267" spans="1:12">
      <c r="A267" s="156"/>
      <c r="B267" s="132" t="s">
        <v>17</v>
      </c>
      <c r="C267" s="40" t="s">
        <v>13</v>
      </c>
      <c r="D267" s="49">
        <f t="shared" si="92"/>
        <v>9464377.6399999987</v>
      </c>
      <c r="E267" s="49">
        <f t="shared" si="92"/>
        <v>1531727.9000000001</v>
      </c>
      <c r="F267" s="49">
        <f t="shared" si="92"/>
        <v>10996105.539999999</v>
      </c>
      <c r="G267" s="49">
        <f t="shared" si="92"/>
        <v>1002319.0800000001</v>
      </c>
      <c r="H267" s="49">
        <f t="shared" si="92"/>
        <v>0</v>
      </c>
      <c r="I267" s="49" t="e">
        <f>I9+#REF!+I95+I138+I181+I224</f>
        <v>#REF!</v>
      </c>
      <c r="J267" s="49" t="e">
        <f>J9+#REF!+J95+J138+J181+J224</f>
        <v>#REF!</v>
      </c>
      <c r="K267" s="49">
        <f t="shared" ref="K267:L267" si="96">K9+K95+K138+K181+K224+K52</f>
        <v>11998424.619999999</v>
      </c>
      <c r="L267" s="89">
        <f t="shared" si="96"/>
        <v>723239</v>
      </c>
    </row>
    <row r="268" spans="1:12">
      <c r="A268" s="156"/>
      <c r="B268" s="131"/>
      <c r="C268" s="40" t="s">
        <v>14</v>
      </c>
      <c r="D268" s="49">
        <f t="shared" si="92"/>
        <v>9629394.7300000004</v>
      </c>
      <c r="E268" s="49">
        <f t="shared" si="92"/>
        <v>1574412.6900000002</v>
      </c>
      <c r="F268" s="49">
        <f t="shared" si="92"/>
        <v>11203807.420000002</v>
      </c>
      <c r="G268" s="49">
        <f t="shared" si="92"/>
        <v>981149.98</v>
      </c>
      <c r="H268" s="49">
        <f t="shared" si="92"/>
        <v>0</v>
      </c>
      <c r="I268" s="49" t="e">
        <f>I10+#REF!+I96+I139+I182+I225</f>
        <v>#REF!</v>
      </c>
      <c r="J268" s="49" t="e">
        <f>J10+#REF!+J96+J139+J182+J225</f>
        <v>#REF!</v>
      </c>
      <c r="K268" s="49">
        <f t="shared" ref="K268:L268" si="97">K10+K96+K139+K182+K225+K53</f>
        <v>12184957.4</v>
      </c>
      <c r="L268" s="89">
        <f t="shared" si="97"/>
        <v>723239</v>
      </c>
    </row>
    <row r="269" spans="1:12">
      <c r="A269" s="156"/>
      <c r="B269" s="131"/>
      <c r="C269" s="42" t="s">
        <v>15</v>
      </c>
      <c r="D269" s="49">
        <f t="shared" si="92"/>
        <v>9110167.3100000005</v>
      </c>
      <c r="E269" s="49">
        <f t="shared" si="92"/>
        <v>1531625.27</v>
      </c>
      <c r="F269" s="49">
        <f t="shared" si="92"/>
        <v>10641792.580000002</v>
      </c>
      <c r="G269" s="49">
        <f t="shared" si="92"/>
        <v>981149.98</v>
      </c>
      <c r="H269" s="49">
        <f t="shared" si="92"/>
        <v>0</v>
      </c>
      <c r="I269" s="49" t="e">
        <f>I11+#REF!+I97+I140+I183+I226</f>
        <v>#REF!</v>
      </c>
      <c r="J269" s="49" t="e">
        <f>J11+#REF!+J97+J140+J183+J226</f>
        <v>#REF!</v>
      </c>
      <c r="K269" s="49">
        <f t="shared" ref="K269:L269" si="98">K11+K97+K140+K183+K226+K54</f>
        <v>11622942.559999999</v>
      </c>
      <c r="L269" s="89">
        <f t="shared" si="98"/>
        <v>723239</v>
      </c>
    </row>
    <row r="270" spans="1:12">
      <c r="A270" s="156"/>
      <c r="B270" s="145"/>
      <c r="C270" s="40" t="s">
        <v>18</v>
      </c>
      <c r="D270" s="49">
        <f t="shared" si="92"/>
        <v>354210.3299999992</v>
      </c>
      <c r="E270" s="49">
        <f t="shared" si="92"/>
        <v>102.63000000000466</v>
      </c>
      <c r="F270" s="49">
        <f t="shared" si="92"/>
        <v>354312.95999999926</v>
      </c>
      <c r="G270" s="49">
        <f t="shared" si="92"/>
        <v>21169.099999999962</v>
      </c>
      <c r="H270" s="49">
        <f t="shared" si="92"/>
        <v>0</v>
      </c>
      <c r="I270" s="49" t="e">
        <f>I12+#REF!+I98+I141+I184+I227</f>
        <v>#REF!</v>
      </c>
      <c r="J270" s="49" t="e">
        <f>J12+#REF!+J98+J141+J184+J227</f>
        <v>#REF!</v>
      </c>
      <c r="K270" s="49">
        <f t="shared" ref="K270:L270" si="99">K12+K98+K141+K184+K227+K55</f>
        <v>375482.0599999993</v>
      </c>
      <c r="L270" s="89">
        <f t="shared" si="99"/>
        <v>0</v>
      </c>
    </row>
    <row r="271" spans="1:12">
      <c r="A271" s="156"/>
      <c r="B271" s="132" t="s">
        <v>19</v>
      </c>
      <c r="C271" s="40" t="s">
        <v>13</v>
      </c>
      <c r="D271" s="49">
        <f t="shared" si="92"/>
        <v>10175096.879999999</v>
      </c>
      <c r="E271" s="49">
        <f t="shared" si="92"/>
        <v>1678072.31</v>
      </c>
      <c r="F271" s="49">
        <f t="shared" si="92"/>
        <v>11853169.189999999</v>
      </c>
      <c r="G271" s="49">
        <f t="shared" si="92"/>
        <v>1154563.54</v>
      </c>
      <c r="H271" s="49">
        <f t="shared" si="92"/>
        <v>0</v>
      </c>
      <c r="I271" s="49" t="e">
        <f>I13+#REF!+I99+I142+I185+I228</f>
        <v>#REF!</v>
      </c>
      <c r="J271" s="49" t="e">
        <f>J13+#REF!+J99+J142+J185+J228</f>
        <v>#REF!</v>
      </c>
      <c r="K271" s="49">
        <f t="shared" ref="K271:L271" si="100">K13+K99+K142+K185+K228+K56</f>
        <v>13007732.73</v>
      </c>
      <c r="L271" s="89">
        <f t="shared" si="100"/>
        <v>792033</v>
      </c>
    </row>
    <row r="272" spans="1:12">
      <c r="A272" s="156"/>
      <c r="B272" s="131"/>
      <c r="C272" s="40" t="s">
        <v>14</v>
      </c>
      <c r="D272" s="49">
        <f t="shared" si="92"/>
        <v>11394799.84</v>
      </c>
      <c r="E272" s="49">
        <f t="shared" si="92"/>
        <v>1760004.9500000002</v>
      </c>
      <c r="F272" s="49">
        <f t="shared" si="92"/>
        <v>13154804.789999999</v>
      </c>
      <c r="G272" s="49">
        <f t="shared" si="92"/>
        <v>1175428.51</v>
      </c>
      <c r="H272" s="49">
        <f t="shared" si="92"/>
        <v>0</v>
      </c>
      <c r="I272" s="49" t="e">
        <f>I14+#REF!+I100+I143+I186+I229</f>
        <v>#REF!</v>
      </c>
      <c r="J272" s="49" t="e">
        <f>J14+#REF!+J100+J143+J186+J229</f>
        <v>#REF!</v>
      </c>
      <c r="K272" s="49">
        <f t="shared" ref="K272:L272" si="101">K14+K100+K143+K186+K229+K57</f>
        <v>14330233.300000001</v>
      </c>
      <c r="L272" s="89">
        <f t="shared" si="101"/>
        <v>792033</v>
      </c>
    </row>
    <row r="273" spans="1:13">
      <c r="A273" s="156"/>
      <c r="B273" s="131"/>
      <c r="C273" s="42" t="s">
        <v>15</v>
      </c>
      <c r="D273" s="49">
        <f t="shared" si="92"/>
        <v>10173950.91</v>
      </c>
      <c r="E273" s="49">
        <f t="shared" si="92"/>
        <v>1696811.73</v>
      </c>
      <c r="F273" s="49">
        <f t="shared" si="92"/>
        <v>11870762.639999999</v>
      </c>
      <c r="G273" s="49">
        <f t="shared" si="92"/>
        <v>1153589.7799999998</v>
      </c>
      <c r="H273" s="49">
        <f t="shared" si="92"/>
        <v>0</v>
      </c>
      <c r="I273" s="49" t="e">
        <f>I15+#REF!+I101+I144+I187+I230</f>
        <v>#REF!</v>
      </c>
      <c r="J273" s="49" t="e">
        <f>J15+#REF!+J101+J144+J187+J230</f>
        <v>#REF!</v>
      </c>
      <c r="K273" s="49">
        <f t="shared" ref="K273:L273" si="102">K15+K101+K144+K187+K230+K58</f>
        <v>13024352.419999998</v>
      </c>
      <c r="L273" s="89">
        <f t="shared" si="102"/>
        <v>792033</v>
      </c>
    </row>
    <row r="274" spans="1:13">
      <c r="A274" s="156"/>
      <c r="B274" s="145"/>
      <c r="C274" s="40" t="s">
        <v>18</v>
      </c>
      <c r="D274" s="49">
        <f t="shared" si="92"/>
        <v>1145.9700000002813</v>
      </c>
      <c r="E274" s="49">
        <f t="shared" si="92"/>
        <v>-18739.420000000086</v>
      </c>
      <c r="F274" s="49">
        <f t="shared" si="92"/>
        <v>-17593.449999999604</v>
      </c>
      <c r="G274" s="49">
        <f t="shared" si="92"/>
        <v>973.76000000002387</v>
      </c>
      <c r="H274" s="49">
        <f t="shared" si="92"/>
        <v>0</v>
      </c>
      <c r="I274" s="49" t="e">
        <f>I16+#REF!+I102+I145+I188+I231</f>
        <v>#REF!</v>
      </c>
      <c r="J274" s="49" t="e">
        <f>J16+#REF!+J102+J145+J188+J231</f>
        <v>#REF!</v>
      </c>
      <c r="K274" s="49">
        <f t="shared" ref="K274:L274" si="103">K16+K102+K145+K188+K231+K59</f>
        <v>-16619.689999999115</v>
      </c>
      <c r="L274" s="89">
        <f t="shared" si="103"/>
        <v>0</v>
      </c>
    </row>
    <row r="275" spans="1:13">
      <c r="A275" s="156"/>
      <c r="B275" s="137" t="s">
        <v>20</v>
      </c>
      <c r="C275" s="40" t="s">
        <v>13</v>
      </c>
      <c r="D275" s="49">
        <f t="shared" si="92"/>
        <v>29189353.640000001</v>
      </c>
      <c r="E275" s="49">
        <f t="shared" si="92"/>
        <v>4639528.67</v>
      </c>
      <c r="F275" s="49">
        <f t="shared" si="92"/>
        <v>33828882.310000002</v>
      </c>
      <c r="G275" s="49">
        <f t="shared" si="92"/>
        <v>3008334.55</v>
      </c>
      <c r="H275" s="49">
        <f t="shared" si="92"/>
        <v>415130</v>
      </c>
      <c r="I275" s="49" t="e">
        <f>I17+#REF!+I103+I146+I189+I232</f>
        <v>#REF!</v>
      </c>
      <c r="J275" s="49" t="e">
        <f>J17+#REF!+J103+J146+J189+J232</f>
        <v>#REF!</v>
      </c>
      <c r="K275" s="49">
        <f t="shared" ref="K275:L275" si="104">K17+K103+K146+K189+K232+K60</f>
        <v>36837216.859999999</v>
      </c>
      <c r="L275" s="89">
        <f t="shared" si="104"/>
        <v>2323651</v>
      </c>
    </row>
    <row r="276" spans="1:13">
      <c r="A276" s="156"/>
      <c r="B276" s="138"/>
      <c r="C276" s="40" t="s">
        <v>14</v>
      </c>
      <c r="D276" s="49">
        <f t="shared" si="92"/>
        <v>31206474.550000001</v>
      </c>
      <c r="E276" s="49">
        <f t="shared" si="92"/>
        <v>4897194.6499999994</v>
      </c>
      <c r="F276" s="49">
        <f t="shared" si="92"/>
        <v>36103669.200000003</v>
      </c>
      <c r="G276" s="49">
        <f t="shared" si="92"/>
        <v>3006378.47</v>
      </c>
      <c r="H276" s="49">
        <f t="shared" si="92"/>
        <v>415130</v>
      </c>
      <c r="I276" s="49" t="e">
        <f>I18+#REF!+I104+I147+I190+I233</f>
        <v>#REF!</v>
      </c>
      <c r="J276" s="49" t="e">
        <f>J18+#REF!+J104+J147+J190+J233</f>
        <v>#REF!</v>
      </c>
      <c r="K276" s="49">
        <f t="shared" ref="K276:L276" si="105">K18+K104+K147+K190+K233+K61</f>
        <v>39110047.670000002</v>
      </c>
      <c r="L276" s="89">
        <f t="shared" si="105"/>
        <v>2298439</v>
      </c>
    </row>
    <row r="277" spans="1:13">
      <c r="A277" s="156"/>
      <c r="B277" s="138"/>
      <c r="C277" s="42" t="s">
        <v>15</v>
      </c>
      <c r="D277" s="49">
        <f t="shared" si="92"/>
        <v>28770132.380000003</v>
      </c>
      <c r="E277" s="49">
        <f t="shared" si="92"/>
        <v>4658062.83</v>
      </c>
      <c r="F277" s="49">
        <f t="shared" si="92"/>
        <v>33428195.209999997</v>
      </c>
      <c r="G277" s="49">
        <f t="shared" si="92"/>
        <v>2984539.74</v>
      </c>
      <c r="H277" s="49">
        <f t="shared" si="92"/>
        <v>415130</v>
      </c>
      <c r="I277" s="49" t="e">
        <f>I19+#REF!+I105+I148+I191+I234</f>
        <v>#REF!</v>
      </c>
      <c r="J277" s="49" t="e">
        <f>J19+#REF!+J105+J148+J191+J234</f>
        <v>#REF!</v>
      </c>
      <c r="K277" s="49">
        <f t="shared" ref="K277:L277" si="106">K19+K105+K148+K191+K234+K62</f>
        <v>36412734.950000003</v>
      </c>
      <c r="L277" s="89">
        <f t="shared" si="106"/>
        <v>2298439</v>
      </c>
    </row>
    <row r="278" spans="1:13">
      <c r="A278" s="156"/>
      <c r="B278" s="138"/>
      <c r="C278" s="42" t="s">
        <v>32</v>
      </c>
      <c r="D278" s="49">
        <f t="shared" si="92"/>
        <v>31313589.390000001</v>
      </c>
      <c r="E278" s="49">
        <f t="shared" si="92"/>
        <v>4946910.34</v>
      </c>
      <c r="F278" s="49">
        <f t="shared" si="92"/>
        <v>36260499.730000004</v>
      </c>
      <c r="G278" s="49">
        <f t="shared" si="92"/>
        <v>3008334.55</v>
      </c>
      <c r="H278" s="49">
        <f t="shared" si="92"/>
        <v>0</v>
      </c>
      <c r="I278" s="49" t="e">
        <f>I20+#REF!+I106+I149+I192+I235</f>
        <v>#REF!</v>
      </c>
      <c r="J278" s="49" t="e">
        <f>J20+#REF!+J106+J149+J192+J235</f>
        <v>#REF!</v>
      </c>
      <c r="K278" s="49">
        <f t="shared" ref="K278:L278" si="107">K20+K106+K149+K192+K235+K63</f>
        <v>39268834.280000001</v>
      </c>
      <c r="L278" s="89">
        <f t="shared" si="107"/>
        <v>2323651</v>
      </c>
    </row>
    <row r="279" spans="1:13">
      <c r="A279" s="156"/>
      <c r="B279" s="138"/>
      <c r="C279" s="42" t="s">
        <v>33</v>
      </c>
      <c r="D279" s="49">
        <f t="shared" si="92"/>
        <v>417812.28</v>
      </c>
      <c r="E279" s="49">
        <f t="shared" si="92"/>
        <v>-18534.16</v>
      </c>
      <c r="F279" s="49">
        <f t="shared" si="92"/>
        <v>399278.11999999994</v>
      </c>
      <c r="G279" s="49">
        <f t="shared" si="92"/>
        <v>23794.809999999998</v>
      </c>
      <c r="H279" s="49">
        <f t="shared" si="92"/>
        <v>0</v>
      </c>
      <c r="I279" s="49" t="e">
        <f>I21+#REF!+I107+I150+I193+I236</f>
        <v>#REF!</v>
      </c>
      <c r="J279" s="49" t="e">
        <f>J21+#REF!+J107+J150+J193+J236</f>
        <v>#REF!</v>
      </c>
      <c r="K279" s="49">
        <f t="shared" ref="K279:L279" si="108">K21+K107+K150+K193+K236+K64</f>
        <v>423072.93000000005</v>
      </c>
      <c r="L279" s="89">
        <f t="shared" si="108"/>
        <v>415976</v>
      </c>
    </row>
    <row r="280" spans="1:13">
      <c r="A280" s="156"/>
      <c r="B280" s="138"/>
      <c r="C280" s="42" t="s">
        <v>23</v>
      </c>
      <c r="D280" s="49">
        <f t="shared" si="92"/>
        <v>29187944.659999996</v>
      </c>
      <c r="E280" s="49">
        <f t="shared" si="92"/>
        <v>4639528.67</v>
      </c>
      <c r="F280" s="49">
        <f t="shared" si="92"/>
        <v>33827473.329999998</v>
      </c>
      <c r="G280" s="49">
        <f t="shared" si="92"/>
        <v>3008334.5500000003</v>
      </c>
      <c r="H280" s="49">
        <f t="shared" si="92"/>
        <v>415130</v>
      </c>
      <c r="I280" s="49" t="e">
        <f>I22+#REF!+I108+I151+I194+I237</f>
        <v>#REF!</v>
      </c>
      <c r="J280" s="49" t="e">
        <f>J22+#REF!+J108+J151+J194+J237</f>
        <v>#REF!</v>
      </c>
      <c r="K280" s="49">
        <f t="shared" ref="K280:L280" si="109">K22+K108+K151+K194+K237+K65</f>
        <v>36835807.879999995</v>
      </c>
      <c r="L280" s="89">
        <f t="shared" si="109"/>
        <v>2323651</v>
      </c>
      <c r="M280" s="13"/>
    </row>
    <row r="281" spans="1:13">
      <c r="A281" s="156"/>
      <c r="B281" s="146"/>
      <c r="C281" s="40" t="s">
        <v>16</v>
      </c>
      <c r="D281" s="49">
        <f t="shared" si="92"/>
        <v>1408.9800000003015</v>
      </c>
      <c r="E281" s="49">
        <f t="shared" si="92"/>
        <v>0</v>
      </c>
      <c r="F281" s="49">
        <f t="shared" si="92"/>
        <v>1408.9800000025425</v>
      </c>
      <c r="G281" s="49">
        <f t="shared" si="92"/>
        <v>0</v>
      </c>
      <c r="H281" s="49">
        <f t="shared" si="92"/>
        <v>0</v>
      </c>
      <c r="I281" s="49" t="e">
        <f>I23+#REF!+I109+I152+I195+I238</f>
        <v>#REF!</v>
      </c>
      <c r="J281" s="49" t="e">
        <f>J23+#REF!+J109+J152+J195+J238</f>
        <v>#REF!</v>
      </c>
      <c r="K281" s="49">
        <f t="shared" ref="K281:L281" si="110">K23+K109+K152+K195+K238+K66</f>
        <v>1408.9800000006799</v>
      </c>
      <c r="L281" s="89">
        <f t="shared" si="110"/>
        <v>0</v>
      </c>
    </row>
    <row r="282" spans="1:13">
      <c r="A282" s="156"/>
      <c r="B282" s="118" t="s">
        <v>25</v>
      </c>
      <c r="C282" s="40" t="s">
        <v>13</v>
      </c>
      <c r="D282" s="49">
        <f t="shared" si="92"/>
        <v>9041219.9800000004</v>
      </c>
      <c r="E282" s="49">
        <f t="shared" si="92"/>
        <v>1553823.29</v>
      </c>
      <c r="F282" s="49">
        <f t="shared" si="92"/>
        <v>10595043.27</v>
      </c>
      <c r="G282" s="49">
        <f t="shared" si="92"/>
        <v>987044.16999999993</v>
      </c>
      <c r="H282" s="49">
        <f t="shared" si="92"/>
        <v>0</v>
      </c>
      <c r="I282" s="49">
        <f>I24+I110+I153+I196+I239</f>
        <v>0</v>
      </c>
      <c r="J282" s="49">
        <f>J24+J110+J153+J196+J239</f>
        <v>0</v>
      </c>
      <c r="K282" s="49">
        <f t="shared" ref="K282:L282" si="111">K24+K110+K153+K196+K239+K67</f>
        <v>11582087.440000001</v>
      </c>
      <c r="L282" s="89">
        <f t="shared" si="111"/>
        <v>689799</v>
      </c>
    </row>
    <row r="283" spans="1:13">
      <c r="A283" s="156"/>
      <c r="B283" s="119"/>
      <c r="C283" s="40" t="s">
        <v>14</v>
      </c>
      <c r="D283" s="49">
        <f t="shared" si="92"/>
        <v>9235191</v>
      </c>
      <c r="E283" s="49">
        <f t="shared" si="92"/>
        <v>1666524.4000000001</v>
      </c>
      <c r="F283" s="49">
        <f t="shared" si="92"/>
        <v>10901715.4</v>
      </c>
      <c r="G283" s="49">
        <f t="shared" si="92"/>
        <v>883086.01</v>
      </c>
      <c r="H283" s="49">
        <f t="shared" si="92"/>
        <v>0</v>
      </c>
      <c r="I283" s="49" t="e">
        <f>I25+#REF!+I111+I154+I197+I240</f>
        <v>#REF!</v>
      </c>
      <c r="J283" s="49" t="e">
        <f>J25+#REF!+J111+J154+J197+J240</f>
        <v>#REF!</v>
      </c>
      <c r="K283" s="49">
        <f t="shared" ref="K283:L283" si="112">K25+K111+K154+K197+K240+K68</f>
        <v>11784801.41</v>
      </c>
      <c r="L283" s="89">
        <f t="shared" si="112"/>
        <v>689799</v>
      </c>
    </row>
    <row r="284" spans="1:13">
      <c r="A284" s="156"/>
      <c r="B284" s="119"/>
      <c r="C284" s="42" t="s">
        <v>15</v>
      </c>
      <c r="D284" s="49">
        <f t="shared" si="92"/>
        <v>9038655.4900000002</v>
      </c>
      <c r="E284" s="49">
        <f t="shared" si="92"/>
        <v>1553720.6600000001</v>
      </c>
      <c r="F284" s="49">
        <f t="shared" si="92"/>
        <v>10592376.15</v>
      </c>
      <c r="G284" s="49">
        <f t="shared" si="92"/>
        <v>883086.01</v>
      </c>
      <c r="H284" s="49">
        <f t="shared" si="92"/>
        <v>0</v>
      </c>
      <c r="I284" s="49" t="e">
        <f>I26+#REF!+I112+I155+I198+I241</f>
        <v>#REF!</v>
      </c>
      <c r="J284" s="49" t="e">
        <f>J26+#REF!+J112+J155+J198+J241</f>
        <v>#REF!</v>
      </c>
      <c r="K284" s="49">
        <f t="shared" ref="K284:L284" si="113">K26+K112+K155+K198+K241+K69</f>
        <v>11475462.16</v>
      </c>
      <c r="L284" s="89">
        <f t="shared" si="113"/>
        <v>689799</v>
      </c>
    </row>
    <row r="285" spans="1:13">
      <c r="A285" s="156"/>
      <c r="B285" s="120"/>
      <c r="C285" s="40" t="s">
        <v>16</v>
      </c>
      <c r="D285" s="49">
        <f t="shared" si="92"/>
        <v>2564.4900000000198</v>
      </c>
      <c r="E285" s="49">
        <f t="shared" si="92"/>
        <v>102.63000000000466</v>
      </c>
      <c r="F285" s="49">
        <f t="shared" si="92"/>
        <v>2667.1200000001118</v>
      </c>
      <c r="G285" s="49">
        <f t="shared" si="92"/>
        <v>103958.15999999997</v>
      </c>
      <c r="H285" s="49">
        <f t="shared" si="92"/>
        <v>0</v>
      </c>
      <c r="I285" s="49" t="e">
        <f>I27+#REF!+I113+I156+I199+I242</f>
        <v>#REF!</v>
      </c>
      <c r="J285" s="49" t="e">
        <f>J27+#REF!+J113+J156+J199+J242</f>
        <v>#REF!</v>
      </c>
      <c r="K285" s="49">
        <f t="shared" ref="K285:L285" si="114">K27+K113+K156+K199+K242+K70</f>
        <v>106625.2799999998</v>
      </c>
      <c r="L285" s="89">
        <f t="shared" si="114"/>
        <v>0</v>
      </c>
      <c r="M285" s="36"/>
    </row>
    <row r="286" spans="1:13">
      <c r="A286" s="156"/>
      <c r="B286" s="118" t="s">
        <v>26</v>
      </c>
      <c r="C286" s="40" t="s">
        <v>13</v>
      </c>
      <c r="D286" s="49">
        <f t="shared" si="92"/>
        <v>10175096.879999999</v>
      </c>
      <c r="E286" s="49">
        <f t="shared" si="92"/>
        <v>1637019.84</v>
      </c>
      <c r="F286" s="49">
        <f t="shared" si="92"/>
        <v>11812116.720000001</v>
      </c>
      <c r="G286" s="49">
        <f t="shared" si="92"/>
        <v>1171641.18</v>
      </c>
      <c r="H286" s="49">
        <f t="shared" si="92"/>
        <v>0</v>
      </c>
      <c r="I286" s="49" t="e">
        <f>I28+#REF!+I114+I157+I200+I243</f>
        <v>#REF!</v>
      </c>
      <c r="J286" s="49" t="e">
        <f>J28+#REF!+J114+J157+J200+J243</f>
        <v>#REF!</v>
      </c>
      <c r="K286" s="49">
        <f t="shared" ref="K286:L286" si="115">K28+K114+K157+K200+K243+K71</f>
        <v>12983757.899999999</v>
      </c>
      <c r="L286" s="89">
        <f t="shared" si="115"/>
        <v>789151</v>
      </c>
    </row>
    <row r="287" spans="1:13">
      <c r="A287" s="156"/>
      <c r="B287" s="119"/>
      <c r="C287" s="40" t="s">
        <v>14</v>
      </c>
      <c r="D287" s="49">
        <f t="shared" si="92"/>
        <v>11668191.609999999</v>
      </c>
      <c r="E287" s="49">
        <f t="shared" si="92"/>
        <v>1773970.81</v>
      </c>
      <c r="F287" s="49">
        <f t="shared" si="92"/>
        <v>13442162.420000002</v>
      </c>
      <c r="G287" s="49">
        <f t="shared" si="92"/>
        <v>1149477.77</v>
      </c>
      <c r="H287" s="49">
        <f t="shared" si="92"/>
        <v>0</v>
      </c>
      <c r="I287" s="49" t="e">
        <f>I29+#REF!+I115+I158+I201+I244</f>
        <v>#REF!</v>
      </c>
      <c r="J287" s="49" t="e">
        <f>J29+#REF!+J115+J158+J201+J244</f>
        <v>#REF!</v>
      </c>
      <c r="K287" s="49">
        <f t="shared" ref="K287:L287" si="116">K29+K115+K158+K201+K244+K72</f>
        <v>14591640.189999999</v>
      </c>
      <c r="L287" s="89">
        <f t="shared" si="116"/>
        <v>789151</v>
      </c>
    </row>
    <row r="288" spans="1:13">
      <c r="A288" s="156"/>
      <c r="B288" s="119"/>
      <c r="C288" s="42" t="s">
        <v>15</v>
      </c>
      <c r="D288" s="49">
        <f t="shared" si="92"/>
        <v>10174292.790000001</v>
      </c>
      <c r="E288" s="49">
        <f t="shared" si="92"/>
        <v>1636917.21</v>
      </c>
      <c r="F288" s="49">
        <f t="shared" si="92"/>
        <v>11811210</v>
      </c>
      <c r="G288" s="49">
        <f t="shared" si="92"/>
        <v>1121942.0900000001</v>
      </c>
      <c r="H288" s="49">
        <f t="shared" si="92"/>
        <v>0</v>
      </c>
      <c r="I288" s="49" t="e">
        <f>I30+#REF!+I116+I159+I202+I245</f>
        <v>#REF!</v>
      </c>
      <c r="J288" s="49" t="e">
        <f>J30+#REF!+J116+J159+J202+J245</f>
        <v>#REF!</v>
      </c>
      <c r="K288" s="49">
        <f t="shared" ref="K288:L288" si="117">K30+K116+K159+K202+K245+K73</f>
        <v>12933152.09</v>
      </c>
      <c r="L288" s="89">
        <f t="shared" si="117"/>
        <v>789151</v>
      </c>
    </row>
    <row r="289" spans="1:12">
      <c r="A289" s="156"/>
      <c r="B289" s="120"/>
      <c r="C289" s="40" t="s">
        <v>24</v>
      </c>
      <c r="D289" s="49">
        <f t="shared" si="92"/>
        <v>804.08999999994558</v>
      </c>
      <c r="E289" s="49">
        <f t="shared" si="92"/>
        <v>102.63000000000466</v>
      </c>
      <c r="F289" s="49">
        <f t="shared" si="92"/>
        <v>906.71999999973923</v>
      </c>
      <c r="G289" s="49">
        <f t="shared" si="92"/>
        <v>49699.09000000004</v>
      </c>
      <c r="H289" s="49">
        <f t="shared" si="92"/>
        <v>0</v>
      </c>
      <c r="I289" s="49" t="e">
        <f>I31+#REF!+I117+I160+I203+I246</f>
        <v>#REF!</v>
      </c>
      <c r="J289" s="49" t="e">
        <f>J31+#REF!+J117+J160+J203+J246</f>
        <v>#REF!</v>
      </c>
      <c r="K289" s="49">
        <f t="shared" ref="K289:L289" si="118">K31+K117+K160+K203+K246+K74</f>
        <v>50605.809999999314</v>
      </c>
      <c r="L289" s="89">
        <f t="shared" si="118"/>
        <v>0</v>
      </c>
    </row>
    <row r="290" spans="1:12">
      <c r="A290" s="156"/>
      <c r="B290" s="121" t="s">
        <v>27</v>
      </c>
      <c r="C290" s="40" t="s">
        <v>13</v>
      </c>
      <c r="D290" s="49">
        <f t="shared" si="92"/>
        <v>9774020.4700000007</v>
      </c>
      <c r="E290" s="49">
        <f t="shared" si="92"/>
        <v>1702720.5499999998</v>
      </c>
      <c r="F290" s="49">
        <f t="shared" si="92"/>
        <v>11476741.02</v>
      </c>
      <c r="G290" s="49">
        <f t="shared" si="92"/>
        <v>875185.92999999993</v>
      </c>
      <c r="H290" s="49">
        <f t="shared" si="92"/>
        <v>286822.64</v>
      </c>
      <c r="I290" s="49" t="e">
        <f>I32+#REF!+I118+I161+I204+I247</f>
        <v>#REF!</v>
      </c>
      <c r="J290" s="49" t="e">
        <f>J32+#REF!+J118+J161+J204+J247</f>
        <v>#REF!</v>
      </c>
      <c r="K290" s="49">
        <f t="shared" ref="K290:L290" si="119">K32+K118+K161+K204+K247+K75</f>
        <v>12638749.59</v>
      </c>
      <c r="L290" s="89">
        <f t="shared" si="119"/>
        <v>757735</v>
      </c>
    </row>
    <row r="291" spans="1:12">
      <c r="A291" s="156"/>
      <c r="B291" s="122"/>
      <c r="C291" s="40" t="s">
        <v>14</v>
      </c>
      <c r="D291" s="49">
        <f t="shared" si="92"/>
        <v>9450232.3300000001</v>
      </c>
      <c r="E291" s="49">
        <f t="shared" si="92"/>
        <v>1766285.8900000001</v>
      </c>
      <c r="F291" s="49">
        <f t="shared" si="92"/>
        <v>11216518.219999999</v>
      </c>
      <c r="G291" s="49">
        <f t="shared" si="92"/>
        <v>1014765.72</v>
      </c>
      <c r="H291" s="49">
        <f t="shared" si="92"/>
        <v>286822.64</v>
      </c>
      <c r="I291" s="49" t="e">
        <f>I33+#REF!+I119+I162+I205+I248</f>
        <v>#REF!</v>
      </c>
      <c r="J291" s="49" t="e">
        <f>J33+#REF!+J119+J162+J205+J248</f>
        <v>#REF!</v>
      </c>
      <c r="K291" s="49">
        <f t="shared" ref="K291:L291" si="120">K33+K119+K162+K205+K248+K76</f>
        <v>12518106.579999998</v>
      </c>
      <c r="L291" s="89">
        <f t="shared" si="120"/>
        <v>718916</v>
      </c>
    </row>
    <row r="292" spans="1:12">
      <c r="A292" s="156"/>
      <c r="B292" s="122"/>
      <c r="C292" s="42" t="s">
        <v>15</v>
      </c>
      <c r="D292" s="49">
        <f t="shared" si="92"/>
        <v>9390294.8900000006</v>
      </c>
      <c r="E292" s="49">
        <f t="shared" si="92"/>
        <v>1663248.6300000001</v>
      </c>
      <c r="F292" s="49">
        <f t="shared" si="92"/>
        <v>11053543.52</v>
      </c>
      <c r="G292" s="49">
        <f t="shared" si="92"/>
        <v>1008366.26</v>
      </c>
      <c r="H292" s="49">
        <f t="shared" si="92"/>
        <v>286822.64</v>
      </c>
      <c r="I292" s="49" t="e">
        <f>I34+#REF!+I120+I163+I206+I249</f>
        <v>#REF!</v>
      </c>
      <c r="J292" s="49" t="e">
        <f>J34+#REF!+J120+J163+J206+J249</f>
        <v>#REF!</v>
      </c>
      <c r="K292" s="49">
        <f t="shared" ref="K292:L292" si="121">K34+K120+K163+K206+K249+K77</f>
        <v>12348732.42</v>
      </c>
      <c r="L292" s="89">
        <f t="shared" si="121"/>
        <v>718916</v>
      </c>
    </row>
    <row r="293" spans="1:12">
      <c r="A293" s="156"/>
      <c r="B293" s="147"/>
      <c r="C293" s="40" t="s">
        <v>24</v>
      </c>
      <c r="D293" s="49">
        <f t="shared" si="92"/>
        <v>383725.58000000007</v>
      </c>
      <c r="E293" s="49">
        <f t="shared" si="92"/>
        <v>39471.91999999994</v>
      </c>
      <c r="F293" s="49">
        <f t="shared" si="92"/>
        <v>423197.49999999977</v>
      </c>
      <c r="G293" s="49">
        <f t="shared" si="92"/>
        <v>-133180.33000000002</v>
      </c>
      <c r="H293" s="49">
        <f t="shared" si="92"/>
        <v>0</v>
      </c>
      <c r="I293" s="49" t="e">
        <f>I35+#REF!+I121+I164+I207+I250</f>
        <v>#REF!</v>
      </c>
      <c r="J293" s="49" t="e">
        <f>J35+#REF!+J121+J164+J207+J250</f>
        <v>#REF!</v>
      </c>
      <c r="K293" s="49">
        <f t="shared" ref="K293:L293" si="122">K35+K121+K164+K207+K250+K78</f>
        <v>290017.17000000004</v>
      </c>
      <c r="L293" s="89">
        <f t="shared" si="122"/>
        <v>38819</v>
      </c>
    </row>
    <row r="294" spans="1:12">
      <c r="A294" s="156"/>
      <c r="B294" s="137" t="s">
        <v>28</v>
      </c>
      <c r="C294" s="40" t="s">
        <v>13</v>
      </c>
      <c r="D294" s="49">
        <f t="shared" si="92"/>
        <v>28990337.329999998</v>
      </c>
      <c r="E294" s="49">
        <f t="shared" si="92"/>
        <v>4893563.68</v>
      </c>
      <c r="F294" s="49">
        <f t="shared" si="92"/>
        <v>33883901.009999998</v>
      </c>
      <c r="G294" s="49">
        <f t="shared" si="92"/>
        <v>3033871.2800000003</v>
      </c>
      <c r="H294" s="49">
        <f t="shared" si="92"/>
        <v>589750</v>
      </c>
      <c r="I294" s="49" t="e">
        <f>I36+#REF!+I122+I165+I208+I251</f>
        <v>#REF!</v>
      </c>
      <c r="J294" s="49" t="e">
        <f>J36+#REF!+J122+J165+J208+J251</f>
        <v>#REF!</v>
      </c>
      <c r="K294" s="49">
        <f t="shared" ref="K294:L294" si="123">K36+K122+K165+K208+K251+K79</f>
        <v>37507522.289999999</v>
      </c>
      <c r="L294" s="89">
        <f t="shared" si="123"/>
        <v>2236685</v>
      </c>
    </row>
    <row r="295" spans="1:12">
      <c r="A295" s="156"/>
      <c r="B295" s="138"/>
      <c r="C295" s="40" t="s">
        <v>14</v>
      </c>
      <c r="D295" s="49">
        <f t="shared" si="92"/>
        <v>30353614.940000005</v>
      </c>
      <c r="E295" s="49">
        <f t="shared" si="92"/>
        <v>5206781.1000000006</v>
      </c>
      <c r="F295" s="49">
        <f t="shared" si="92"/>
        <v>35560396.039999999</v>
      </c>
      <c r="G295" s="49">
        <f t="shared" si="92"/>
        <v>3047329.5</v>
      </c>
      <c r="H295" s="49">
        <f t="shared" si="92"/>
        <v>589750</v>
      </c>
      <c r="I295" s="49" t="e">
        <f>I37+#REF!+I123+I166+I209+I252</f>
        <v>#REF!</v>
      </c>
      <c r="J295" s="49" t="e">
        <f>J37+#REF!+J123+J166+J209+J252</f>
        <v>#REF!</v>
      </c>
      <c r="K295" s="49">
        <f t="shared" ref="K295:L295" si="124">K37+K123+K166+K209+K252+K80</f>
        <v>39197475.540000007</v>
      </c>
      <c r="L295" s="89">
        <f t="shared" si="124"/>
        <v>2197866</v>
      </c>
    </row>
    <row r="296" spans="1:12">
      <c r="A296" s="156"/>
      <c r="B296" s="138"/>
      <c r="C296" s="42" t="s">
        <v>15</v>
      </c>
      <c r="D296" s="49">
        <f t="shared" si="92"/>
        <v>28603243.170000002</v>
      </c>
      <c r="E296" s="49">
        <f t="shared" si="92"/>
        <v>4853886.5</v>
      </c>
      <c r="F296" s="49">
        <f t="shared" si="92"/>
        <v>33457129.669999998</v>
      </c>
      <c r="G296" s="49">
        <f t="shared" si="92"/>
        <v>3013394.36</v>
      </c>
      <c r="H296" s="49">
        <f t="shared" si="92"/>
        <v>589750</v>
      </c>
      <c r="I296" s="49" t="e">
        <f>I38+#REF!+I124+I167+I210+I253</f>
        <v>#REF!</v>
      </c>
      <c r="J296" s="49" t="e">
        <f>J38+#REF!+J124+J167+J210+J253</f>
        <v>#REF!</v>
      </c>
      <c r="K296" s="49">
        <f t="shared" ref="K296:L296" si="125">K38+K124+K167+K210+K253+K81</f>
        <v>37060274.030000001</v>
      </c>
      <c r="L296" s="89">
        <f t="shared" si="125"/>
        <v>2197866</v>
      </c>
    </row>
    <row r="297" spans="1:12">
      <c r="A297" s="156"/>
      <c r="B297" s="146"/>
      <c r="C297" s="40" t="s">
        <v>16</v>
      </c>
      <c r="D297" s="49">
        <f t="shared" si="92"/>
        <v>387094.1599999991</v>
      </c>
      <c r="E297" s="49">
        <f t="shared" si="92"/>
        <v>39677.180000000066</v>
      </c>
      <c r="F297" s="49">
        <f t="shared" si="92"/>
        <v>426771.3400000009</v>
      </c>
      <c r="G297" s="49">
        <f t="shared" si="92"/>
        <v>20476.919999999984</v>
      </c>
      <c r="H297" s="49">
        <f t="shared" si="92"/>
        <v>0</v>
      </c>
      <c r="I297" s="49" t="e">
        <f>I39+#REF!+I125+I168+I211+I254</f>
        <v>#REF!</v>
      </c>
      <c r="J297" s="49" t="e">
        <f>J39+#REF!+J125+J168+J211+J254</f>
        <v>#REF!</v>
      </c>
      <c r="K297" s="49">
        <f t="shared" ref="K297:L297" si="126">K39+K125+K168+K211+K254+K82</f>
        <v>447248.25999999867</v>
      </c>
      <c r="L297" s="89">
        <f t="shared" si="126"/>
        <v>38819</v>
      </c>
    </row>
    <row r="298" spans="1:12">
      <c r="A298" s="156"/>
      <c r="B298" s="116" t="s">
        <v>29</v>
      </c>
      <c r="C298" s="40" t="s">
        <v>13</v>
      </c>
      <c r="D298" s="49">
        <f t="shared" si="92"/>
        <v>58179690.969999999</v>
      </c>
      <c r="E298" s="49">
        <f t="shared" si="92"/>
        <v>9533092.3499999996</v>
      </c>
      <c r="F298" s="49">
        <f t="shared" si="92"/>
        <v>67712783.319999993</v>
      </c>
      <c r="G298" s="49">
        <f t="shared" si="92"/>
        <v>6042205.8300000001</v>
      </c>
      <c r="H298" s="49">
        <f t="shared" si="92"/>
        <v>1004880</v>
      </c>
      <c r="I298" s="49" t="e">
        <f>I40+#REF!+I126+I169+I212+I255</f>
        <v>#REF!</v>
      </c>
      <c r="J298" s="49" t="e">
        <f>J40+#REF!+J126+J169+J212+J255</f>
        <v>#REF!</v>
      </c>
      <c r="K298" s="49">
        <f t="shared" ref="K298:L298" si="127">K40+K126+K169+K212+K255+K83</f>
        <v>74759869.150000006</v>
      </c>
      <c r="L298" s="89">
        <f t="shared" si="127"/>
        <v>4559478</v>
      </c>
    </row>
    <row r="299" spans="1:12">
      <c r="A299" s="156"/>
      <c r="B299" s="158"/>
      <c r="C299" s="40" t="s">
        <v>14</v>
      </c>
      <c r="D299" s="49">
        <f t="shared" si="92"/>
        <v>61667204.329999998</v>
      </c>
      <c r="E299" s="49">
        <f t="shared" si="92"/>
        <v>10153691.440000001</v>
      </c>
      <c r="F299" s="49">
        <f t="shared" si="92"/>
        <v>71820895.770000011</v>
      </c>
      <c r="G299" s="49">
        <f t="shared" si="92"/>
        <v>6055664.0500000007</v>
      </c>
      <c r="H299" s="49">
        <f t="shared" si="92"/>
        <v>781593.67</v>
      </c>
      <c r="I299" s="49" t="e">
        <f>I41+#REF!+I127+I170+I213+I256</f>
        <v>#REF!</v>
      </c>
      <c r="J299" s="49" t="e">
        <f>J41+#REF!+J127+J170+J213+J256</f>
        <v>#REF!</v>
      </c>
      <c r="K299" s="49">
        <f t="shared" ref="K299:L299" si="128">K41+K127+K170+K213+K256+K84</f>
        <v>78466309.820000008</v>
      </c>
      <c r="L299" s="89">
        <f t="shared" si="128"/>
        <v>4521517</v>
      </c>
    </row>
    <row r="300" spans="1:12">
      <c r="A300" s="156"/>
      <c r="B300" s="158"/>
      <c r="C300" s="42" t="s">
        <v>15</v>
      </c>
      <c r="D300" s="49">
        <f t="shared" si="92"/>
        <v>57791187.829999998</v>
      </c>
      <c r="E300" s="49">
        <f t="shared" si="92"/>
        <v>9493415.1700000018</v>
      </c>
      <c r="F300" s="49">
        <f t="shared" si="92"/>
        <v>67284603</v>
      </c>
      <c r="G300" s="49">
        <f t="shared" si="92"/>
        <v>6021728.9100000001</v>
      </c>
      <c r="H300" s="49">
        <f t="shared" si="92"/>
        <v>1004880</v>
      </c>
      <c r="I300" s="49" t="e">
        <f>I42+#REF!+I128+I171+I214+I257</f>
        <v>#REF!</v>
      </c>
      <c r="J300" s="49" t="e">
        <f>J42+#REF!+J128+J171+J214+J257</f>
        <v>#REF!</v>
      </c>
      <c r="K300" s="49">
        <f t="shared" ref="K300:L300" si="129">K42+K128+K171+K214+K257+K85</f>
        <v>74119368.239999995</v>
      </c>
      <c r="L300" s="89">
        <f t="shared" si="129"/>
        <v>4521517</v>
      </c>
    </row>
    <row r="301" spans="1:12">
      <c r="A301" s="156"/>
      <c r="B301" s="158"/>
      <c r="C301" s="40" t="s">
        <v>16</v>
      </c>
      <c r="D301" s="49">
        <f t="shared" si="92"/>
        <v>388503.13999999943</v>
      </c>
      <c r="E301" s="49">
        <f t="shared" si="92"/>
        <v>39677.180000000066</v>
      </c>
      <c r="F301" s="49">
        <f t="shared" si="92"/>
        <v>428180.32000000344</v>
      </c>
      <c r="G301" s="49">
        <f t="shared" si="92"/>
        <v>20476.919999999984</v>
      </c>
      <c r="H301" s="49">
        <f t="shared" si="92"/>
        <v>0</v>
      </c>
      <c r="I301" s="49" t="e">
        <f t="shared" ref="I301:J301" si="130">I281+I297</f>
        <v>#REF!</v>
      </c>
      <c r="J301" s="49" t="e">
        <f t="shared" si="130"/>
        <v>#REF!</v>
      </c>
      <c r="K301" s="49">
        <f t="shared" ref="K301:L301" si="131">K43+K129+K172+K215+K258+K86</f>
        <v>448657.23999999935</v>
      </c>
      <c r="L301" s="89">
        <f t="shared" si="131"/>
        <v>38819</v>
      </c>
    </row>
    <row r="302" spans="1:12">
      <c r="A302" s="156"/>
      <c r="B302" s="114"/>
      <c r="C302" s="42" t="s">
        <v>32</v>
      </c>
      <c r="D302" s="49">
        <f t="shared" si="92"/>
        <v>61779318.75</v>
      </c>
      <c r="E302" s="49">
        <f t="shared" si="92"/>
        <v>10191728.049999999</v>
      </c>
      <c r="F302" s="49">
        <f t="shared" si="92"/>
        <v>71971046.800000012</v>
      </c>
      <c r="G302" s="49">
        <f t="shared" si="92"/>
        <v>6042205.8300000001</v>
      </c>
      <c r="H302" s="49">
        <f t="shared" si="92"/>
        <v>0</v>
      </c>
      <c r="I302" s="49" t="e">
        <f>I44+#REF!+I130+I173+I216+I259</f>
        <v>#REF!</v>
      </c>
      <c r="J302" s="49" t="e">
        <f>J44+#REF!+J130+J173+J216+J259</f>
        <v>#REF!</v>
      </c>
      <c r="K302" s="49">
        <f t="shared" ref="K302:L302" si="132">K44+K130+K173+K216+K259+K87</f>
        <v>78013252.629999995</v>
      </c>
      <c r="L302" s="89">
        <f t="shared" si="132"/>
        <v>4559478</v>
      </c>
    </row>
    <row r="303" spans="1:12">
      <c r="A303" s="156"/>
      <c r="B303" s="114"/>
      <c r="C303" s="42" t="s">
        <v>33</v>
      </c>
      <c r="D303" s="49">
        <f t="shared" si="92"/>
        <v>388503.14</v>
      </c>
      <c r="E303" s="49">
        <f t="shared" si="92"/>
        <v>39677.180000000008</v>
      </c>
      <c r="F303" s="49">
        <f t="shared" si="92"/>
        <v>428180.32</v>
      </c>
      <c r="G303" s="49">
        <f t="shared" si="92"/>
        <v>20476.919999999998</v>
      </c>
      <c r="H303" s="49">
        <f t="shared" si="92"/>
        <v>0</v>
      </c>
      <c r="I303" s="49" t="e">
        <f>I45+#REF!+I131+I174+I217+I260</f>
        <v>#REF!</v>
      </c>
      <c r="J303" s="49" t="e">
        <f>J45+#REF!+J131+J174+J217+J260</f>
        <v>#REF!</v>
      </c>
      <c r="K303" s="49">
        <f t="shared" ref="K303:L303" si="133">K45+K131+K174+K217+K260+K88</f>
        <v>448657.2400000004</v>
      </c>
      <c r="L303" s="89">
        <f t="shared" si="133"/>
        <v>37961</v>
      </c>
    </row>
    <row r="304" spans="1:12">
      <c r="A304" s="156"/>
      <c r="B304" s="114"/>
      <c r="C304" s="42" t="s">
        <v>23</v>
      </c>
      <c r="D304" s="49">
        <f t="shared" si="92"/>
        <v>58179690.970000006</v>
      </c>
      <c r="E304" s="49">
        <f t="shared" si="92"/>
        <v>9533092.3499999996</v>
      </c>
      <c r="F304" s="49">
        <f t="shared" si="92"/>
        <v>67712783.319999993</v>
      </c>
      <c r="G304" s="49">
        <f t="shared" si="92"/>
        <v>6042205.8300000001</v>
      </c>
      <c r="H304" s="49">
        <f t="shared" si="92"/>
        <v>1004880</v>
      </c>
      <c r="I304" s="49" t="e">
        <f>I46+#REF!+I132+I175+I218+I261</f>
        <v>#REF!</v>
      </c>
      <c r="J304" s="49" t="e">
        <f>J46+#REF!+J132+J175+J218+J261</f>
        <v>#REF!</v>
      </c>
      <c r="K304" s="49">
        <f t="shared" ref="K304:L305" si="134">K46+K132+K175+K218+K261+K89</f>
        <v>74759869.149999991</v>
      </c>
      <c r="L304" s="89">
        <f t="shared" si="134"/>
        <v>4559478</v>
      </c>
    </row>
    <row r="305" spans="1:12" ht="15.75" thickBot="1">
      <c r="A305" s="156"/>
      <c r="B305" s="115"/>
      <c r="C305" s="109" t="s">
        <v>16</v>
      </c>
      <c r="D305" s="110">
        <f t="shared" si="92"/>
        <v>0</v>
      </c>
      <c r="E305" s="110">
        <f t="shared" si="92"/>
        <v>0</v>
      </c>
      <c r="F305" s="110">
        <f t="shared" si="92"/>
        <v>0</v>
      </c>
      <c r="G305" s="110">
        <f t="shared" si="92"/>
        <v>0</v>
      </c>
      <c r="H305" s="110">
        <f t="shared" si="92"/>
        <v>0</v>
      </c>
      <c r="I305" s="110" t="e">
        <f>I47+#REF!+I133+I176+I219+I262</f>
        <v>#REF!</v>
      </c>
      <c r="J305" s="110" t="e">
        <f>J47+#REF!+J133+J176+J219+J262</f>
        <v>#REF!</v>
      </c>
      <c r="K305" s="110">
        <f t="shared" si="134"/>
        <v>0</v>
      </c>
      <c r="L305" s="111">
        <f t="shared" si="134"/>
        <v>0</v>
      </c>
    </row>
    <row r="306" spans="1:12">
      <c r="A306" s="156"/>
      <c r="B306" s="152" t="s">
        <v>30</v>
      </c>
      <c r="C306" s="102" t="s">
        <v>13</v>
      </c>
      <c r="D306" s="103">
        <f>D298</f>
        <v>58179690.969999999</v>
      </c>
      <c r="E306" s="103">
        <f t="shared" ref="E306:L306" si="135">E298</f>
        <v>9533092.3499999996</v>
      </c>
      <c r="F306" s="103">
        <f t="shared" si="135"/>
        <v>67712783.319999993</v>
      </c>
      <c r="G306" s="103">
        <f t="shared" si="135"/>
        <v>6042205.8300000001</v>
      </c>
      <c r="H306" s="103">
        <f t="shared" si="135"/>
        <v>1004880</v>
      </c>
      <c r="I306" s="103" t="e">
        <f t="shared" si="135"/>
        <v>#REF!</v>
      </c>
      <c r="J306" s="103" t="e">
        <f t="shared" si="135"/>
        <v>#REF!</v>
      </c>
      <c r="K306" s="103">
        <f t="shared" si="135"/>
        <v>74759869.150000006</v>
      </c>
      <c r="L306" s="104">
        <f t="shared" si="135"/>
        <v>4559478</v>
      </c>
    </row>
    <row r="307" spans="1:12">
      <c r="A307" s="156"/>
      <c r="B307" s="153"/>
      <c r="C307" s="27" t="s">
        <v>14</v>
      </c>
      <c r="D307" s="32">
        <f>D302</f>
        <v>61779318.75</v>
      </c>
      <c r="E307" s="32">
        <f t="shared" ref="E307:L307" si="136">E302</f>
        <v>10191728.049999999</v>
      </c>
      <c r="F307" s="32">
        <f t="shared" si="136"/>
        <v>71971046.800000012</v>
      </c>
      <c r="G307" s="32">
        <f t="shared" si="136"/>
        <v>6042205.8300000001</v>
      </c>
      <c r="H307" s="32">
        <f>H304</f>
        <v>1004880</v>
      </c>
      <c r="I307" s="32" t="e">
        <f t="shared" si="136"/>
        <v>#REF!</v>
      </c>
      <c r="J307" s="32" t="e">
        <f t="shared" si="136"/>
        <v>#REF!</v>
      </c>
      <c r="K307" s="32">
        <f t="shared" si="136"/>
        <v>78013252.629999995</v>
      </c>
      <c r="L307" s="105">
        <f t="shared" si="136"/>
        <v>4559478</v>
      </c>
    </row>
    <row r="308" spans="1:12">
      <c r="A308" s="156"/>
      <c r="B308" s="153"/>
      <c r="C308" s="28" t="s">
        <v>43</v>
      </c>
      <c r="D308" s="32">
        <f>D304</f>
        <v>58179690.970000006</v>
      </c>
      <c r="E308" s="32">
        <f t="shared" ref="E308:L308" si="137">E304</f>
        <v>9533092.3499999996</v>
      </c>
      <c r="F308" s="32">
        <f t="shared" si="137"/>
        <v>67712783.319999993</v>
      </c>
      <c r="G308" s="32">
        <f t="shared" si="137"/>
        <v>6042205.8300000001</v>
      </c>
      <c r="H308" s="32">
        <f t="shared" si="137"/>
        <v>1004880</v>
      </c>
      <c r="I308" s="32" t="e">
        <f t="shared" si="137"/>
        <v>#REF!</v>
      </c>
      <c r="J308" s="32" t="e">
        <f t="shared" si="137"/>
        <v>#REF!</v>
      </c>
      <c r="K308" s="32">
        <f t="shared" si="137"/>
        <v>74759869.149999991</v>
      </c>
      <c r="L308" s="105">
        <f t="shared" si="137"/>
        <v>4559478</v>
      </c>
    </row>
    <row r="309" spans="1:12" ht="15.75" thickBot="1">
      <c r="A309" s="157"/>
      <c r="B309" s="154"/>
      <c r="C309" s="106" t="s">
        <v>18</v>
      </c>
      <c r="D309" s="107">
        <f>D306-D308</f>
        <v>0</v>
      </c>
      <c r="E309" s="107">
        <f t="shared" ref="E309:L309" si="138">E306-E308</f>
        <v>0</v>
      </c>
      <c r="F309" s="107">
        <f t="shared" si="138"/>
        <v>0</v>
      </c>
      <c r="G309" s="107">
        <f t="shared" si="138"/>
        <v>0</v>
      </c>
      <c r="H309" s="107">
        <f t="shared" si="138"/>
        <v>0</v>
      </c>
      <c r="I309" s="107" t="e">
        <f t="shared" si="138"/>
        <v>#REF!</v>
      </c>
      <c r="J309" s="107" t="e">
        <f t="shared" si="138"/>
        <v>#REF!</v>
      </c>
      <c r="K309" s="107">
        <f t="shared" si="138"/>
        <v>0</v>
      </c>
      <c r="L309" s="108">
        <f t="shared" si="138"/>
        <v>0</v>
      </c>
    </row>
    <row r="310" spans="1:12">
      <c r="H310" s="33" t="s">
        <v>42</v>
      </c>
      <c r="K310" s="34"/>
      <c r="L310" s="29"/>
    </row>
    <row r="311" spans="1:12">
      <c r="H311" s="33"/>
      <c r="K311" s="35"/>
      <c r="L311" s="29"/>
    </row>
    <row r="312" spans="1:12">
      <c r="H312" s="33"/>
      <c r="K312" s="37"/>
    </row>
    <row r="334" spans="5:5">
      <c r="E334" s="36"/>
    </row>
    <row r="335" spans="5:5">
      <c r="E335" s="36"/>
    </row>
  </sheetData>
  <mergeCells count="73">
    <mergeCell ref="A1:L1"/>
    <mergeCell ref="A2:L2"/>
    <mergeCell ref="A48:A90"/>
    <mergeCell ref="B60:B66"/>
    <mergeCell ref="B67:B70"/>
    <mergeCell ref="B71:B74"/>
    <mergeCell ref="B75:B78"/>
    <mergeCell ref="B79:B82"/>
    <mergeCell ref="B83:B90"/>
    <mergeCell ref="B48:B51"/>
    <mergeCell ref="B52:B55"/>
    <mergeCell ref="B56:B59"/>
    <mergeCell ref="A5:A47"/>
    <mergeCell ref="B5:B8"/>
    <mergeCell ref="B9:B12"/>
    <mergeCell ref="B13:B16"/>
    <mergeCell ref="B306:B309"/>
    <mergeCell ref="A263:A309"/>
    <mergeCell ref="B263:B266"/>
    <mergeCell ref="B267:B270"/>
    <mergeCell ref="B271:B274"/>
    <mergeCell ref="B275:B281"/>
    <mergeCell ref="B282:B285"/>
    <mergeCell ref="B286:B289"/>
    <mergeCell ref="B290:B293"/>
    <mergeCell ref="B294:B297"/>
    <mergeCell ref="B298:B305"/>
    <mergeCell ref="B255:B262"/>
    <mergeCell ref="A220:A262"/>
    <mergeCell ref="B220:B223"/>
    <mergeCell ref="B224:B227"/>
    <mergeCell ref="B228:B231"/>
    <mergeCell ref="B232:B238"/>
    <mergeCell ref="B239:B242"/>
    <mergeCell ref="B243:B246"/>
    <mergeCell ref="B247:B250"/>
    <mergeCell ref="B251:B254"/>
    <mergeCell ref="B208:B211"/>
    <mergeCell ref="B212:B219"/>
    <mergeCell ref="A177:A219"/>
    <mergeCell ref="B177:B180"/>
    <mergeCell ref="B181:B184"/>
    <mergeCell ref="B185:B188"/>
    <mergeCell ref="B189:B195"/>
    <mergeCell ref="B196:B199"/>
    <mergeCell ref="B200:B203"/>
    <mergeCell ref="B204:B207"/>
    <mergeCell ref="B161:B164"/>
    <mergeCell ref="B165:B168"/>
    <mergeCell ref="B169:B176"/>
    <mergeCell ref="A134:A176"/>
    <mergeCell ref="B134:B137"/>
    <mergeCell ref="B138:B141"/>
    <mergeCell ref="B142:B145"/>
    <mergeCell ref="B146:B152"/>
    <mergeCell ref="B153:B156"/>
    <mergeCell ref="B157:B160"/>
    <mergeCell ref="B114:B117"/>
    <mergeCell ref="B118:B121"/>
    <mergeCell ref="B122:B125"/>
    <mergeCell ref="B126:B133"/>
    <mergeCell ref="A91:A133"/>
    <mergeCell ref="B91:B94"/>
    <mergeCell ref="B95:B98"/>
    <mergeCell ref="B99:B102"/>
    <mergeCell ref="B103:B109"/>
    <mergeCell ref="B110:B113"/>
    <mergeCell ref="B40:B47"/>
    <mergeCell ref="B17:B23"/>
    <mergeCell ref="B24:B27"/>
    <mergeCell ref="B28:B31"/>
    <mergeCell ref="B32:B35"/>
    <mergeCell ref="B36:B3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SPIATALE CONT-RELIZ.-DEC. SEM 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2023-08-28T07:52:37Z</dcterms:created>
  <dcterms:modified xsi:type="dcterms:W3CDTF">2023-09-26T08:50:31Z</dcterms:modified>
</cp:coreProperties>
</file>