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8695" windowHeight="12540"/>
  </bookViews>
  <sheets>
    <sheet name="decontat sep,2023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471" i="1"/>
  <c r="L464"/>
  <c r="J464"/>
  <c r="I464"/>
  <c r="H464"/>
  <c r="G464"/>
  <c r="E464"/>
  <c r="D464"/>
  <c r="L463"/>
  <c r="J463"/>
  <c r="I463"/>
  <c r="H463"/>
  <c r="G463"/>
  <c r="E463"/>
  <c r="D463"/>
  <c r="L462"/>
  <c r="J462"/>
  <c r="I462"/>
  <c r="H462"/>
  <c r="L461"/>
  <c r="J461"/>
  <c r="I461"/>
  <c r="H461"/>
  <c r="G461"/>
  <c r="E461"/>
  <c r="D461"/>
  <c r="L460"/>
  <c r="J460"/>
  <c r="I460"/>
  <c r="H460"/>
  <c r="G460"/>
  <c r="E460"/>
  <c r="D460"/>
  <c r="L459"/>
  <c r="J459"/>
  <c r="I459"/>
  <c r="H459"/>
  <c r="L458"/>
  <c r="J458"/>
  <c r="I458"/>
  <c r="H458"/>
  <c r="G458"/>
  <c r="E458"/>
  <c r="D458"/>
  <c r="L457"/>
  <c r="J457"/>
  <c r="I457"/>
  <c r="H457"/>
  <c r="G457"/>
  <c r="E457"/>
  <c r="D457"/>
  <c r="L456"/>
  <c r="J456"/>
  <c r="I456"/>
  <c r="H456"/>
  <c r="G456"/>
  <c r="E456"/>
  <c r="L452"/>
  <c r="J452"/>
  <c r="I452"/>
  <c r="H452"/>
  <c r="G452"/>
  <c r="E452"/>
  <c r="D452"/>
  <c r="L451"/>
  <c r="J451"/>
  <c r="I451"/>
  <c r="H451"/>
  <c r="G451"/>
  <c r="E451"/>
  <c r="D451"/>
  <c r="J450"/>
  <c r="I450"/>
  <c r="H450"/>
  <c r="L449"/>
  <c r="J449"/>
  <c r="I449"/>
  <c r="H449"/>
  <c r="G449"/>
  <c r="E449"/>
  <c r="D449"/>
  <c r="L448"/>
  <c r="J448"/>
  <c r="I448"/>
  <c r="H448"/>
  <c r="G448"/>
  <c r="E448"/>
  <c r="D448"/>
  <c r="L447"/>
  <c r="J447"/>
  <c r="I447"/>
  <c r="H447"/>
  <c r="L446"/>
  <c r="J446"/>
  <c r="I446"/>
  <c r="H446"/>
  <c r="G446"/>
  <c r="D446"/>
  <c r="L445"/>
  <c r="J445"/>
  <c r="I445"/>
  <c r="H445"/>
  <c r="G445"/>
  <c r="E445"/>
  <c r="D445"/>
  <c r="L444"/>
  <c r="J444"/>
  <c r="I444"/>
  <c r="H444"/>
  <c r="L442"/>
  <c r="J442"/>
  <c r="I442"/>
  <c r="H442"/>
  <c r="G442"/>
  <c r="E442"/>
  <c r="D442"/>
  <c r="L441"/>
  <c r="G441"/>
  <c r="D441"/>
  <c r="H436"/>
  <c r="J434"/>
  <c r="I434"/>
  <c r="H434"/>
  <c r="G434"/>
  <c r="E434"/>
  <c r="J433"/>
  <c r="I433"/>
  <c r="H433"/>
  <c r="E433"/>
  <c r="D433"/>
  <c r="J432"/>
  <c r="I432"/>
  <c r="H432"/>
  <c r="L431"/>
  <c r="J431"/>
  <c r="I431"/>
  <c r="H431"/>
  <c r="G431"/>
  <c r="E431"/>
  <c r="D431"/>
  <c r="L430"/>
  <c r="J430"/>
  <c r="I430"/>
  <c r="H430"/>
  <c r="G430"/>
  <c r="E430"/>
  <c r="D430"/>
  <c r="J429"/>
  <c r="I429"/>
  <c r="H429"/>
  <c r="L428"/>
  <c r="J428"/>
  <c r="I428"/>
  <c r="H428"/>
  <c r="G428"/>
  <c r="E428"/>
  <c r="D428"/>
  <c r="L427"/>
  <c r="J427"/>
  <c r="I427"/>
  <c r="H427"/>
  <c r="G427"/>
  <c r="E427"/>
  <c r="D427"/>
  <c r="J426"/>
  <c r="I426"/>
  <c r="H426"/>
  <c r="H425"/>
  <c r="H424"/>
  <c r="G424"/>
  <c r="E424"/>
  <c r="D424"/>
  <c r="H423"/>
  <c r="G423"/>
  <c r="E423"/>
  <c r="D423"/>
  <c r="L419"/>
  <c r="J419"/>
  <c r="I419"/>
  <c r="H419"/>
  <c r="G419"/>
  <c r="E419"/>
  <c r="D419"/>
  <c r="L418"/>
  <c r="J418"/>
  <c r="I418"/>
  <c r="H418"/>
  <c r="G418"/>
  <c r="E418"/>
  <c r="D418"/>
  <c r="L417"/>
  <c r="J417"/>
  <c r="I417"/>
  <c r="H417"/>
  <c r="L416"/>
  <c r="J416"/>
  <c r="I416"/>
  <c r="H416"/>
  <c r="G416"/>
  <c r="E416"/>
  <c r="D416"/>
  <c r="L415"/>
  <c r="J415"/>
  <c r="I415"/>
  <c r="H415"/>
  <c r="G415"/>
  <c r="E415"/>
  <c r="D415"/>
  <c r="L414"/>
  <c r="J414"/>
  <c r="I414"/>
  <c r="H414"/>
  <c r="L413"/>
  <c r="J413"/>
  <c r="I413"/>
  <c r="H413"/>
  <c r="G413"/>
  <c r="E413"/>
  <c r="D413"/>
  <c r="L412"/>
  <c r="J412"/>
  <c r="I412"/>
  <c r="H412"/>
  <c r="G412"/>
  <c r="E412"/>
  <c r="D412"/>
  <c r="J411"/>
  <c r="I411"/>
  <c r="H411"/>
  <c r="L403"/>
  <c r="J403"/>
  <c r="I403"/>
  <c r="H403"/>
  <c r="G403"/>
  <c r="E403"/>
  <c r="D403"/>
  <c r="L402"/>
  <c r="J402"/>
  <c r="I402"/>
  <c r="H402"/>
  <c r="G402"/>
  <c r="E402"/>
  <c r="D402"/>
  <c r="L401"/>
  <c r="J401"/>
  <c r="I401"/>
  <c r="H401"/>
  <c r="G401"/>
  <c r="D401"/>
  <c r="K400"/>
  <c r="F400"/>
  <c r="K399"/>
  <c r="F399"/>
  <c r="E398"/>
  <c r="E401" s="1"/>
  <c r="K397"/>
  <c r="F397"/>
  <c r="K396"/>
  <c r="F396"/>
  <c r="K395"/>
  <c r="F395"/>
  <c r="K394"/>
  <c r="K403" s="1"/>
  <c r="F394"/>
  <c r="F403" s="1"/>
  <c r="K393"/>
  <c r="F393"/>
  <c r="F402" s="1"/>
  <c r="K392"/>
  <c r="F392"/>
  <c r="J391"/>
  <c r="I391"/>
  <c r="H391"/>
  <c r="G391"/>
  <c r="E391"/>
  <c r="L390"/>
  <c r="L406" s="1"/>
  <c r="J390"/>
  <c r="J406" s="1"/>
  <c r="I390"/>
  <c r="I406" s="1"/>
  <c r="H390"/>
  <c r="H406" s="1"/>
  <c r="G390"/>
  <c r="G406" s="1"/>
  <c r="E390"/>
  <c r="E406" s="1"/>
  <c r="D390"/>
  <c r="D406" s="1"/>
  <c r="L389"/>
  <c r="L409" s="1"/>
  <c r="J389"/>
  <c r="J405" s="1"/>
  <c r="I389"/>
  <c r="I405" s="1"/>
  <c r="H389"/>
  <c r="H409" s="1"/>
  <c r="G389"/>
  <c r="G409" s="1"/>
  <c r="E389"/>
  <c r="E405" s="1"/>
  <c r="D389"/>
  <c r="D405" s="1"/>
  <c r="L388"/>
  <c r="L404" s="1"/>
  <c r="J388"/>
  <c r="J404" s="1"/>
  <c r="I388"/>
  <c r="I404" s="1"/>
  <c r="H388"/>
  <c r="H404" s="1"/>
  <c r="G388"/>
  <c r="G404" s="1"/>
  <c r="E388"/>
  <c r="E404" s="1"/>
  <c r="D388"/>
  <c r="D404" s="1"/>
  <c r="K387"/>
  <c r="F387"/>
  <c r="K386"/>
  <c r="F386"/>
  <c r="K385"/>
  <c r="F385"/>
  <c r="K384"/>
  <c r="F384"/>
  <c r="F391" s="1"/>
  <c r="K383"/>
  <c r="F383"/>
  <c r="K382"/>
  <c r="F382"/>
  <c r="K381"/>
  <c r="K390" s="1"/>
  <c r="K406" s="1"/>
  <c r="F381"/>
  <c r="F390" s="1"/>
  <c r="F406" s="1"/>
  <c r="K380"/>
  <c r="K389" s="1"/>
  <c r="F380"/>
  <c r="F389" s="1"/>
  <c r="F405" s="1"/>
  <c r="K379"/>
  <c r="K388" s="1"/>
  <c r="F379"/>
  <c r="J376"/>
  <c r="J409" s="1"/>
  <c r="I376"/>
  <c r="I441" s="1"/>
  <c r="E376"/>
  <c r="E441" s="1"/>
  <c r="L371"/>
  <c r="J371"/>
  <c r="I371"/>
  <c r="H371"/>
  <c r="G371"/>
  <c r="E371"/>
  <c r="D371"/>
  <c r="F371" s="1"/>
  <c r="L370"/>
  <c r="J370"/>
  <c r="I370"/>
  <c r="G370"/>
  <c r="G374" s="1"/>
  <c r="E370"/>
  <c r="F370" s="1"/>
  <c r="D370"/>
  <c r="L369"/>
  <c r="L372" s="1"/>
  <c r="J369"/>
  <c r="I369"/>
  <c r="I372" s="1"/>
  <c r="H369"/>
  <c r="G369"/>
  <c r="G372" s="1"/>
  <c r="E369"/>
  <c r="E372" s="1"/>
  <c r="D369"/>
  <c r="K368"/>
  <c r="F368"/>
  <c r="K367"/>
  <c r="F367"/>
  <c r="K366"/>
  <c r="F366"/>
  <c r="K365"/>
  <c r="F365"/>
  <c r="K364"/>
  <c r="F364"/>
  <c r="K363"/>
  <c r="F363"/>
  <c r="K362"/>
  <c r="F362"/>
  <c r="K361"/>
  <c r="F361"/>
  <c r="K360"/>
  <c r="F360"/>
  <c r="K358"/>
  <c r="F358"/>
  <c r="F357"/>
  <c r="F376" s="1"/>
  <c r="F409" s="1"/>
  <c r="L356"/>
  <c r="J356"/>
  <c r="I356"/>
  <c r="H356"/>
  <c r="G356"/>
  <c r="E356"/>
  <c r="E359" s="1"/>
  <c r="F359" s="1"/>
  <c r="K359" s="1"/>
  <c r="D356"/>
  <c r="L355"/>
  <c r="J355"/>
  <c r="I355"/>
  <c r="H355"/>
  <c r="H374" s="1"/>
  <c r="G355"/>
  <c r="E355"/>
  <c r="D355"/>
  <c r="D374" s="1"/>
  <c r="L354"/>
  <c r="L373" s="1"/>
  <c r="L407" s="1"/>
  <c r="J354"/>
  <c r="I354"/>
  <c r="I373" s="1"/>
  <c r="I407" s="1"/>
  <c r="H354"/>
  <c r="H373" s="1"/>
  <c r="H407" s="1"/>
  <c r="G354"/>
  <c r="G373" s="1"/>
  <c r="G407" s="1"/>
  <c r="E354"/>
  <c r="D354"/>
  <c r="D373" s="1"/>
  <c r="K353"/>
  <c r="F353"/>
  <c r="K352"/>
  <c r="F352"/>
  <c r="K351"/>
  <c r="F351"/>
  <c r="K350"/>
  <c r="F350"/>
  <c r="K349"/>
  <c r="F349"/>
  <c r="K348"/>
  <c r="F348"/>
  <c r="K347"/>
  <c r="F347"/>
  <c r="K346"/>
  <c r="F346"/>
  <c r="K345"/>
  <c r="F345"/>
  <c r="L337"/>
  <c r="J337"/>
  <c r="I337"/>
  <c r="H337"/>
  <c r="G337"/>
  <c r="E337"/>
  <c r="D337"/>
  <c r="L336"/>
  <c r="J336"/>
  <c r="I336"/>
  <c r="H336"/>
  <c r="G336"/>
  <c r="G339" s="1"/>
  <c r="G342" s="1"/>
  <c r="E336"/>
  <c r="D336"/>
  <c r="L335"/>
  <c r="J335"/>
  <c r="I335"/>
  <c r="H335"/>
  <c r="E335"/>
  <c r="D335"/>
  <c r="K334"/>
  <c r="F334"/>
  <c r="K333"/>
  <c r="F333"/>
  <c r="G332"/>
  <c r="G335" s="1"/>
  <c r="F332"/>
  <c r="K331"/>
  <c r="F331"/>
  <c r="K330"/>
  <c r="F330"/>
  <c r="K329"/>
  <c r="F329"/>
  <c r="K328"/>
  <c r="F328"/>
  <c r="F337" s="1"/>
  <c r="K327"/>
  <c r="K336" s="1"/>
  <c r="F327"/>
  <c r="F336" s="1"/>
  <c r="K326"/>
  <c r="F326"/>
  <c r="F335" s="1"/>
  <c r="K324"/>
  <c r="K323"/>
  <c r="K339" s="1"/>
  <c r="L322"/>
  <c r="L340" s="1"/>
  <c r="J322"/>
  <c r="J340" s="1"/>
  <c r="I322"/>
  <c r="I340" s="1"/>
  <c r="H322"/>
  <c r="H340" s="1"/>
  <c r="G322"/>
  <c r="G340" s="1"/>
  <c r="D322"/>
  <c r="L321"/>
  <c r="L339" s="1"/>
  <c r="J321"/>
  <c r="J339" s="1"/>
  <c r="I321"/>
  <c r="I339" s="1"/>
  <c r="H321"/>
  <c r="G321"/>
  <c r="E321"/>
  <c r="E339" s="1"/>
  <c r="D321"/>
  <c r="D339" s="1"/>
  <c r="L320"/>
  <c r="J320"/>
  <c r="J338" s="1"/>
  <c r="I320"/>
  <c r="I338" s="1"/>
  <c r="H320"/>
  <c r="H338" s="1"/>
  <c r="D320"/>
  <c r="D338" s="1"/>
  <c r="K319"/>
  <c r="F319"/>
  <c r="K318"/>
  <c r="F318"/>
  <c r="G317"/>
  <c r="K316"/>
  <c r="F316"/>
  <c r="K315"/>
  <c r="F315"/>
  <c r="G314"/>
  <c r="K312"/>
  <c r="K321" s="1"/>
  <c r="F312"/>
  <c r="G311"/>
  <c r="K311" s="1"/>
  <c r="F311"/>
  <c r="K309"/>
  <c r="K308"/>
  <c r="K342" s="1"/>
  <c r="L304"/>
  <c r="J304"/>
  <c r="I304"/>
  <c r="H304"/>
  <c r="G304"/>
  <c r="E304"/>
  <c r="D304"/>
  <c r="F304" s="1"/>
  <c r="L303"/>
  <c r="J303"/>
  <c r="I303"/>
  <c r="E303"/>
  <c r="D303"/>
  <c r="L302"/>
  <c r="J302"/>
  <c r="I302"/>
  <c r="H302"/>
  <c r="E302"/>
  <c r="E317" s="1"/>
  <c r="D302"/>
  <c r="K301"/>
  <c r="F301"/>
  <c r="K300"/>
  <c r="G300"/>
  <c r="G303" s="1"/>
  <c r="G306" s="1"/>
  <c r="F300"/>
  <c r="G299"/>
  <c r="K299" s="1"/>
  <c r="F299"/>
  <c r="K298"/>
  <c r="F298"/>
  <c r="K297"/>
  <c r="F297"/>
  <c r="G296"/>
  <c r="K296" s="1"/>
  <c r="F296"/>
  <c r="F302" s="1"/>
  <c r="K295"/>
  <c r="F295"/>
  <c r="K294"/>
  <c r="F294"/>
  <c r="G293"/>
  <c r="K293" s="1"/>
  <c r="F293"/>
  <c r="K291"/>
  <c r="K290"/>
  <c r="L289"/>
  <c r="J289"/>
  <c r="I289"/>
  <c r="H289"/>
  <c r="G289"/>
  <c r="G292" s="1"/>
  <c r="E289"/>
  <c r="E307" s="1"/>
  <c r="D289"/>
  <c r="D307" s="1"/>
  <c r="L288"/>
  <c r="J288"/>
  <c r="I288"/>
  <c r="H288"/>
  <c r="H306" s="1"/>
  <c r="G288"/>
  <c r="E288"/>
  <c r="E306" s="1"/>
  <c r="E342" s="1"/>
  <c r="D288"/>
  <c r="D306" s="1"/>
  <c r="L287"/>
  <c r="J287"/>
  <c r="J305" s="1"/>
  <c r="I287"/>
  <c r="I305" s="1"/>
  <c r="I341" s="1"/>
  <c r="H287"/>
  <c r="H305" s="1"/>
  <c r="H341" s="1"/>
  <c r="E287"/>
  <c r="D287"/>
  <c r="D305" s="1"/>
  <c r="K286"/>
  <c r="F286"/>
  <c r="K285"/>
  <c r="F285"/>
  <c r="K284"/>
  <c r="F284"/>
  <c r="K283"/>
  <c r="F283"/>
  <c r="K282"/>
  <c r="F282"/>
  <c r="K281"/>
  <c r="F281"/>
  <c r="K280"/>
  <c r="F280"/>
  <c r="K279"/>
  <c r="F279"/>
  <c r="K278"/>
  <c r="G278"/>
  <c r="G287" s="1"/>
  <c r="F278"/>
  <c r="L276"/>
  <c r="J276"/>
  <c r="I276"/>
  <c r="H276"/>
  <c r="G276"/>
  <c r="E276"/>
  <c r="D276"/>
  <c r="L272"/>
  <c r="J272"/>
  <c r="I272"/>
  <c r="H272"/>
  <c r="G272"/>
  <c r="E272"/>
  <c r="D272"/>
  <c r="L269"/>
  <c r="J269"/>
  <c r="I269"/>
  <c r="H269"/>
  <c r="G269"/>
  <c r="E269"/>
  <c r="D269"/>
  <c r="L268"/>
  <c r="J268"/>
  <c r="I268"/>
  <c r="H268"/>
  <c r="G268"/>
  <c r="E268"/>
  <c r="D268"/>
  <c r="L267"/>
  <c r="J267"/>
  <c r="I267"/>
  <c r="H267"/>
  <c r="G267"/>
  <c r="K266"/>
  <c r="F266"/>
  <c r="K265"/>
  <c r="F265"/>
  <c r="F264"/>
  <c r="E264"/>
  <c r="E267" s="1"/>
  <c r="D264"/>
  <c r="K264" s="1"/>
  <c r="K263"/>
  <c r="F263"/>
  <c r="K262"/>
  <c r="F262"/>
  <c r="K261"/>
  <c r="F261"/>
  <c r="K260"/>
  <c r="F260"/>
  <c r="K259"/>
  <c r="F259"/>
  <c r="F268" s="1"/>
  <c r="D258"/>
  <c r="D267" s="1"/>
  <c r="F256"/>
  <c r="K256" s="1"/>
  <c r="F255"/>
  <c r="F272" s="1"/>
  <c r="L254"/>
  <c r="L257" s="1"/>
  <c r="J254"/>
  <c r="J257" s="1"/>
  <c r="I254"/>
  <c r="I257" s="1"/>
  <c r="H254"/>
  <c r="H257" s="1"/>
  <c r="G254"/>
  <c r="G257" s="1"/>
  <c r="E254"/>
  <c r="E257" s="1"/>
  <c r="D254"/>
  <c r="D257" s="1"/>
  <c r="D273" s="1"/>
  <c r="L253"/>
  <c r="L273" s="1"/>
  <c r="J253"/>
  <c r="J273" s="1"/>
  <c r="I253"/>
  <c r="I273" s="1"/>
  <c r="H253"/>
  <c r="H273" s="1"/>
  <c r="G253"/>
  <c r="G273" s="1"/>
  <c r="E253"/>
  <c r="E273" s="1"/>
  <c r="D253"/>
  <c r="L252"/>
  <c r="L271" s="1"/>
  <c r="J252"/>
  <c r="J271" s="1"/>
  <c r="J275" s="1"/>
  <c r="I252"/>
  <c r="I271" s="1"/>
  <c r="I275" s="1"/>
  <c r="H252"/>
  <c r="H271" s="1"/>
  <c r="H275" s="1"/>
  <c r="G252"/>
  <c r="G271" s="1"/>
  <c r="G275" s="1"/>
  <c r="E252"/>
  <c r="E271" s="1"/>
  <c r="E275" s="1"/>
  <c r="D252"/>
  <c r="D271" s="1"/>
  <c r="D275" s="1"/>
  <c r="J251"/>
  <c r="I251"/>
  <c r="I270" s="1"/>
  <c r="H251"/>
  <c r="H270" s="1"/>
  <c r="G251"/>
  <c r="G270" s="1"/>
  <c r="K250"/>
  <c r="F250"/>
  <c r="K249"/>
  <c r="F249"/>
  <c r="L248"/>
  <c r="L251" s="1"/>
  <c r="L270" s="1"/>
  <c r="E248"/>
  <c r="E251" s="1"/>
  <c r="E270" s="1"/>
  <c r="D248"/>
  <c r="D251" s="1"/>
  <c r="D270" s="1"/>
  <c r="K247"/>
  <c r="F247"/>
  <c r="K246"/>
  <c r="F246"/>
  <c r="K245"/>
  <c r="F245"/>
  <c r="K244"/>
  <c r="K253" s="1"/>
  <c r="F244"/>
  <c r="K243"/>
  <c r="F243"/>
  <c r="K242"/>
  <c r="F242"/>
  <c r="F240"/>
  <c r="K240" s="1"/>
  <c r="F239"/>
  <c r="J235"/>
  <c r="J238" s="1"/>
  <c r="I235"/>
  <c r="H235"/>
  <c r="H238" s="1"/>
  <c r="H241" s="1"/>
  <c r="H277" s="1"/>
  <c r="G235"/>
  <c r="E235"/>
  <c r="D235"/>
  <c r="J234"/>
  <c r="I234"/>
  <c r="G234"/>
  <c r="G237" s="1"/>
  <c r="E234"/>
  <c r="D234"/>
  <c r="J233"/>
  <c r="I233"/>
  <c r="H233"/>
  <c r="G233"/>
  <c r="L232"/>
  <c r="L235" s="1"/>
  <c r="K232"/>
  <c r="F232"/>
  <c r="L231"/>
  <c r="L234" s="1"/>
  <c r="K231"/>
  <c r="F231"/>
  <c r="L230"/>
  <c r="E230"/>
  <c r="K230" s="1"/>
  <c r="D230"/>
  <c r="K229"/>
  <c r="F229"/>
  <c r="K228"/>
  <c r="F228"/>
  <c r="L227"/>
  <c r="D227"/>
  <c r="K227" s="1"/>
  <c r="K226"/>
  <c r="F226"/>
  <c r="K225"/>
  <c r="F225"/>
  <c r="L224"/>
  <c r="F224"/>
  <c r="D224"/>
  <c r="K224" s="1"/>
  <c r="L222"/>
  <c r="L424" s="1"/>
  <c r="F222"/>
  <c r="K222" s="1"/>
  <c r="F221"/>
  <c r="K221" s="1"/>
  <c r="L220"/>
  <c r="L223" s="1"/>
  <c r="J220"/>
  <c r="I220"/>
  <c r="H220"/>
  <c r="G220"/>
  <c r="E220"/>
  <c r="E223" s="1"/>
  <c r="D220"/>
  <c r="D223" s="1"/>
  <c r="L219"/>
  <c r="J219"/>
  <c r="I219"/>
  <c r="H219"/>
  <c r="H237" s="1"/>
  <c r="G219"/>
  <c r="E219"/>
  <c r="E237" s="1"/>
  <c r="D219"/>
  <c r="D237" s="1"/>
  <c r="J218"/>
  <c r="J236" s="1"/>
  <c r="I218"/>
  <c r="H218"/>
  <c r="H420" s="1"/>
  <c r="G218"/>
  <c r="G236" s="1"/>
  <c r="G274" s="1"/>
  <c r="K217"/>
  <c r="F217"/>
  <c r="K216"/>
  <c r="F216"/>
  <c r="K215"/>
  <c r="E215"/>
  <c r="E218" s="1"/>
  <c r="D215"/>
  <c r="K214"/>
  <c r="F214"/>
  <c r="K213"/>
  <c r="F213"/>
  <c r="K212"/>
  <c r="D212"/>
  <c r="F212" s="1"/>
  <c r="K211"/>
  <c r="F211"/>
  <c r="K210"/>
  <c r="F210"/>
  <c r="L209"/>
  <c r="L218" s="1"/>
  <c r="K209"/>
  <c r="D209"/>
  <c r="F209" s="1"/>
  <c r="M208"/>
  <c r="M207"/>
  <c r="L207"/>
  <c r="J207"/>
  <c r="I207"/>
  <c r="H207"/>
  <c r="G207"/>
  <c r="E207"/>
  <c r="D207"/>
  <c r="M203"/>
  <c r="M206" s="1"/>
  <c r="L203"/>
  <c r="L206" s="1"/>
  <c r="J203"/>
  <c r="J206" s="1"/>
  <c r="I203"/>
  <c r="I206" s="1"/>
  <c r="H203"/>
  <c r="H206" s="1"/>
  <c r="G203"/>
  <c r="G206" s="1"/>
  <c r="E203"/>
  <c r="E206" s="1"/>
  <c r="D203"/>
  <c r="D206" s="1"/>
  <c r="M202"/>
  <c r="L201"/>
  <c r="J201"/>
  <c r="I201"/>
  <c r="H201"/>
  <c r="G201"/>
  <c r="E201"/>
  <c r="D201"/>
  <c r="L200"/>
  <c r="J200"/>
  <c r="I200"/>
  <c r="H200"/>
  <c r="G200"/>
  <c r="E200"/>
  <c r="D200"/>
  <c r="L199"/>
  <c r="J199"/>
  <c r="I199"/>
  <c r="H199"/>
  <c r="K198"/>
  <c r="F198"/>
  <c r="K197"/>
  <c r="F197"/>
  <c r="G196"/>
  <c r="K196" s="1"/>
  <c r="F196"/>
  <c r="K195"/>
  <c r="F195"/>
  <c r="K194"/>
  <c r="F194"/>
  <c r="G193"/>
  <c r="E193"/>
  <c r="E199" s="1"/>
  <c r="D193"/>
  <c r="K193" s="1"/>
  <c r="K192"/>
  <c r="F192"/>
  <c r="K191"/>
  <c r="K200" s="1"/>
  <c r="F191"/>
  <c r="F200" s="1"/>
  <c r="D190"/>
  <c r="K190" s="1"/>
  <c r="F188"/>
  <c r="K188" s="1"/>
  <c r="F187"/>
  <c r="F203" s="1"/>
  <c r="L186"/>
  <c r="L189" s="1"/>
  <c r="L204" s="1"/>
  <c r="J186"/>
  <c r="J189" s="1"/>
  <c r="J204" s="1"/>
  <c r="I186"/>
  <c r="I189" s="1"/>
  <c r="I204" s="1"/>
  <c r="H186"/>
  <c r="H189" s="1"/>
  <c r="H204" s="1"/>
  <c r="G186"/>
  <c r="G189" s="1"/>
  <c r="G204" s="1"/>
  <c r="E186"/>
  <c r="E189" s="1"/>
  <c r="E204" s="1"/>
  <c r="D186"/>
  <c r="D189" s="1"/>
  <c r="D204" s="1"/>
  <c r="L185"/>
  <c r="J185"/>
  <c r="I185"/>
  <c r="H185"/>
  <c r="G185"/>
  <c r="E185"/>
  <c r="D185"/>
  <c r="L184"/>
  <c r="J184"/>
  <c r="I184"/>
  <c r="H184"/>
  <c r="G184"/>
  <c r="E184"/>
  <c r="D184"/>
  <c r="J183"/>
  <c r="J202" s="1"/>
  <c r="I183"/>
  <c r="I202" s="1"/>
  <c r="H183"/>
  <c r="H202" s="1"/>
  <c r="K182"/>
  <c r="F182"/>
  <c r="K181"/>
  <c r="F181"/>
  <c r="L180"/>
  <c r="L183" s="1"/>
  <c r="L202" s="1"/>
  <c r="G180"/>
  <c r="E180"/>
  <c r="D180"/>
  <c r="F180" s="1"/>
  <c r="K179"/>
  <c r="F179"/>
  <c r="K178"/>
  <c r="F178"/>
  <c r="G177"/>
  <c r="E177"/>
  <c r="D177"/>
  <c r="K176"/>
  <c r="K185" s="1"/>
  <c r="F176"/>
  <c r="K175"/>
  <c r="K184" s="1"/>
  <c r="F175"/>
  <c r="G174"/>
  <c r="G183" s="1"/>
  <c r="E174"/>
  <c r="E183" s="1"/>
  <c r="E202" s="1"/>
  <c r="D174"/>
  <c r="K172"/>
  <c r="F172"/>
  <c r="F171"/>
  <c r="H169"/>
  <c r="L167"/>
  <c r="L170" s="1"/>
  <c r="L173" s="1"/>
  <c r="L208" s="1"/>
  <c r="J167"/>
  <c r="I167"/>
  <c r="H167"/>
  <c r="H437" s="1"/>
  <c r="G167"/>
  <c r="E167"/>
  <c r="L166"/>
  <c r="L169" s="1"/>
  <c r="J166"/>
  <c r="I166"/>
  <c r="G166"/>
  <c r="G169" s="1"/>
  <c r="E166"/>
  <c r="E169" s="1"/>
  <c r="D166"/>
  <c r="J165"/>
  <c r="I165"/>
  <c r="H165"/>
  <c r="H435" s="1"/>
  <c r="D164"/>
  <c r="F164" s="1"/>
  <c r="K163"/>
  <c r="F163"/>
  <c r="L162"/>
  <c r="E162"/>
  <c r="D162"/>
  <c r="D165" s="1"/>
  <c r="K161"/>
  <c r="F161"/>
  <c r="K160"/>
  <c r="F160"/>
  <c r="L159"/>
  <c r="K159"/>
  <c r="E159"/>
  <c r="F159" s="1"/>
  <c r="K158"/>
  <c r="F158"/>
  <c r="K157"/>
  <c r="F157"/>
  <c r="L156"/>
  <c r="G156"/>
  <c r="G165" s="1"/>
  <c r="E156"/>
  <c r="D156"/>
  <c r="F154"/>
  <c r="K154" s="1"/>
  <c r="F153"/>
  <c r="K153" s="1"/>
  <c r="J152"/>
  <c r="J155" s="1"/>
  <c r="J170" s="1"/>
  <c r="J173" s="1"/>
  <c r="J208" s="1"/>
  <c r="I152"/>
  <c r="I155" s="1"/>
  <c r="I170" s="1"/>
  <c r="I173" s="1"/>
  <c r="I208" s="1"/>
  <c r="H152"/>
  <c r="G152"/>
  <c r="G155" s="1"/>
  <c r="G170" s="1"/>
  <c r="G173" s="1"/>
  <c r="G208" s="1"/>
  <c r="E152"/>
  <c r="E155" s="1"/>
  <c r="E170" s="1"/>
  <c r="E173" s="1"/>
  <c r="E208" s="1"/>
  <c r="D152"/>
  <c r="D155" s="1"/>
  <c r="J151"/>
  <c r="I151"/>
  <c r="H151"/>
  <c r="G151"/>
  <c r="E151"/>
  <c r="D151"/>
  <c r="M150"/>
  <c r="M153" s="1"/>
  <c r="J150"/>
  <c r="J168" s="1"/>
  <c r="I150"/>
  <c r="I168" s="1"/>
  <c r="I205" s="1"/>
  <c r="K149"/>
  <c r="F149"/>
  <c r="K148"/>
  <c r="K151" s="1"/>
  <c r="F148"/>
  <c r="K147"/>
  <c r="E147"/>
  <c r="F147" s="1"/>
  <c r="K146"/>
  <c r="F146"/>
  <c r="K145"/>
  <c r="F145"/>
  <c r="G144"/>
  <c r="E144"/>
  <c r="D144"/>
  <c r="F144" s="1"/>
  <c r="K143"/>
  <c r="F143"/>
  <c r="K142"/>
  <c r="F142"/>
  <c r="L141"/>
  <c r="L150" s="1"/>
  <c r="G141"/>
  <c r="E141"/>
  <c r="D141"/>
  <c r="F141" s="1"/>
  <c r="M139"/>
  <c r="L139"/>
  <c r="J139"/>
  <c r="I139"/>
  <c r="H139"/>
  <c r="G139"/>
  <c r="E139"/>
  <c r="D139"/>
  <c r="G138"/>
  <c r="M135"/>
  <c r="M138" s="1"/>
  <c r="L135"/>
  <c r="L138" s="1"/>
  <c r="J135"/>
  <c r="J138" s="1"/>
  <c r="I135"/>
  <c r="I138" s="1"/>
  <c r="H135"/>
  <c r="H138" s="1"/>
  <c r="G135"/>
  <c r="E135"/>
  <c r="E138" s="1"/>
  <c r="D135"/>
  <c r="D138" s="1"/>
  <c r="L133"/>
  <c r="J133"/>
  <c r="I133"/>
  <c r="H133"/>
  <c r="G133"/>
  <c r="E133"/>
  <c r="D133"/>
  <c r="L132"/>
  <c r="J132"/>
  <c r="I132"/>
  <c r="H132"/>
  <c r="G132"/>
  <c r="E132"/>
  <c r="D132"/>
  <c r="M131"/>
  <c r="L131"/>
  <c r="J131"/>
  <c r="I131"/>
  <c r="H131"/>
  <c r="K130"/>
  <c r="F130"/>
  <c r="K129"/>
  <c r="F129"/>
  <c r="K128"/>
  <c r="G128"/>
  <c r="E128"/>
  <c r="F128" s="1"/>
  <c r="K127"/>
  <c r="F127"/>
  <c r="K126"/>
  <c r="F126"/>
  <c r="G125"/>
  <c r="G131" s="1"/>
  <c r="E125"/>
  <c r="E131" s="1"/>
  <c r="D125"/>
  <c r="D131" s="1"/>
  <c r="K124"/>
  <c r="F124"/>
  <c r="K123"/>
  <c r="K132" s="1"/>
  <c r="F123"/>
  <c r="K122"/>
  <c r="F122"/>
  <c r="M121"/>
  <c r="M136" s="1"/>
  <c r="M140" s="1"/>
  <c r="K120"/>
  <c r="F120"/>
  <c r="F119"/>
  <c r="L118"/>
  <c r="L121" s="1"/>
  <c r="L136" s="1"/>
  <c r="J118"/>
  <c r="J121" s="1"/>
  <c r="J136" s="1"/>
  <c r="I118"/>
  <c r="I121" s="1"/>
  <c r="I136" s="1"/>
  <c r="H118"/>
  <c r="H121" s="1"/>
  <c r="H136" s="1"/>
  <c r="G118"/>
  <c r="G121" s="1"/>
  <c r="G136" s="1"/>
  <c r="E118"/>
  <c r="E121" s="1"/>
  <c r="E136" s="1"/>
  <c r="D118"/>
  <c r="D121" s="1"/>
  <c r="D136" s="1"/>
  <c r="L117"/>
  <c r="J117"/>
  <c r="I117"/>
  <c r="H117"/>
  <c r="G117"/>
  <c r="E117"/>
  <c r="D117"/>
  <c r="L116"/>
  <c r="J116"/>
  <c r="I116"/>
  <c r="H116"/>
  <c r="G116"/>
  <c r="E116"/>
  <c r="D116"/>
  <c r="M115"/>
  <c r="M134" s="1"/>
  <c r="M468" s="1"/>
  <c r="J115"/>
  <c r="J134" s="1"/>
  <c r="I115"/>
  <c r="H115"/>
  <c r="H134" s="1"/>
  <c r="K114"/>
  <c r="F114"/>
  <c r="K113"/>
  <c r="F113"/>
  <c r="L112"/>
  <c r="L115" s="1"/>
  <c r="L134" s="1"/>
  <c r="G112"/>
  <c r="K112" s="1"/>
  <c r="E112"/>
  <c r="D112"/>
  <c r="F112" s="1"/>
  <c r="K111"/>
  <c r="F111"/>
  <c r="K110"/>
  <c r="F110"/>
  <c r="G109"/>
  <c r="E109"/>
  <c r="D109"/>
  <c r="F109" s="1"/>
  <c r="K108"/>
  <c r="F108"/>
  <c r="F118" s="1"/>
  <c r="K107"/>
  <c r="F107"/>
  <c r="F116" s="1"/>
  <c r="G106"/>
  <c r="E106"/>
  <c r="E115" s="1"/>
  <c r="E134" s="1"/>
  <c r="D106"/>
  <c r="F104"/>
  <c r="K104" s="1"/>
  <c r="F103"/>
  <c r="K103" s="1"/>
  <c r="H102"/>
  <c r="H105" s="1"/>
  <c r="H101"/>
  <c r="H100"/>
  <c r="H137" s="1"/>
  <c r="L99"/>
  <c r="J99"/>
  <c r="I99"/>
  <c r="G99"/>
  <c r="E99"/>
  <c r="D99"/>
  <c r="J98"/>
  <c r="I98"/>
  <c r="E98"/>
  <c r="E101" s="1"/>
  <c r="D98"/>
  <c r="D101" s="1"/>
  <c r="M97"/>
  <c r="J97"/>
  <c r="I97"/>
  <c r="K96"/>
  <c r="F96"/>
  <c r="L95"/>
  <c r="L433" s="1"/>
  <c r="G95"/>
  <c r="G433" s="1"/>
  <c r="F95"/>
  <c r="L94"/>
  <c r="G94"/>
  <c r="K94" s="1"/>
  <c r="E94"/>
  <c r="D94"/>
  <c r="K93"/>
  <c r="F93"/>
  <c r="K92"/>
  <c r="F92"/>
  <c r="L91"/>
  <c r="L97" s="1"/>
  <c r="E91"/>
  <c r="D91"/>
  <c r="D429" s="1"/>
  <c r="K90"/>
  <c r="F90"/>
  <c r="K89"/>
  <c r="F89"/>
  <c r="L88"/>
  <c r="G88"/>
  <c r="E88"/>
  <c r="D88"/>
  <c r="F88" s="1"/>
  <c r="M87"/>
  <c r="M85" s="1"/>
  <c r="F86"/>
  <c r="K86" s="1"/>
  <c r="F85"/>
  <c r="K85" s="1"/>
  <c r="L84"/>
  <c r="L87" s="1"/>
  <c r="J84"/>
  <c r="J87" s="1"/>
  <c r="I84"/>
  <c r="I87" s="1"/>
  <c r="G84"/>
  <c r="G87" s="1"/>
  <c r="G102" s="1"/>
  <c r="G105" s="1"/>
  <c r="E84"/>
  <c r="E87" s="1"/>
  <c r="E102" s="1"/>
  <c r="E105" s="1"/>
  <c r="D84"/>
  <c r="D87" s="1"/>
  <c r="D102" s="1"/>
  <c r="D105" s="1"/>
  <c r="D140" s="1"/>
  <c r="L83"/>
  <c r="J83"/>
  <c r="I83"/>
  <c r="G83"/>
  <c r="E83"/>
  <c r="D83"/>
  <c r="M82"/>
  <c r="L82"/>
  <c r="L100" s="1"/>
  <c r="J82"/>
  <c r="I82"/>
  <c r="I100" s="1"/>
  <c r="K81"/>
  <c r="F81"/>
  <c r="K80"/>
  <c r="F80"/>
  <c r="G79"/>
  <c r="E79"/>
  <c r="E82" s="1"/>
  <c r="D79"/>
  <c r="D417" s="1"/>
  <c r="K78"/>
  <c r="F78"/>
  <c r="K77"/>
  <c r="K83" s="1"/>
  <c r="F77"/>
  <c r="G76"/>
  <c r="K76" s="1"/>
  <c r="E76"/>
  <c r="D76"/>
  <c r="K75"/>
  <c r="F75"/>
  <c r="F84" s="1"/>
  <c r="F87" s="1"/>
  <c r="K74"/>
  <c r="F74"/>
  <c r="L73"/>
  <c r="G73"/>
  <c r="G82" s="1"/>
  <c r="E73"/>
  <c r="F73" s="1"/>
  <c r="L71"/>
  <c r="L473" s="1"/>
  <c r="J71"/>
  <c r="J473" s="1"/>
  <c r="I71"/>
  <c r="H71"/>
  <c r="G71"/>
  <c r="E71"/>
  <c r="D71"/>
  <c r="D473" s="1"/>
  <c r="L67"/>
  <c r="J67"/>
  <c r="J469" s="1"/>
  <c r="I67"/>
  <c r="I469" s="1"/>
  <c r="H67"/>
  <c r="G67"/>
  <c r="G70" s="1"/>
  <c r="E67"/>
  <c r="E469" s="1"/>
  <c r="D67"/>
  <c r="D469" s="1"/>
  <c r="L65"/>
  <c r="L467" s="1"/>
  <c r="J65"/>
  <c r="J467" s="1"/>
  <c r="I65"/>
  <c r="I467" s="1"/>
  <c r="H65"/>
  <c r="H467" s="1"/>
  <c r="G65"/>
  <c r="G467" s="1"/>
  <c r="E65"/>
  <c r="E467" s="1"/>
  <c r="D65"/>
  <c r="D467" s="1"/>
  <c r="L64"/>
  <c r="L466" s="1"/>
  <c r="J64"/>
  <c r="J466" s="1"/>
  <c r="I64"/>
  <c r="I466" s="1"/>
  <c r="H64"/>
  <c r="H466" s="1"/>
  <c r="G64"/>
  <c r="G466" s="1"/>
  <c r="E64"/>
  <c r="E466" s="1"/>
  <c r="D64"/>
  <c r="D466" s="1"/>
  <c r="L63"/>
  <c r="L465" s="1"/>
  <c r="J63"/>
  <c r="J465" s="1"/>
  <c r="I63"/>
  <c r="I465" s="1"/>
  <c r="H63"/>
  <c r="H465" s="1"/>
  <c r="K62"/>
  <c r="K464" s="1"/>
  <c r="F62"/>
  <c r="F464" s="1"/>
  <c r="K61"/>
  <c r="K463" s="1"/>
  <c r="F61"/>
  <c r="F463" s="1"/>
  <c r="G60"/>
  <c r="G462" s="1"/>
  <c r="E60"/>
  <c r="E462" s="1"/>
  <c r="K59"/>
  <c r="K461" s="1"/>
  <c r="F59"/>
  <c r="F461" s="1"/>
  <c r="K58"/>
  <c r="K460" s="1"/>
  <c r="F58"/>
  <c r="F460" s="1"/>
  <c r="G57"/>
  <c r="G459" s="1"/>
  <c r="F57"/>
  <c r="E57"/>
  <c r="E459" s="1"/>
  <c r="D57"/>
  <c r="D459" s="1"/>
  <c r="K56"/>
  <c r="K458" s="1"/>
  <c r="F56"/>
  <c r="F458" s="1"/>
  <c r="K55"/>
  <c r="K457" s="1"/>
  <c r="F55"/>
  <c r="F457" s="1"/>
  <c r="K54"/>
  <c r="F54"/>
  <c r="E53"/>
  <c r="E68" s="1"/>
  <c r="F52"/>
  <c r="K52" s="1"/>
  <c r="K51"/>
  <c r="F51"/>
  <c r="J50"/>
  <c r="I50"/>
  <c r="H50"/>
  <c r="G50"/>
  <c r="E50"/>
  <c r="F50" s="1"/>
  <c r="K50" s="1"/>
  <c r="D50"/>
  <c r="L49"/>
  <c r="L455" s="1"/>
  <c r="J49"/>
  <c r="J455" s="1"/>
  <c r="I49"/>
  <c r="I455" s="1"/>
  <c r="H49"/>
  <c r="H455" s="1"/>
  <c r="G49"/>
  <c r="G455" s="1"/>
  <c r="E49"/>
  <c r="D49"/>
  <c r="D455" s="1"/>
  <c r="L48"/>
  <c r="L454" s="1"/>
  <c r="J48"/>
  <c r="J454" s="1"/>
  <c r="I48"/>
  <c r="I454" s="1"/>
  <c r="H48"/>
  <c r="H454" s="1"/>
  <c r="G48"/>
  <c r="G454" s="1"/>
  <c r="E48"/>
  <c r="E454" s="1"/>
  <c r="D48"/>
  <c r="D454" s="1"/>
  <c r="J47"/>
  <c r="J453" s="1"/>
  <c r="I47"/>
  <c r="I453" s="1"/>
  <c r="H47"/>
  <c r="H453" s="1"/>
  <c r="K46"/>
  <c r="K452" s="1"/>
  <c r="F46"/>
  <c r="F452" s="1"/>
  <c r="K45"/>
  <c r="K451" s="1"/>
  <c r="F45"/>
  <c r="F451" s="1"/>
  <c r="L44"/>
  <c r="L450" s="1"/>
  <c r="G44"/>
  <c r="G450" s="1"/>
  <c r="F44"/>
  <c r="E44"/>
  <c r="E450" s="1"/>
  <c r="D44"/>
  <c r="D450" s="1"/>
  <c r="K43"/>
  <c r="K449" s="1"/>
  <c r="F43"/>
  <c r="F449" s="1"/>
  <c r="K42"/>
  <c r="K448" s="1"/>
  <c r="F42"/>
  <c r="F448" s="1"/>
  <c r="G41"/>
  <c r="G447" s="1"/>
  <c r="E41"/>
  <c r="D41"/>
  <c r="D447" s="1"/>
  <c r="K40"/>
  <c r="K49" s="1"/>
  <c r="K53" s="1"/>
  <c r="F40"/>
  <c r="K39"/>
  <c r="K445" s="1"/>
  <c r="F39"/>
  <c r="F445" s="1"/>
  <c r="G38"/>
  <c r="G444" s="1"/>
  <c r="E38"/>
  <c r="E444" s="1"/>
  <c r="D38"/>
  <c r="D444" s="1"/>
  <c r="F36"/>
  <c r="F442" s="1"/>
  <c r="K442" s="1"/>
  <c r="K35"/>
  <c r="F35"/>
  <c r="F441" s="1"/>
  <c r="H34"/>
  <c r="H37" s="1"/>
  <c r="H33"/>
  <c r="H439" s="1"/>
  <c r="H32"/>
  <c r="H31"/>
  <c r="L30"/>
  <c r="L437" s="1"/>
  <c r="J30"/>
  <c r="J437" s="1"/>
  <c r="I30"/>
  <c r="I437" s="1"/>
  <c r="G30"/>
  <c r="G437" s="1"/>
  <c r="E30"/>
  <c r="E437" s="1"/>
  <c r="D30"/>
  <c r="L29"/>
  <c r="J29"/>
  <c r="J436" s="1"/>
  <c r="I29"/>
  <c r="I436" s="1"/>
  <c r="G29"/>
  <c r="G33" s="1"/>
  <c r="E29"/>
  <c r="E436" s="1"/>
  <c r="D29"/>
  <c r="D436" s="1"/>
  <c r="J28"/>
  <c r="J435" s="1"/>
  <c r="I28"/>
  <c r="I435" s="1"/>
  <c r="K27"/>
  <c r="F27"/>
  <c r="F434" s="1"/>
  <c r="K26"/>
  <c r="F26"/>
  <c r="F433" s="1"/>
  <c r="L25"/>
  <c r="L432" s="1"/>
  <c r="G25"/>
  <c r="G432" s="1"/>
  <c r="E25"/>
  <c r="E432" s="1"/>
  <c r="D25"/>
  <c r="D432" s="1"/>
  <c r="K24"/>
  <c r="K431" s="1"/>
  <c r="F24"/>
  <c r="F431" s="1"/>
  <c r="K23"/>
  <c r="K430" s="1"/>
  <c r="F23"/>
  <c r="F430" s="1"/>
  <c r="L22"/>
  <c r="L429" s="1"/>
  <c r="E22"/>
  <c r="E429" s="1"/>
  <c r="K21"/>
  <c r="K428" s="1"/>
  <c r="F21"/>
  <c r="F428" s="1"/>
  <c r="K20"/>
  <c r="K427" s="1"/>
  <c r="F20"/>
  <c r="F427" s="1"/>
  <c r="L19"/>
  <c r="L426" s="1"/>
  <c r="G19"/>
  <c r="G426" s="1"/>
  <c r="E19"/>
  <c r="E426" s="1"/>
  <c r="D19"/>
  <c r="D426" s="1"/>
  <c r="E18"/>
  <c r="F17"/>
  <c r="F424" s="1"/>
  <c r="K16"/>
  <c r="F16"/>
  <c r="F423" s="1"/>
  <c r="L15"/>
  <c r="L422" s="1"/>
  <c r="J15"/>
  <c r="J422" s="1"/>
  <c r="I15"/>
  <c r="I422" s="1"/>
  <c r="H15"/>
  <c r="H422" s="1"/>
  <c r="G15"/>
  <c r="G422" s="1"/>
  <c r="E15"/>
  <c r="E422" s="1"/>
  <c r="D15"/>
  <c r="D422" s="1"/>
  <c r="L14"/>
  <c r="L421" s="1"/>
  <c r="J14"/>
  <c r="J421" s="1"/>
  <c r="I14"/>
  <c r="I421" s="1"/>
  <c r="H14"/>
  <c r="H421" s="1"/>
  <c r="G14"/>
  <c r="G421" s="1"/>
  <c r="E14"/>
  <c r="E421" s="1"/>
  <c r="D14"/>
  <c r="D421" s="1"/>
  <c r="J13"/>
  <c r="J420" s="1"/>
  <c r="I13"/>
  <c r="I420" s="1"/>
  <c r="K12"/>
  <c r="K419" s="1"/>
  <c r="F12"/>
  <c r="F419" s="1"/>
  <c r="K11"/>
  <c r="K418" s="1"/>
  <c r="F11"/>
  <c r="F418" s="1"/>
  <c r="G10"/>
  <c r="G417" s="1"/>
  <c r="E10"/>
  <c r="E417" s="1"/>
  <c r="K9"/>
  <c r="K416" s="1"/>
  <c r="F9"/>
  <c r="F416" s="1"/>
  <c r="K8"/>
  <c r="K415" s="1"/>
  <c r="F8"/>
  <c r="F415" s="1"/>
  <c r="G7"/>
  <c r="G414" s="1"/>
  <c r="F7"/>
  <c r="E7"/>
  <c r="E414" s="1"/>
  <c r="D7"/>
  <c r="D414" s="1"/>
  <c r="K6"/>
  <c r="K413" s="1"/>
  <c r="F6"/>
  <c r="F413" s="1"/>
  <c r="K5"/>
  <c r="K412" s="1"/>
  <c r="F5"/>
  <c r="F412" s="1"/>
  <c r="L4"/>
  <c r="L411" s="1"/>
  <c r="G4"/>
  <c r="G411" s="1"/>
  <c r="E4"/>
  <c r="E411" s="1"/>
  <c r="D4"/>
  <c r="D411" s="1"/>
  <c r="F49" l="1"/>
  <c r="E63"/>
  <c r="J100"/>
  <c r="D97"/>
  <c r="G115"/>
  <c r="G134" s="1"/>
  <c r="K117"/>
  <c r="F133"/>
  <c r="F150"/>
  <c r="F152"/>
  <c r="F155" s="1"/>
  <c r="F170" s="1"/>
  <c r="F156"/>
  <c r="E165"/>
  <c r="F167"/>
  <c r="F166"/>
  <c r="K166"/>
  <c r="D183"/>
  <c r="F184"/>
  <c r="F177"/>
  <c r="D218"/>
  <c r="F219"/>
  <c r="F237"/>
  <c r="E238"/>
  <c r="E241" s="1"/>
  <c r="E277" s="1"/>
  <c r="F230"/>
  <c r="L238"/>
  <c r="L241" s="1"/>
  <c r="L277" s="1"/>
  <c r="I237"/>
  <c r="G238"/>
  <c r="G241" s="1"/>
  <c r="G277" s="1"/>
  <c r="F252"/>
  <c r="F271" s="1"/>
  <c r="F275" s="1"/>
  <c r="J270"/>
  <c r="K268"/>
  <c r="F288"/>
  <c r="F303"/>
  <c r="L306"/>
  <c r="L342" s="1"/>
  <c r="H307"/>
  <c r="H344" s="1"/>
  <c r="F321"/>
  <c r="F339" s="1"/>
  <c r="L338"/>
  <c r="H339"/>
  <c r="D340"/>
  <c r="F355"/>
  <c r="F369"/>
  <c r="F372" s="1"/>
  <c r="I374"/>
  <c r="I408" s="1"/>
  <c r="J375"/>
  <c r="K391"/>
  <c r="K402"/>
  <c r="K405" s="1"/>
  <c r="K71"/>
  <c r="F83"/>
  <c r="G140"/>
  <c r="G150"/>
  <c r="G168" s="1"/>
  <c r="K218"/>
  <c r="K220"/>
  <c r="K235"/>
  <c r="K287"/>
  <c r="K289"/>
  <c r="G302"/>
  <c r="L307"/>
  <c r="L344" s="1"/>
  <c r="K354"/>
  <c r="K356"/>
  <c r="K369"/>
  <c r="K372" s="1"/>
  <c r="K371"/>
  <c r="F71"/>
  <c r="I53"/>
  <c r="I68" s="1"/>
  <c r="I470" s="1"/>
  <c r="I471" s="1"/>
  <c r="F60"/>
  <c r="F63" s="1"/>
  <c r="F76"/>
  <c r="K84"/>
  <c r="K87" s="1"/>
  <c r="M100"/>
  <c r="F94"/>
  <c r="F99"/>
  <c r="F102" s="1"/>
  <c r="F105" s="1"/>
  <c r="F106"/>
  <c r="K116"/>
  <c r="I134"/>
  <c r="I137" s="1"/>
  <c r="F132"/>
  <c r="F151"/>
  <c r="J153"/>
  <c r="J169" s="1"/>
  <c r="F174"/>
  <c r="F185"/>
  <c r="F190"/>
  <c r="K201"/>
  <c r="G199"/>
  <c r="G202" s="1"/>
  <c r="F215"/>
  <c r="F218" s="1"/>
  <c r="F220"/>
  <c r="I236"/>
  <c r="I274" s="1"/>
  <c r="F227"/>
  <c r="L233"/>
  <c r="L236" s="1"/>
  <c r="L274" s="1"/>
  <c r="F235"/>
  <c r="F234"/>
  <c r="I238"/>
  <c r="I241" s="1"/>
  <c r="I277" s="1"/>
  <c r="F253"/>
  <c r="K258"/>
  <c r="K267" s="1"/>
  <c r="K269"/>
  <c r="K273" s="1"/>
  <c r="G305"/>
  <c r="F287"/>
  <c r="F289"/>
  <c r="I306"/>
  <c r="I342" s="1"/>
  <c r="K304"/>
  <c r="F354"/>
  <c r="F356"/>
  <c r="D375"/>
  <c r="D372"/>
  <c r="L374"/>
  <c r="H375"/>
  <c r="F398"/>
  <c r="L47"/>
  <c r="L453" s="1"/>
  <c r="L137"/>
  <c r="K88"/>
  <c r="E97"/>
  <c r="E100" s="1"/>
  <c r="E137" s="1"/>
  <c r="K99"/>
  <c r="K133"/>
  <c r="K141"/>
  <c r="K152"/>
  <c r="I153"/>
  <c r="I169" s="1"/>
  <c r="L165"/>
  <c r="F201"/>
  <c r="F193"/>
  <c r="K219"/>
  <c r="K234"/>
  <c r="K252"/>
  <c r="K271" s="1"/>
  <c r="F269"/>
  <c r="K288"/>
  <c r="E305"/>
  <c r="L305"/>
  <c r="L341" s="1"/>
  <c r="H342"/>
  <c r="I307"/>
  <c r="I344" s="1"/>
  <c r="K337"/>
  <c r="K355"/>
  <c r="E373"/>
  <c r="E407" s="1"/>
  <c r="J373"/>
  <c r="H372"/>
  <c r="K370"/>
  <c r="G375"/>
  <c r="L375"/>
  <c r="F388"/>
  <c r="F401"/>
  <c r="H473"/>
  <c r="F53"/>
  <c r="J137"/>
  <c r="I102"/>
  <c r="I105" s="1"/>
  <c r="I140" s="1"/>
  <c r="I85"/>
  <c r="I101" s="1"/>
  <c r="F121"/>
  <c r="F136" s="1"/>
  <c r="M71"/>
  <c r="L102"/>
  <c r="L105" s="1"/>
  <c r="L140" s="1"/>
  <c r="L85"/>
  <c r="K102"/>
  <c r="M137"/>
  <c r="E140"/>
  <c r="H140"/>
  <c r="F115"/>
  <c r="J102"/>
  <c r="J105" s="1"/>
  <c r="J140" s="1"/>
  <c r="J85"/>
  <c r="J101" s="1"/>
  <c r="L168"/>
  <c r="L205" s="1"/>
  <c r="L153"/>
  <c r="G307"/>
  <c r="G310" s="1"/>
  <c r="K292"/>
  <c r="K317"/>
  <c r="F317"/>
  <c r="D408"/>
  <c r="K4"/>
  <c r="F414"/>
  <c r="F10"/>
  <c r="E13"/>
  <c r="J17"/>
  <c r="F19"/>
  <c r="F426" s="1"/>
  <c r="K25"/>
  <c r="F29"/>
  <c r="K29"/>
  <c r="F30"/>
  <c r="F437" s="1"/>
  <c r="K30"/>
  <c r="J31"/>
  <c r="I32"/>
  <c r="D33"/>
  <c r="K41"/>
  <c r="E47"/>
  <c r="J53"/>
  <c r="J68" s="1"/>
  <c r="J470" s="1"/>
  <c r="J471" s="1"/>
  <c r="F67"/>
  <c r="K73"/>
  <c r="D82"/>
  <c r="D100" s="1"/>
  <c r="G97"/>
  <c r="K97" s="1"/>
  <c r="F98"/>
  <c r="F101" s="1"/>
  <c r="K109"/>
  <c r="F117"/>
  <c r="F139"/>
  <c r="K125"/>
  <c r="K131" s="1"/>
  <c r="K303"/>
  <c r="J205"/>
  <c r="J274"/>
  <c r="D238"/>
  <c r="F223"/>
  <c r="K223" s="1"/>
  <c r="J241"/>
  <c r="J277" s="1"/>
  <c r="F306"/>
  <c r="F342" s="1"/>
  <c r="D342"/>
  <c r="E313"/>
  <c r="D410"/>
  <c r="H410"/>
  <c r="H378"/>
  <c r="D13"/>
  <c r="K15"/>
  <c r="I17"/>
  <c r="E425"/>
  <c r="E440" s="1"/>
  <c r="E28"/>
  <c r="I31"/>
  <c r="K33"/>
  <c r="K38"/>
  <c r="D47"/>
  <c r="K48"/>
  <c r="K454" s="1"/>
  <c r="F462"/>
  <c r="E465"/>
  <c r="K65"/>
  <c r="K467" s="1"/>
  <c r="J66"/>
  <c r="J468" s="1"/>
  <c r="F70"/>
  <c r="J70"/>
  <c r="K79"/>
  <c r="K82" s="1"/>
  <c r="K91"/>
  <c r="K106"/>
  <c r="K115" s="1"/>
  <c r="D115"/>
  <c r="D134" s="1"/>
  <c r="K165"/>
  <c r="K302"/>
  <c r="D344"/>
  <c r="F307"/>
  <c r="J407"/>
  <c r="K373"/>
  <c r="G410"/>
  <c r="G378"/>
  <c r="L410"/>
  <c r="L378"/>
  <c r="F4"/>
  <c r="F411" s="1"/>
  <c r="K7"/>
  <c r="K10"/>
  <c r="G13"/>
  <c r="L13"/>
  <c r="K14"/>
  <c r="K421" s="1"/>
  <c r="F15"/>
  <c r="F422" s="1"/>
  <c r="D18"/>
  <c r="I18"/>
  <c r="K19"/>
  <c r="K22"/>
  <c r="K429" s="1"/>
  <c r="F25"/>
  <c r="D28"/>
  <c r="F33"/>
  <c r="E34"/>
  <c r="E37" s="1"/>
  <c r="F41"/>
  <c r="G47"/>
  <c r="F48"/>
  <c r="F454" s="1"/>
  <c r="D53"/>
  <c r="D68" s="1"/>
  <c r="D470" s="1"/>
  <c r="D471" s="1"/>
  <c r="H53"/>
  <c r="H68" s="1"/>
  <c r="H470" s="1"/>
  <c r="H471" s="1"/>
  <c r="L53"/>
  <c r="L68" s="1"/>
  <c r="L470" s="1"/>
  <c r="L471" s="1"/>
  <c r="D63"/>
  <c r="K64"/>
  <c r="K466" s="1"/>
  <c r="F65"/>
  <c r="F467" s="1"/>
  <c r="I66"/>
  <c r="I468" s="1"/>
  <c r="E70"/>
  <c r="I70"/>
  <c r="F91"/>
  <c r="F97" s="1"/>
  <c r="K118"/>
  <c r="K121" s="1"/>
  <c r="F125"/>
  <c r="F131" s="1"/>
  <c r="K169"/>
  <c r="F183"/>
  <c r="E439"/>
  <c r="F305"/>
  <c r="D341"/>
  <c r="J341"/>
  <c r="K305"/>
  <c r="D407"/>
  <c r="F373"/>
  <c r="J410"/>
  <c r="J378"/>
  <c r="F14"/>
  <c r="F421" s="1"/>
  <c r="K17"/>
  <c r="K424" s="1"/>
  <c r="G18"/>
  <c r="L18"/>
  <c r="F22"/>
  <c r="G28"/>
  <c r="L28"/>
  <c r="J32"/>
  <c r="E33"/>
  <c r="K36"/>
  <c r="F38"/>
  <c r="K44"/>
  <c r="G53"/>
  <c r="G68" s="1"/>
  <c r="G470" s="1"/>
  <c r="G471" s="1"/>
  <c r="K57"/>
  <c r="K459" s="1"/>
  <c r="K60"/>
  <c r="K63" s="1"/>
  <c r="G63"/>
  <c r="G465" s="1"/>
  <c r="F64"/>
  <c r="F466" s="1"/>
  <c r="H66"/>
  <c r="H468" s="1"/>
  <c r="L66"/>
  <c r="L468" s="1"/>
  <c r="K67"/>
  <c r="K70" s="1"/>
  <c r="D70"/>
  <c r="H70"/>
  <c r="L70"/>
  <c r="F79"/>
  <c r="F82" s="1"/>
  <c r="K95"/>
  <c r="K433" s="1"/>
  <c r="G98"/>
  <c r="G101" s="1"/>
  <c r="L98"/>
  <c r="L436" s="1"/>
  <c r="K119"/>
  <c r="F135"/>
  <c r="F138" s="1"/>
  <c r="K150"/>
  <c r="K155"/>
  <c r="F169"/>
  <c r="F206"/>
  <c r="K199"/>
  <c r="D439"/>
  <c r="E150"/>
  <c r="E168" s="1"/>
  <c r="E205" s="1"/>
  <c r="K162"/>
  <c r="D167"/>
  <c r="D170" s="1"/>
  <c r="D173" s="1"/>
  <c r="H170"/>
  <c r="H173" s="1"/>
  <c r="H208" s="1"/>
  <c r="K180"/>
  <c r="K186"/>
  <c r="K189" s="1"/>
  <c r="K204" s="1"/>
  <c r="F207"/>
  <c r="H236"/>
  <c r="H274" s="1"/>
  <c r="K239"/>
  <c r="J307"/>
  <c r="G325"/>
  <c r="K332"/>
  <c r="K335" s="1"/>
  <c r="J374"/>
  <c r="E375"/>
  <c r="I375"/>
  <c r="H405"/>
  <c r="H408" s="1"/>
  <c r="L405"/>
  <c r="L469" s="1"/>
  <c r="E409"/>
  <c r="E473" s="1"/>
  <c r="I409"/>
  <c r="I473" s="1"/>
  <c r="D434"/>
  <c r="L434"/>
  <c r="J441"/>
  <c r="D462"/>
  <c r="K144"/>
  <c r="D150"/>
  <c r="D168" s="1"/>
  <c r="K156"/>
  <c r="F162"/>
  <c r="F165" s="1"/>
  <c r="D169"/>
  <c r="K177"/>
  <c r="F186"/>
  <c r="F189" s="1"/>
  <c r="F204" s="1"/>
  <c r="K187"/>
  <c r="K203" s="1"/>
  <c r="E233"/>
  <c r="E236" s="1"/>
  <c r="E274" s="1"/>
  <c r="J237"/>
  <c r="K237" s="1"/>
  <c r="K248"/>
  <c r="K251" s="1"/>
  <c r="K270" s="1"/>
  <c r="K254"/>
  <c r="K257" s="1"/>
  <c r="F258"/>
  <c r="F267" s="1"/>
  <c r="J306"/>
  <c r="E374"/>
  <c r="E408" s="1"/>
  <c r="K398"/>
  <c r="K401" s="1"/>
  <c r="K404" s="1"/>
  <c r="G405"/>
  <c r="G408" s="1"/>
  <c r="K164"/>
  <c r="K167" s="1"/>
  <c r="M168"/>
  <c r="M205" s="1"/>
  <c r="K171"/>
  <c r="K174"/>
  <c r="D199"/>
  <c r="D202" s="1"/>
  <c r="L221"/>
  <c r="L237" s="1"/>
  <c r="L275" s="1"/>
  <c r="D233"/>
  <c r="D236" s="1"/>
  <c r="F248"/>
  <c r="F251" s="1"/>
  <c r="F270" s="1"/>
  <c r="F254"/>
  <c r="F257" s="1"/>
  <c r="K255"/>
  <c r="K272" s="1"/>
  <c r="F276"/>
  <c r="G320"/>
  <c r="G338" s="1"/>
  <c r="G341" s="1"/>
  <c r="K357"/>
  <c r="K376" s="1"/>
  <c r="K409" s="1"/>
  <c r="J372"/>
  <c r="G429"/>
  <c r="D456"/>
  <c r="H168"/>
  <c r="H205" s="1"/>
  <c r="F473" l="1"/>
  <c r="G205"/>
  <c r="F273"/>
  <c r="K456"/>
  <c r="K375"/>
  <c r="K378" s="1"/>
  <c r="K170"/>
  <c r="K173" s="1"/>
  <c r="G469"/>
  <c r="F407"/>
  <c r="F436"/>
  <c r="F439" s="1"/>
  <c r="F404"/>
  <c r="F199"/>
  <c r="F465" s="1"/>
  <c r="K183"/>
  <c r="K233"/>
  <c r="F202"/>
  <c r="F233"/>
  <c r="D274"/>
  <c r="F236"/>
  <c r="F274" s="1"/>
  <c r="F173"/>
  <c r="F208" s="1"/>
  <c r="D208"/>
  <c r="K136"/>
  <c r="E410"/>
  <c r="E378"/>
  <c r="J344"/>
  <c r="K307"/>
  <c r="J438"/>
  <c r="J69"/>
  <c r="J472" s="1"/>
  <c r="G435"/>
  <c r="G31"/>
  <c r="G425"/>
  <c r="G440" s="1"/>
  <c r="G34"/>
  <c r="G37" s="1"/>
  <c r="D435"/>
  <c r="D31"/>
  <c r="I425"/>
  <c r="I34"/>
  <c r="L420"/>
  <c r="L32"/>
  <c r="D420"/>
  <c r="D32"/>
  <c r="D241"/>
  <c r="F238"/>
  <c r="F140"/>
  <c r="K105"/>
  <c r="K140" s="1"/>
  <c r="K465"/>
  <c r="H469"/>
  <c r="D465"/>
  <c r="L408"/>
  <c r="F459"/>
  <c r="F450"/>
  <c r="F375"/>
  <c r="K437"/>
  <c r="K28"/>
  <c r="K423"/>
  <c r="K411"/>
  <c r="K68"/>
  <c r="K470" s="1"/>
  <c r="K471" s="1"/>
  <c r="K207"/>
  <c r="K206"/>
  <c r="I410"/>
  <c r="I378"/>
  <c r="K325"/>
  <c r="K340" s="1"/>
  <c r="G344"/>
  <c r="F444"/>
  <c r="F47"/>
  <c r="L435"/>
  <c r="L31"/>
  <c r="L425"/>
  <c r="L16"/>
  <c r="D453"/>
  <c r="D66"/>
  <c r="D468" s="1"/>
  <c r="E435"/>
  <c r="E31"/>
  <c r="K422"/>
  <c r="K18"/>
  <c r="K425" s="1"/>
  <c r="D137"/>
  <c r="F100"/>
  <c r="E66"/>
  <c r="J424"/>
  <c r="J18"/>
  <c r="K208"/>
  <c r="D437"/>
  <c r="K426"/>
  <c r="K414"/>
  <c r="K441"/>
  <c r="K168"/>
  <c r="F68"/>
  <c r="K139"/>
  <c r="K135"/>
  <c r="K138" s="1"/>
  <c r="G453"/>
  <c r="G66"/>
  <c r="G468" s="1"/>
  <c r="K417"/>
  <c r="K13"/>
  <c r="K420" s="1"/>
  <c r="K444"/>
  <c r="K47"/>
  <c r="I424"/>
  <c r="I16"/>
  <c r="I438"/>
  <c r="I69"/>
  <c r="I472" s="1"/>
  <c r="F417"/>
  <c r="F13"/>
  <c r="F420" s="1"/>
  <c r="G343"/>
  <c r="K310"/>
  <c r="K344" s="1"/>
  <c r="K202"/>
  <c r="K462"/>
  <c r="H440"/>
  <c r="G436"/>
  <c r="G439" s="1"/>
  <c r="F429"/>
  <c r="K236"/>
  <c r="K274" s="1"/>
  <c r="F134"/>
  <c r="M472"/>
  <c r="H443"/>
  <c r="J342"/>
  <c r="K306"/>
  <c r="D205"/>
  <c r="F168"/>
  <c r="F205" s="1"/>
  <c r="J408"/>
  <c r="K374"/>
  <c r="K408" s="1"/>
  <c r="K275"/>
  <c r="K276"/>
  <c r="E443"/>
  <c r="E72"/>
  <c r="F432"/>
  <c r="F28"/>
  <c r="D425"/>
  <c r="D440" s="1"/>
  <c r="D34"/>
  <c r="D37" s="1"/>
  <c r="F18"/>
  <c r="G420"/>
  <c r="G32"/>
  <c r="F313"/>
  <c r="E322"/>
  <c r="K313"/>
  <c r="E314"/>
  <c r="E446"/>
  <c r="E420"/>
  <c r="E32"/>
  <c r="K450"/>
  <c r="L34"/>
  <c r="K434"/>
  <c r="K407"/>
  <c r="K134"/>
  <c r="F456"/>
  <c r="H438"/>
  <c r="K238"/>
  <c r="F469"/>
  <c r="K432"/>
  <c r="F374"/>
  <c r="F408" s="1"/>
  <c r="H69"/>
  <c r="H472" s="1"/>
  <c r="L101"/>
  <c r="G100"/>
  <c r="H72"/>
  <c r="H474" s="1"/>
  <c r="K98"/>
  <c r="K101" s="1"/>
  <c r="K439" s="1"/>
  <c r="K469" l="1"/>
  <c r="K205"/>
  <c r="K410"/>
  <c r="K314"/>
  <c r="E320"/>
  <c r="F314"/>
  <c r="E447"/>
  <c r="G438"/>
  <c r="G69"/>
  <c r="K343"/>
  <c r="G473"/>
  <c r="F410"/>
  <c r="F378"/>
  <c r="D277"/>
  <c r="F241"/>
  <c r="K436"/>
  <c r="K455"/>
  <c r="L440"/>
  <c r="L37"/>
  <c r="F322"/>
  <c r="F446"/>
  <c r="D443"/>
  <c r="D72"/>
  <c r="F37"/>
  <c r="K66"/>
  <c r="L438"/>
  <c r="L69"/>
  <c r="L472" s="1"/>
  <c r="G137"/>
  <c r="K100"/>
  <c r="K137" s="1"/>
  <c r="E340"/>
  <c r="E455"/>
  <c r="F425"/>
  <c r="F440" s="1"/>
  <c r="F34"/>
  <c r="J425"/>
  <c r="J34"/>
  <c r="L423"/>
  <c r="L33"/>
  <c r="L439" s="1"/>
  <c r="F66"/>
  <c r="K473"/>
  <c r="M473" s="1"/>
  <c r="F137"/>
  <c r="E438"/>
  <c r="E69"/>
  <c r="K322"/>
  <c r="K446"/>
  <c r="F435"/>
  <c r="F31"/>
  <c r="I423"/>
  <c r="I33"/>
  <c r="I439" s="1"/>
  <c r="K435"/>
  <c r="K31"/>
  <c r="D438"/>
  <c r="F32"/>
  <c r="D69"/>
  <c r="D472" s="1"/>
  <c r="I440"/>
  <c r="I37"/>
  <c r="G443"/>
  <c r="G72"/>
  <c r="G474" s="1"/>
  <c r="J16"/>
  <c r="K32"/>
  <c r="K438" l="1"/>
  <c r="K69"/>
  <c r="I443"/>
  <c r="I72"/>
  <c r="I474" s="1"/>
  <c r="L443"/>
  <c r="L72"/>
  <c r="L474" s="1"/>
  <c r="K320"/>
  <c r="K447"/>
  <c r="D474"/>
  <c r="F438"/>
  <c r="F69"/>
  <c r="F443"/>
  <c r="F72"/>
  <c r="F340"/>
  <c r="F455"/>
  <c r="E338"/>
  <c r="E453"/>
  <c r="G472"/>
  <c r="E344"/>
  <c r="E474" s="1"/>
  <c r="E470"/>
  <c r="E471" s="1"/>
  <c r="F320"/>
  <c r="F447"/>
  <c r="J423"/>
  <c r="J33"/>
  <c r="J439" s="1"/>
  <c r="J440"/>
  <c r="J37"/>
  <c r="K34"/>
  <c r="K241"/>
  <c r="K277" s="1"/>
  <c r="F277"/>
  <c r="F338" l="1"/>
  <c r="F453"/>
  <c r="J443"/>
  <c r="J72"/>
  <c r="J474" s="1"/>
  <c r="F344"/>
  <c r="F474" s="1"/>
  <c r="F470"/>
  <c r="F471" s="1"/>
  <c r="K440"/>
  <c r="K37"/>
  <c r="K338"/>
  <c r="K453"/>
  <c r="E341"/>
  <c r="E472" s="1"/>
  <c r="E468"/>
  <c r="F341" l="1"/>
  <c r="F472" s="1"/>
  <c r="F468"/>
  <c r="K443"/>
  <c r="K72"/>
  <c r="K474" s="1"/>
  <c r="K341"/>
  <c r="K472" s="1"/>
  <c r="K468"/>
</calcChain>
</file>

<file path=xl/comments1.xml><?xml version="1.0" encoding="utf-8"?>
<comments xmlns="http://schemas.openxmlformats.org/spreadsheetml/2006/main">
  <authors>
    <author>maricica</author>
  </authors>
  <commentList>
    <comment ref="J22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91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159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227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296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363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  <comment ref="J429" authorId="0">
      <text>
        <r>
          <rPr>
            <b/>
            <sz val="9"/>
            <color indexed="81"/>
            <rFont val="Tahoma"/>
            <family val="2"/>
            <charset val="238"/>
          </rPr>
          <t>maricica:</t>
        </r>
        <r>
          <rPr>
            <sz val="9"/>
            <color indexed="81"/>
            <rFont val="Tahoma"/>
            <family val="2"/>
            <charset val="238"/>
          </rPr>
          <t xml:space="preserve">
factura storno de 3,98 lei</t>
        </r>
      </text>
    </comment>
  </commentList>
</comments>
</file>

<file path=xl/sharedStrings.xml><?xml version="1.0" encoding="utf-8"?>
<sst xmlns="http://schemas.openxmlformats.org/spreadsheetml/2006/main" count="626" uniqueCount="58">
  <si>
    <t>CONTRACTAT REALIZAT DECONTAT AN 2023</t>
  </si>
  <si>
    <t>UNITATEA SPITALICEASCA</t>
  </si>
  <si>
    <t>PERIOADA</t>
  </si>
  <si>
    <t>LUNA</t>
  </si>
  <si>
    <t>DRG</t>
  </si>
  <si>
    <t>CRONICI</t>
  </si>
  <si>
    <t>Total  DRG+ CRONICI</t>
  </si>
  <si>
    <t>SPIT. ZI</t>
  </si>
  <si>
    <t>ATI
1%</t>
  </si>
  <si>
    <t>dif.cheltuieli efective decembrie 2021</t>
  </si>
  <si>
    <t>dif.cheltuieli efective peste val. ctr. 2022</t>
  </si>
  <si>
    <t>TOTAL CONTRACT 2023</t>
  </si>
  <si>
    <t>NORMA HRANA 2023</t>
  </si>
  <si>
    <t>SPITALUL JUDETEAN DE URGENTA VASLUI</t>
  </si>
  <si>
    <t>IAN</t>
  </si>
  <si>
    <t>CONTRACTAT</t>
  </si>
  <si>
    <t>REALIZAT</t>
  </si>
  <si>
    <t>Decont SIUI</t>
  </si>
  <si>
    <t>FEB</t>
  </si>
  <si>
    <t>MAR</t>
  </si>
  <si>
    <t>TRIM I</t>
  </si>
  <si>
    <t>REALIZ REGUL,</t>
  </si>
  <si>
    <t>DECONT REGULARIZARE</t>
  </si>
  <si>
    <t>TOTAL DECONT</t>
  </si>
  <si>
    <t>APR</t>
  </si>
  <si>
    <t>MAI</t>
  </si>
  <si>
    <t>IUNIE</t>
  </si>
  <si>
    <t>TRIM II</t>
  </si>
  <si>
    <t>DISPONIBIL</t>
  </si>
  <si>
    <t>SEM I</t>
  </si>
  <si>
    <t>IULIE</t>
  </si>
  <si>
    <t>AUGUST</t>
  </si>
  <si>
    <t>SEPTEMBRIE</t>
  </si>
  <si>
    <t>TRIM III</t>
  </si>
  <si>
    <t>DECONTAT</t>
  </si>
  <si>
    <t>OCTOMBRIE</t>
  </si>
  <si>
    <t>NOIEMBRIE</t>
  </si>
  <si>
    <t>DECEMBRIE</t>
  </si>
  <si>
    <t>TRIM IV</t>
  </si>
  <si>
    <t>SEM II</t>
  </si>
  <si>
    <t>TOTAL AN 2023</t>
  </si>
  <si>
    <t>REALIZAT REG</t>
  </si>
  <si>
    <t>SPITALUL MUNICIPAL ELENA BELDIMAN</t>
  </si>
  <si>
    <t>DECONT REG</t>
  </si>
  <si>
    <t>SPITALUL MUNICIPAL DIMITRIE CASTROIAN HUSI</t>
  </si>
  <si>
    <t>REALIZ REG.</t>
  </si>
  <si>
    <t>SPITALUL DE PSIHIATRIE MURGENI</t>
  </si>
  <si>
    <t>REALIZ. REG</t>
  </si>
  <si>
    <t>REALIZAT/ LUNI</t>
  </si>
  <si>
    <t>RELIZAT REG</t>
  </si>
  <si>
    <t xml:space="preserve">SPITALIS </t>
  </si>
  <si>
    <t>realiz reg</t>
  </si>
  <si>
    <t>SC RECUMED SRL VASLUI</t>
  </si>
  <si>
    <t>TOTAL SPITALE</t>
  </si>
  <si>
    <t>decontat</t>
  </si>
  <si>
    <t>REALIZAT Regularizare</t>
  </si>
  <si>
    <t>CA</t>
  </si>
  <si>
    <t>REZ, TRM IV</t>
  </si>
</sst>
</file>

<file path=xl/styles.xml><?xml version="1.0" encoding="utf-8"?>
<styleSheet xmlns="http://schemas.openxmlformats.org/spreadsheetml/2006/main">
  <numFmts count="1">
    <numFmt numFmtId="43" formatCode="_-* #,##0.00\ _l_e_i_-;\-* #,##0.00\ _l_e_i_-;_-* &quot;-&quot;??\ _l_e_i_-;_-@_-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6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6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6"/>
      <name val="Arial"/>
      <family val="2"/>
    </font>
    <font>
      <sz val="8"/>
      <color indexed="8"/>
      <name val="Arial"/>
      <family val="2"/>
      <charset val="238"/>
    </font>
    <font>
      <sz val="8"/>
      <color indexed="10"/>
      <name val="Arial"/>
      <family val="2"/>
    </font>
    <font>
      <sz val="5"/>
      <name val="Arial"/>
      <family val="2"/>
    </font>
    <font>
      <sz val="8"/>
      <name val="Times New Roman"/>
      <family val="1"/>
      <charset val="238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6"/>
      <name val="Arial"/>
      <family val="2"/>
      <charset val="238"/>
    </font>
    <font>
      <sz val="5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2" fillId="0" borderId="0"/>
  </cellStyleXfs>
  <cellXfs count="169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Fill="1" applyAlignment="1"/>
    <xf numFmtId="14" fontId="4" fillId="0" borderId="0" xfId="0" applyNumberFormat="1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4" fontId="7" fillId="4" borderId="6" xfId="0" applyNumberFormat="1" applyFont="1" applyFill="1" applyBorder="1"/>
    <xf numFmtId="4" fontId="7" fillId="4" borderId="6" xfId="0" applyNumberFormat="1" applyFont="1" applyFill="1" applyBorder="1" applyAlignment="1">
      <alignment horizontal="right"/>
    </xf>
    <xf numFmtId="4" fontId="2" fillId="4" borderId="0" xfId="0" applyNumberFormat="1" applyFont="1" applyFill="1"/>
    <xf numFmtId="4" fontId="7" fillId="4" borderId="7" xfId="0" applyNumberFormat="1" applyFont="1" applyFill="1" applyBorder="1"/>
    <xf numFmtId="4" fontId="7" fillId="4" borderId="7" xfId="0" applyNumberFormat="1" applyFont="1" applyFill="1" applyBorder="1" applyAlignment="1">
      <alignment horizontal="right"/>
    </xf>
    <xf numFmtId="4" fontId="8" fillId="4" borderId="7" xfId="0" applyNumberFormat="1" applyFont="1" applyFill="1" applyBorder="1"/>
    <xf numFmtId="0" fontId="2" fillId="4" borderId="0" xfId="0" applyFont="1" applyFill="1"/>
    <xf numFmtId="4" fontId="10" fillId="4" borderId="7" xfId="0" applyNumberFormat="1" applyFont="1" applyFill="1" applyBorder="1"/>
    <xf numFmtId="4" fontId="11" fillId="4" borderId="7" xfId="0" applyNumberFormat="1" applyFont="1" applyFill="1" applyBorder="1"/>
    <xf numFmtId="4" fontId="6" fillId="4" borderId="9" xfId="0" applyNumberFormat="1" applyFont="1" applyFill="1" applyBorder="1" applyAlignment="1">
      <alignment horizontal="right"/>
    </xf>
    <xf numFmtId="0" fontId="7" fillId="4" borderId="0" xfId="2" applyFont="1" applyFill="1"/>
    <xf numFmtId="2" fontId="7" fillId="4" borderId="0" xfId="3" applyNumberFormat="1" applyFont="1" applyFill="1"/>
    <xf numFmtId="4" fontId="15" fillId="5" borderId="7" xfId="0" applyNumberFormat="1" applyFont="1" applyFill="1" applyBorder="1"/>
    <xf numFmtId="4" fontId="15" fillId="5" borderId="7" xfId="0" applyNumberFormat="1" applyFont="1" applyFill="1" applyBorder="1" applyAlignment="1">
      <alignment horizontal="right"/>
    </xf>
    <xf numFmtId="0" fontId="0" fillId="5" borderId="0" xfId="0" applyFill="1"/>
    <xf numFmtId="4" fontId="0" fillId="5" borderId="0" xfId="0" applyNumberFormat="1" applyFill="1"/>
    <xf numFmtId="4" fontId="16" fillId="5" borderId="7" xfId="0" applyNumberFormat="1" applyFont="1" applyFill="1" applyBorder="1"/>
    <xf numFmtId="4" fontId="4" fillId="4" borderId="6" xfId="0" applyNumberFormat="1" applyFont="1" applyFill="1" applyBorder="1"/>
    <xf numFmtId="4" fontId="4" fillId="4" borderId="6" xfId="0" applyNumberFormat="1" applyFont="1" applyFill="1" applyBorder="1" applyAlignment="1">
      <alignment horizontal="right"/>
    </xf>
    <xf numFmtId="0" fontId="12" fillId="0" borderId="0" xfId="0" applyFont="1"/>
    <xf numFmtId="4" fontId="4" fillId="4" borderId="7" xfId="0" applyNumberFormat="1" applyFont="1" applyFill="1" applyBorder="1"/>
    <xf numFmtId="4" fontId="4" fillId="4" borderId="7" xfId="0" applyNumberFormat="1" applyFont="1" applyFill="1" applyBorder="1" applyAlignment="1">
      <alignment horizontal="right"/>
    </xf>
    <xf numFmtId="4" fontId="5" fillId="4" borderId="7" xfId="0" applyNumberFormat="1" applyFont="1" applyFill="1" applyBorder="1"/>
    <xf numFmtId="4" fontId="0" fillId="0" borderId="0" xfId="0" applyNumberFormat="1"/>
    <xf numFmtId="4" fontId="4" fillId="0" borderId="10" xfId="0" applyNumberFormat="1" applyFont="1" applyBorder="1" applyAlignment="1">
      <alignment horizontal="right"/>
    </xf>
    <xf numFmtId="4" fontId="7" fillId="7" borderId="10" xfId="0" applyNumberFormat="1" applyFont="1" applyFill="1" applyBorder="1" applyAlignment="1">
      <alignment horizontal="right"/>
    </xf>
    <xf numFmtId="4" fontId="0" fillId="7" borderId="0" xfId="0" applyNumberFormat="1" applyFill="1"/>
    <xf numFmtId="4" fontId="18" fillId="7" borderId="10" xfId="0" applyNumberFormat="1" applyFont="1" applyFill="1" applyBorder="1" applyAlignment="1">
      <alignment horizontal="right"/>
    </xf>
    <xf numFmtId="0" fontId="4" fillId="4" borderId="0" xfId="2" applyFont="1" applyFill="1"/>
    <xf numFmtId="2" fontId="4" fillId="4" borderId="0" xfId="2" applyNumberFormat="1" applyFont="1" applyFill="1"/>
    <xf numFmtId="4" fontId="4" fillId="8" borderId="10" xfId="0" applyNumberFormat="1" applyFont="1" applyFill="1" applyBorder="1" applyAlignment="1">
      <alignment horizontal="right"/>
    </xf>
    <xf numFmtId="4" fontId="4" fillId="9" borderId="10" xfId="0" applyNumberFormat="1" applyFont="1" applyFill="1" applyBorder="1" applyAlignment="1">
      <alignment horizontal="right"/>
    </xf>
    <xf numFmtId="4" fontId="19" fillId="10" borderId="10" xfId="0" applyNumberFormat="1" applyFont="1" applyFill="1" applyBorder="1" applyAlignment="1">
      <alignment horizontal="right"/>
    </xf>
    <xf numFmtId="0" fontId="0" fillId="10" borderId="0" xfId="0" applyFill="1"/>
    <xf numFmtId="4" fontId="4" fillId="0" borderId="10" xfId="0" applyNumberFormat="1" applyFont="1" applyFill="1" applyBorder="1" applyAlignment="1">
      <alignment horizontal="right"/>
    </xf>
    <xf numFmtId="4" fontId="4" fillId="6" borderId="10" xfId="0" applyNumberFormat="1" applyFont="1" applyFill="1" applyBorder="1" applyAlignment="1">
      <alignment horizontal="right"/>
    </xf>
    <xf numFmtId="4" fontId="4" fillId="11" borderId="10" xfId="0" applyNumberFormat="1" applyFont="1" applyFill="1" applyBorder="1" applyAlignment="1">
      <alignment horizontal="right"/>
    </xf>
    <xf numFmtId="4" fontId="15" fillId="12" borderId="7" xfId="0" applyNumberFormat="1" applyFont="1" applyFill="1" applyBorder="1"/>
    <xf numFmtId="4" fontId="15" fillId="12" borderId="7" xfId="0" applyNumberFormat="1" applyFont="1" applyFill="1" applyBorder="1" applyAlignment="1">
      <alignment horizontal="right"/>
    </xf>
    <xf numFmtId="4" fontId="15" fillId="12" borderId="10" xfId="0" applyNumberFormat="1" applyFont="1" applyFill="1" applyBorder="1" applyAlignment="1">
      <alignment horizontal="right"/>
    </xf>
    <xf numFmtId="4" fontId="16" fillId="12" borderId="7" xfId="0" applyNumberFormat="1" applyFont="1" applyFill="1" applyBorder="1"/>
    <xf numFmtId="4" fontId="7" fillId="8" borderId="10" xfId="0" applyNumberFormat="1" applyFont="1" applyFill="1" applyBorder="1" applyAlignment="1">
      <alignment horizontal="right"/>
    </xf>
    <xf numFmtId="4" fontId="18" fillId="6" borderId="10" xfId="0" applyNumberFormat="1" applyFont="1" applyFill="1" applyBorder="1" applyAlignment="1">
      <alignment horizontal="right"/>
    </xf>
    <xf numFmtId="2" fontId="4" fillId="4" borderId="0" xfId="3" applyNumberFormat="1" applyFont="1" applyFill="1"/>
    <xf numFmtId="4" fontId="4" fillId="13" borderId="10" xfId="0" applyNumberFormat="1" applyFont="1" applyFill="1" applyBorder="1" applyAlignment="1">
      <alignment horizontal="right"/>
    </xf>
    <xf numFmtId="0" fontId="0" fillId="9" borderId="0" xfId="0" applyFill="1"/>
    <xf numFmtId="4" fontId="15" fillId="14" borderId="7" xfId="0" applyNumberFormat="1" applyFont="1" applyFill="1" applyBorder="1"/>
    <xf numFmtId="4" fontId="15" fillId="14" borderId="7" xfId="0" applyNumberFormat="1" applyFont="1" applyFill="1" applyBorder="1" applyAlignment="1">
      <alignment horizontal="right"/>
    </xf>
    <xf numFmtId="4" fontId="15" fillId="14" borderId="10" xfId="0" applyNumberFormat="1" applyFont="1" applyFill="1" applyBorder="1" applyAlignment="1">
      <alignment horizontal="right"/>
    </xf>
    <xf numFmtId="4" fontId="16" fillId="14" borderId="7" xfId="0" applyNumberFormat="1" applyFont="1" applyFill="1" applyBorder="1"/>
    <xf numFmtId="43" fontId="21" fillId="4" borderId="0" xfId="1" applyFont="1" applyFill="1" applyAlignment="1">
      <alignment horizontal="right"/>
    </xf>
    <xf numFmtId="4" fontId="15" fillId="15" borderId="7" xfId="0" applyNumberFormat="1" applyFont="1" applyFill="1" applyBorder="1"/>
    <xf numFmtId="4" fontId="15" fillId="15" borderId="7" xfId="0" applyNumberFormat="1" applyFont="1" applyFill="1" applyBorder="1" applyAlignment="1">
      <alignment horizontal="right"/>
    </xf>
    <xf numFmtId="0" fontId="0" fillId="15" borderId="0" xfId="0" applyFill="1"/>
    <xf numFmtId="4" fontId="16" fillId="15" borderId="7" xfId="0" applyNumberFormat="1" applyFont="1" applyFill="1" applyBorder="1"/>
    <xf numFmtId="43" fontId="21" fillId="4" borderId="7" xfId="1" applyFont="1" applyFill="1" applyBorder="1" applyAlignment="1">
      <alignment horizontal="right"/>
    </xf>
    <xf numFmtId="4" fontId="23" fillId="14" borderId="7" xfId="0" applyNumberFormat="1" applyFont="1" applyFill="1" applyBorder="1"/>
    <xf numFmtId="4" fontId="23" fillId="14" borderId="7" xfId="0" applyNumberFormat="1" applyFont="1" applyFill="1" applyBorder="1" applyAlignment="1">
      <alignment horizontal="right"/>
    </xf>
    <xf numFmtId="4" fontId="24" fillId="14" borderId="7" xfId="0" applyNumberFormat="1" applyFont="1" applyFill="1" applyBorder="1"/>
    <xf numFmtId="4" fontId="4" fillId="13" borderId="7" xfId="0" applyNumberFormat="1" applyFont="1" applyFill="1" applyBorder="1" applyAlignment="1">
      <alignment horizontal="right"/>
    </xf>
    <xf numFmtId="4" fontId="4" fillId="16" borderId="7" xfId="0" applyNumberFormat="1" applyFont="1" applyFill="1" applyBorder="1"/>
    <xf numFmtId="4" fontId="4" fillId="16" borderId="7" xfId="0" applyNumberFormat="1" applyFont="1" applyFill="1" applyBorder="1" applyAlignment="1">
      <alignment horizontal="right"/>
    </xf>
    <xf numFmtId="4" fontId="4" fillId="16" borderId="10" xfId="0" applyNumberFormat="1" applyFont="1" applyFill="1" applyBorder="1" applyAlignment="1">
      <alignment horizontal="right"/>
    </xf>
    <xf numFmtId="0" fontId="11" fillId="0" borderId="0" xfId="0" applyFont="1"/>
    <xf numFmtId="4" fontId="3" fillId="16" borderId="0" xfId="0" applyNumberFormat="1" applyFont="1" applyFill="1"/>
    <xf numFmtId="4" fontId="5" fillId="16" borderId="7" xfId="0" applyNumberFormat="1" applyFont="1" applyFill="1" applyBorder="1"/>
    <xf numFmtId="0" fontId="13" fillId="16" borderId="0" xfId="0" applyFont="1" applyFill="1"/>
    <xf numFmtId="0" fontId="6" fillId="0" borderId="0" xfId="0" applyFont="1"/>
    <xf numFmtId="43" fontId="6" fillId="0" borderId="0" xfId="1" applyNumberFormat="1" applyFont="1" applyAlignment="1">
      <alignment horizontal="right"/>
    </xf>
    <xf numFmtId="2" fontId="4" fillId="0" borderId="0" xfId="2" applyNumberFormat="1" applyFont="1"/>
    <xf numFmtId="0" fontId="25" fillId="0" borderId="0" xfId="0" applyFont="1"/>
    <xf numFmtId="0" fontId="7" fillId="0" borderId="0" xfId="0" applyFont="1"/>
    <xf numFmtId="43" fontId="25" fillId="0" borderId="0" xfId="0" applyNumberFormat="1" applyFont="1"/>
    <xf numFmtId="43" fontId="26" fillId="0" borderId="0" xfId="0" applyNumberFormat="1" applyFont="1"/>
    <xf numFmtId="43" fontId="25" fillId="0" borderId="0" xfId="1" applyFont="1"/>
    <xf numFmtId="0" fontId="7" fillId="0" borderId="0" xfId="0" applyFont="1" applyAlignment="1">
      <alignment horizontal="left"/>
    </xf>
    <xf numFmtId="9" fontId="7" fillId="0" borderId="0" xfId="0" applyNumberFormat="1" applyFont="1" applyAlignment="1">
      <alignment horizontal="left"/>
    </xf>
    <xf numFmtId="4" fontId="7" fillId="0" borderId="0" xfId="0" applyNumberFormat="1" applyFont="1"/>
    <xf numFmtId="2" fontId="4" fillId="4" borderId="7" xfId="2" applyNumberFormat="1" applyFont="1" applyFill="1" applyBorder="1"/>
    <xf numFmtId="4" fontId="7" fillId="8" borderId="9" xfId="0" applyNumberFormat="1" applyFont="1" applyFill="1" applyBorder="1" applyAlignment="1">
      <alignment horizontal="right"/>
    </xf>
    <xf numFmtId="0" fontId="12" fillId="0" borderId="0" xfId="0" applyFont="1" applyBorder="1"/>
    <xf numFmtId="0" fontId="4" fillId="14" borderId="7" xfId="0" applyFont="1" applyFill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0" fontId="14" fillId="16" borderId="7" xfId="0" applyFont="1" applyFill="1" applyBorder="1" applyAlignment="1">
      <alignment vertical="center" textRotation="45" wrapText="1"/>
    </xf>
    <xf numFmtId="0" fontId="4" fillId="14" borderId="8" xfId="0" applyFont="1" applyFill="1" applyBorder="1" applyAlignment="1">
      <alignment horizontal="center" vertical="center" textRotation="255" wrapText="1"/>
    </xf>
    <xf numFmtId="0" fontId="4" fillId="14" borderId="5" xfId="0" applyFont="1" applyFill="1" applyBorder="1" applyAlignment="1">
      <alignment horizontal="center" vertical="center" textRotation="255" wrapText="1"/>
    </xf>
    <xf numFmtId="0" fontId="12" fillId="14" borderId="5" xfId="0" applyFont="1" applyFill="1" applyBorder="1" applyAlignment="1">
      <alignment horizontal="center" vertical="center" textRotation="255" wrapText="1"/>
    </xf>
    <xf numFmtId="0" fontId="0" fillId="14" borderId="5" xfId="0" applyFill="1" applyBorder="1" applyAlignment="1">
      <alignment textRotation="255"/>
    </xf>
    <xf numFmtId="0" fontId="3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>
      <alignment horizontal="center" vertical="center" wrapText="1"/>
    </xf>
    <xf numFmtId="2" fontId="3" fillId="4" borderId="8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  <xf numFmtId="0" fontId="22" fillId="14" borderId="8" xfId="0" applyFont="1" applyFill="1" applyBorder="1" applyAlignment="1">
      <alignment vertical="center" textRotation="45" wrapText="1"/>
    </xf>
    <xf numFmtId="0" fontId="22" fillId="14" borderId="5" xfId="0" applyFont="1" applyFill="1" applyBorder="1" applyAlignment="1">
      <alignment vertical="center" textRotation="45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textRotation="255" wrapText="1"/>
    </xf>
    <xf numFmtId="0" fontId="4" fillId="6" borderId="5" xfId="0" applyFont="1" applyFill="1" applyBorder="1" applyAlignment="1">
      <alignment horizontal="center" vertical="center" textRotation="255" wrapText="1"/>
    </xf>
    <xf numFmtId="0" fontId="12" fillId="6" borderId="5" xfId="0" applyFont="1" applyFill="1" applyBorder="1" applyAlignment="1">
      <alignment horizontal="center" vertical="center" textRotation="255" wrapText="1"/>
    </xf>
    <xf numFmtId="0" fontId="0" fillId="6" borderId="5" xfId="0" applyFill="1" applyBorder="1" applyAlignment="1">
      <alignment textRotation="255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4" fillId="15" borderId="7" xfId="0" applyFont="1" applyFill="1" applyBorder="1" applyAlignment="1">
      <alignment vertical="center" textRotation="45" wrapText="1"/>
    </xf>
    <xf numFmtId="0" fontId="0" fillId="6" borderId="5" xfId="0" applyFill="1" applyBorder="1" applyAlignment="1">
      <alignment textRotation="255" wrapText="1"/>
    </xf>
    <xf numFmtId="0" fontId="14" fillId="14" borderId="7" xfId="0" applyFont="1" applyFill="1" applyBorder="1" applyAlignment="1">
      <alignment vertical="center" textRotation="4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12" fillId="2" borderId="5" xfId="0" applyFont="1" applyFill="1" applyBorder="1" applyAlignment="1">
      <alignment horizontal="center" vertical="center" textRotation="255" wrapText="1"/>
    </xf>
    <xf numFmtId="0" fontId="0" fillId="2" borderId="5" xfId="0" applyFill="1" applyBorder="1" applyAlignment="1">
      <alignment textRotation="255"/>
    </xf>
    <xf numFmtId="2" fontId="20" fillId="0" borderId="8" xfId="0" applyNumberFormat="1" applyFont="1" applyBorder="1" applyAlignment="1">
      <alignment horizontal="center" vertical="center" wrapText="1"/>
    </xf>
    <xf numFmtId="2" fontId="20" fillId="0" borderId="5" xfId="0" applyNumberFormat="1" applyFont="1" applyBorder="1" applyAlignment="1">
      <alignment horizontal="center" vertical="center" wrapText="1"/>
    </xf>
    <xf numFmtId="2" fontId="3" fillId="8" borderId="8" xfId="0" applyNumberFormat="1" applyFont="1" applyFill="1" applyBorder="1" applyAlignment="1">
      <alignment horizontal="center" vertical="center"/>
    </xf>
    <xf numFmtId="2" fontId="3" fillId="8" borderId="5" xfId="0" applyNumberFormat="1" applyFont="1" applyFill="1" applyBorder="1" applyAlignment="1">
      <alignment horizontal="center" vertical="center"/>
    </xf>
    <xf numFmtId="0" fontId="14" fillId="12" borderId="7" xfId="0" applyFont="1" applyFill="1" applyBorder="1" applyAlignment="1">
      <alignment vertical="center" textRotation="45" wrapText="1"/>
    </xf>
    <xf numFmtId="2" fontId="6" fillId="4" borderId="8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textRotation="255" wrapText="1"/>
    </xf>
    <xf numFmtId="0" fontId="4" fillId="3" borderId="5" xfId="0" applyFont="1" applyFill="1" applyBorder="1" applyAlignment="1">
      <alignment horizontal="center" vertical="center" textRotation="255" wrapText="1"/>
    </xf>
    <xf numFmtId="0" fontId="12" fillId="3" borderId="5" xfId="0" applyFont="1" applyFill="1" applyBorder="1" applyAlignment="1">
      <alignment horizontal="center" vertical="center" textRotation="255" wrapText="1"/>
    </xf>
    <xf numFmtId="0" fontId="0" fillId="0" borderId="5" xfId="0" applyBorder="1" applyAlignment="1">
      <alignment textRotation="255"/>
    </xf>
    <xf numFmtId="0" fontId="6" fillId="4" borderId="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vertical="center" textRotation="45" wrapText="1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0"/>
  <sheetViews>
    <sheetView tabSelected="1" topLeftCell="A448" zoomScale="110" zoomScaleNormal="110" workbookViewId="0">
      <selection activeCell="O467" sqref="O467"/>
    </sheetView>
  </sheetViews>
  <sheetFormatPr defaultRowHeight="15"/>
  <cols>
    <col min="1" max="1" width="9.140625" customWidth="1"/>
    <col min="2" max="2" width="9.42578125" style="2" customWidth="1"/>
    <col min="3" max="3" width="13.42578125" customWidth="1"/>
    <col min="4" max="4" width="13.28515625" customWidth="1"/>
    <col min="5" max="5" width="12.28515625" customWidth="1"/>
    <col min="6" max="6" width="12.85546875" customWidth="1"/>
    <col min="7" max="7" width="12.140625" customWidth="1"/>
    <col min="8" max="8" width="10.42578125" customWidth="1"/>
    <col min="9" max="9" width="0.140625" hidden="1" customWidth="1"/>
    <col min="10" max="10" width="9.140625" hidden="1" customWidth="1"/>
    <col min="11" max="11" width="14" customWidth="1"/>
    <col min="12" max="12" width="10.140625" customWidth="1"/>
    <col min="13" max="13" width="13.85546875" hidden="1" customWidth="1"/>
    <col min="14" max="14" width="16.42578125" bestFit="1" customWidth="1"/>
  </cols>
  <sheetData>
    <row r="1" spans="1:13">
      <c r="A1" s="1" t="s">
        <v>0</v>
      </c>
      <c r="C1" s="3"/>
      <c r="D1" s="3"/>
      <c r="E1" s="3"/>
      <c r="F1" s="4"/>
      <c r="G1" s="3"/>
      <c r="H1" s="3"/>
      <c r="I1" s="3"/>
      <c r="J1" s="3"/>
      <c r="K1" s="4"/>
      <c r="L1" s="3"/>
    </row>
    <row r="2" spans="1:13" ht="15.75" thickBot="1">
      <c r="A2" s="5"/>
      <c r="C2" s="6"/>
      <c r="D2" s="6"/>
      <c r="E2" s="6"/>
      <c r="F2" s="7"/>
      <c r="G2" s="6"/>
      <c r="H2" s="6"/>
      <c r="I2" s="6"/>
      <c r="J2" s="6"/>
      <c r="K2" s="8"/>
      <c r="L2" s="6"/>
    </row>
    <row r="3" spans="1:13" ht="92.25" customHeight="1" thickBot="1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2" t="s">
        <v>12</v>
      </c>
    </row>
    <row r="4" spans="1:13">
      <c r="A4" s="155" t="s">
        <v>13</v>
      </c>
      <c r="B4" s="159" t="s">
        <v>14</v>
      </c>
      <c r="C4" s="15" t="s">
        <v>15</v>
      </c>
      <c r="D4" s="16">
        <f>4703821.58-470899.63</f>
        <v>4232921.95</v>
      </c>
      <c r="E4" s="16">
        <f>559899.63-220170.51</f>
        <v>339729.12</v>
      </c>
      <c r="F4" s="16">
        <f t="shared" ref="F4:F12" si="0">D4+E4</f>
        <v>4572651.07</v>
      </c>
      <c r="G4" s="16">
        <f>380536.05-94574.78</f>
        <v>285961.27</v>
      </c>
      <c r="H4" s="16">
        <v>0</v>
      </c>
      <c r="I4" s="16">
        <v>0</v>
      </c>
      <c r="J4" s="16">
        <v>0</v>
      </c>
      <c r="K4" s="16">
        <f t="shared" ref="K4:K12" si="1">J4+I4+H4+G4+E4+D4</f>
        <v>4858612.34</v>
      </c>
      <c r="L4" s="16">
        <f>275486+36980</f>
        <v>312466</v>
      </c>
      <c r="M4" s="17"/>
    </row>
    <row r="5" spans="1:13">
      <c r="A5" s="156"/>
      <c r="B5" s="159"/>
      <c r="C5" s="18" t="s">
        <v>16</v>
      </c>
      <c r="D5" s="19">
        <v>4232055.01</v>
      </c>
      <c r="E5" s="19">
        <v>339729.12</v>
      </c>
      <c r="F5" s="19">
        <f t="shared" si="0"/>
        <v>4571784.13</v>
      </c>
      <c r="G5" s="19">
        <v>285961.27</v>
      </c>
      <c r="H5" s="19">
        <v>0</v>
      </c>
      <c r="I5" s="19">
        <v>0</v>
      </c>
      <c r="J5" s="19">
        <v>0</v>
      </c>
      <c r="K5" s="19">
        <f t="shared" si="1"/>
        <v>4857745.3999999994</v>
      </c>
      <c r="L5" s="19">
        <v>312466</v>
      </c>
      <c r="M5" s="17"/>
    </row>
    <row r="6" spans="1:13">
      <c r="A6" s="156"/>
      <c r="B6" s="159"/>
      <c r="C6" s="20" t="s">
        <v>17</v>
      </c>
      <c r="D6" s="19">
        <v>4232055.01</v>
      </c>
      <c r="E6" s="19">
        <v>339729.12</v>
      </c>
      <c r="F6" s="19">
        <f t="shared" si="0"/>
        <v>4571784.13</v>
      </c>
      <c r="G6" s="19">
        <v>285961.27</v>
      </c>
      <c r="H6" s="19">
        <v>0</v>
      </c>
      <c r="I6" s="19">
        <v>0</v>
      </c>
      <c r="J6" s="19">
        <v>0</v>
      </c>
      <c r="K6" s="19">
        <f t="shared" si="1"/>
        <v>4857745.3999999994</v>
      </c>
      <c r="L6" s="19">
        <v>312466</v>
      </c>
      <c r="M6" s="17"/>
    </row>
    <row r="7" spans="1:13">
      <c r="A7" s="156"/>
      <c r="B7" s="160" t="s">
        <v>18</v>
      </c>
      <c r="C7" s="18" t="s">
        <v>15</v>
      </c>
      <c r="D7" s="19">
        <f>4703821.58-243211.9-1873.9</f>
        <v>4458735.7799999993</v>
      </c>
      <c r="E7" s="19">
        <f>559899.63-146777.44</f>
        <v>413122.19</v>
      </c>
      <c r="F7" s="19">
        <f t="shared" si="0"/>
        <v>4871857.97</v>
      </c>
      <c r="G7" s="19">
        <f>402011.29-91822.55</f>
        <v>310188.74</v>
      </c>
      <c r="H7" s="19">
        <v>0</v>
      </c>
      <c r="I7" s="19">
        <v>0</v>
      </c>
      <c r="J7" s="19">
        <v>0</v>
      </c>
      <c r="K7" s="19">
        <f t="shared" si="1"/>
        <v>5182046.709999999</v>
      </c>
      <c r="L7" s="19">
        <v>302830</v>
      </c>
      <c r="M7" s="21"/>
    </row>
    <row r="8" spans="1:13">
      <c r="A8" s="156"/>
      <c r="B8" s="159"/>
      <c r="C8" s="18" t="s">
        <v>16</v>
      </c>
      <c r="D8" s="19">
        <v>4224925.8600000003</v>
      </c>
      <c r="E8" s="19">
        <v>413122.19</v>
      </c>
      <c r="F8" s="19">
        <f t="shared" si="0"/>
        <v>4638048.0500000007</v>
      </c>
      <c r="G8" s="19">
        <v>310188.74</v>
      </c>
      <c r="H8" s="19">
        <v>0</v>
      </c>
      <c r="I8" s="19">
        <v>0</v>
      </c>
      <c r="J8" s="19">
        <v>0</v>
      </c>
      <c r="K8" s="19">
        <f t="shared" si="1"/>
        <v>4948236.79</v>
      </c>
      <c r="L8" s="19">
        <v>302830</v>
      </c>
      <c r="M8" s="21"/>
    </row>
    <row r="9" spans="1:13">
      <c r="A9" s="156"/>
      <c r="B9" s="159"/>
      <c r="C9" s="20" t="s">
        <v>17</v>
      </c>
      <c r="D9" s="19">
        <v>4224925.8600000003</v>
      </c>
      <c r="E9" s="19">
        <v>413122.19</v>
      </c>
      <c r="F9" s="19">
        <f t="shared" si="0"/>
        <v>4638048.0500000007</v>
      </c>
      <c r="G9" s="19">
        <v>310188.74</v>
      </c>
      <c r="H9" s="19">
        <v>0</v>
      </c>
      <c r="I9" s="19">
        <v>0</v>
      </c>
      <c r="J9" s="19">
        <v>0</v>
      </c>
      <c r="K9" s="19">
        <f t="shared" si="1"/>
        <v>4948236.79</v>
      </c>
      <c r="L9" s="19">
        <v>302830</v>
      </c>
      <c r="M9" s="17"/>
    </row>
    <row r="10" spans="1:13">
      <c r="A10" s="156"/>
      <c r="B10" s="160" t="s">
        <v>19</v>
      </c>
      <c r="C10" s="18" t="s">
        <v>15</v>
      </c>
      <c r="D10" s="19">
        <v>4703821.58</v>
      </c>
      <c r="E10" s="19">
        <f>559899.63-75686.33</f>
        <v>484213.3</v>
      </c>
      <c r="F10" s="19">
        <f t="shared" si="0"/>
        <v>5188034.88</v>
      </c>
      <c r="G10" s="19">
        <f>402011.29-1207.11</f>
        <v>400804.18</v>
      </c>
      <c r="H10" s="19">
        <v>0</v>
      </c>
      <c r="I10" s="19">
        <v>0</v>
      </c>
      <c r="J10" s="19">
        <v>0</v>
      </c>
      <c r="K10" s="19">
        <f t="shared" si="1"/>
        <v>5588839.0600000005</v>
      </c>
      <c r="L10" s="19">
        <v>354321</v>
      </c>
      <c r="M10" s="21"/>
    </row>
    <row r="11" spans="1:13">
      <c r="A11" s="156"/>
      <c r="B11" s="159"/>
      <c r="C11" s="18" t="s">
        <v>16</v>
      </c>
      <c r="D11" s="19">
        <v>4918613.26</v>
      </c>
      <c r="E11" s="19">
        <v>489553.01</v>
      </c>
      <c r="F11" s="19">
        <f t="shared" si="0"/>
        <v>5408166.2699999996</v>
      </c>
      <c r="G11" s="19">
        <v>399843.79</v>
      </c>
      <c r="H11" s="19">
        <v>0</v>
      </c>
      <c r="I11" s="19">
        <v>0</v>
      </c>
      <c r="J11" s="19">
        <v>0</v>
      </c>
      <c r="K11" s="19">
        <f t="shared" si="1"/>
        <v>5808010.0599999996</v>
      </c>
      <c r="L11" s="19">
        <v>354321</v>
      </c>
      <c r="M11" s="21"/>
    </row>
    <row r="12" spans="1:13">
      <c r="A12" s="156"/>
      <c r="B12" s="159"/>
      <c r="C12" s="20" t="s">
        <v>17</v>
      </c>
      <c r="D12" s="19">
        <v>4703817.83</v>
      </c>
      <c r="E12" s="19">
        <v>489553.01</v>
      </c>
      <c r="F12" s="19">
        <f t="shared" si="0"/>
        <v>5193370.84</v>
      </c>
      <c r="G12" s="19">
        <v>399843.79</v>
      </c>
      <c r="H12" s="19">
        <v>0</v>
      </c>
      <c r="I12" s="19">
        <v>0</v>
      </c>
      <c r="J12" s="19">
        <v>0</v>
      </c>
      <c r="K12" s="19">
        <f t="shared" si="1"/>
        <v>5593214.6299999999</v>
      </c>
      <c r="L12" s="19">
        <v>354321</v>
      </c>
      <c r="M12" s="21"/>
    </row>
    <row r="13" spans="1:13">
      <c r="A13" s="156"/>
      <c r="B13" s="161" t="s">
        <v>20</v>
      </c>
      <c r="C13" s="18" t="s">
        <v>15</v>
      </c>
      <c r="D13" s="19">
        <f t="shared" ref="D13:G15" si="2">D10+D7+D4</f>
        <v>13395479.309999999</v>
      </c>
      <c r="E13" s="19">
        <f t="shared" si="2"/>
        <v>1237064.6099999999</v>
      </c>
      <c r="F13" s="19">
        <f t="shared" si="2"/>
        <v>14632543.92</v>
      </c>
      <c r="G13" s="19">
        <f t="shared" si="2"/>
        <v>996954.19</v>
      </c>
      <c r="H13" s="19">
        <v>223286.33</v>
      </c>
      <c r="I13" s="19">
        <f t="shared" ref="I13:K15" si="3">I10+I7+I4</f>
        <v>0</v>
      </c>
      <c r="J13" s="19">
        <f t="shared" si="3"/>
        <v>0</v>
      </c>
      <c r="K13" s="19">
        <f t="shared" si="3"/>
        <v>15629498.109999999</v>
      </c>
      <c r="L13" s="19">
        <f>L10+L7+L4+16984</f>
        <v>986601</v>
      </c>
      <c r="M13" s="17"/>
    </row>
    <row r="14" spans="1:13">
      <c r="A14" s="156"/>
      <c r="B14" s="162"/>
      <c r="C14" s="18" t="s">
        <v>16</v>
      </c>
      <c r="D14" s="19">
        <f t="shared" si="2"/>
        <v>13375594.130000001</v>
      </c>
      <c r="E14" s="19">
        <f t="shared" si="2"/>
        <v>1242404.3199999998</v>
      </c>
      <c r="F14" s="19">
        <f t="shared" si="2"/>
        <v>14617998.449999999</v>
      </c>
      <c r="G14" s="19">
        <f t="shared" si="2"/>
        <v>995993.8</v>
      </c>
      <c r="H14" s="19">
        <f>H11+H8+H5</f>
        <v>0</v>
      </c>
      <c r="I14" s="19">
        <f t="shared" si="3"/>
        <v>0</v>
      </c>
      <c r="J14" s="19">
        <f t="shared" si="3"/>
        <v>0</v>
      </c>
      <c r="K14" s="19">
        <f t="shared" si="3"/>
        <v>15613992.25</v>
      </c>
      <c r="L14" s="19">
        <f>L11+L8+L5</f>
        <v>969617</v>
      </c>
      <c r="M14" s="21"/>
    </row>
    <row r="15" spans="1:13">
      <c r="A15" s="156"/>
      <c r="B15" s="162"/>
      <c r="C15" s="20" t="s">
        <v>17</v>
      </c>
      <c r="D15" s="19">
        <f t="shared" si="2"/>
        <v>13160798.700000001</v>
      </c>
      <c r="E15" s="19">
        <f t="shared" si="2"/>
        <v>1242404.3199999998</v>
      </c>
      <c r="F15" s="19">
        <f t="shared" si="2"/>
        <v>14403203.02</v>
      </c>
      <c r="G15" s="19">
        <f t="shared" si="2"/>
        <v>995993.8</v>
      </c>
      <c r="H15" s="19">
        <f>H12+H9+H6</f>
        <v>0</v>
      </c>
      <c r="I15" s="19">
        <f t="shared" si="3"/>
        <v>0</v>
      </c>
      <c r="J15" s="19">
        <f t="shared" si="3"/>
        <v>0</v>
      </c>
      <c r="K15" s="19">
        <f t="shared" si="3"/>
        <v>15399196.82</v>
      </c>
      <c r="L15" s="19">
        <f>L12+L9+L6</f>
        <v>969617</v>
      </c>
      <c r="M15" s="21"/>
    </row>
    <row r="16" spans="1:13">
      <c r="A16" s="156"/>
      <c r="B16" s="162"/>
      <c r="C16" s="22" t="s">
        <v>21</v>
      </c>
      <c r="D16" s="19">
        <v>13395479.310000001</v>
      </c>
      <c r="E16" s="19">
        <v>1237064.6100000001</v>
      </c>
      <c r="F16" s="19">
        <f t="shared" ref="F16:F25" si="4">D16+E16</f>
        <v>14632543.92</v>
      </c>
      <c r="G16" s="19">
        <v>996954.19</v>
      </c>
      <c r="H16" s="19">
        <v>223286.33</v>
      </c>
      <c r="I16" s="19">
        <f>I17+I18</f>
        <v>0</v>
      </c>
      <c r="J16" s="19">
        <f>J17+J18</f>
        <v>0</v>
      </c>
      <c r="K16" s="19">
        <f>F16+G16</f>
        <v>15629498.109999999</v>
      </c>
      <c r="L16" s="19">
        <f>L18</f>
        <v>986601</v>
      </c>
      <c r="M16" s="17"/>
    </row>
    <row r="17" spans="1:13">
      <c r="A17" s="156"/>
      <c r="B17" s="162"/>
      <c r="C17" s="22" t="s">
        <v>22</v>
      </c>
      <c r="D17" s="19">
        <v>234680.61</v>
      </c>
      <c r="E17" s="19">
        <v>-5339.71</v>
      </c>
      <c r="F17" s="19">
        <f t="shared" si="4"/>
        <v>229340.9</v>
      </c>
      <c r="G17" s="19">
        <v>960.39</v>
      </c>
      <c r="H17" s="19">
        <v>223286.33</v>
      </c>
      <c r="I17" s="19">
        <f>I14-I15</f>
        <v>0</v>
      </c>
      <c r="J17" s="19">
        <f>J14-J15</f>
        <v>0</v>
      </c>
      <c r="K17" s="19">
        <f>F17+G17</f>
        <v>230301.29</v>
      </c>
      <c r="L17" s="19">
        <v>16984</v>
      </c>
      <c r="M17" s="17"/>
    </row>
    <row r="18" spans="1:13">
      <c r="A18" s="156"/>
      <c r="B18" s="162"/>
      <c r="C18" s="23" t="s">
        <v>23</v>
      </c>
      <c r="D18" s="19">
        <f>D15+D17</f>
        <v>13395479.310000001</v>
      </c>
      <c r="E18" s="19">
        <f>E15+E17</f>
        <v>1237064.6099999999</v>
      </c>
      <c r="F18" s="19">
        <f t="shared" si="4"/>
        <v>14632543.92</v>
      </c>
      <c r="G18" s="19">
        <f>G15+G17</f>
        <v>996954.19000000006</v>
      </c>
      <c r="H18" s="19">
        <v>223286.33</v>
      </c>
      <c r="I18" s="19">
        <f>I15+I17</f>
        <v>0</v>
      </c>
      <c r="J18" s="19">
        <f>J15+J17</f>
        <v>0</v>
      </c>
      <c r="K18" s="19">
        <f>K15+K17</f>
        <v>15629498.109999999</v>
      </c>
      <c r="L18" s="19">
        <f>L15+L17</f>
        <v>986601</v>
      </c>
      <c r="M18" s="24"/>
    </row>
    <row r="19" spans="1:13">
      <c r="A19" s="157"/>
      <c r="B19" s="163" t="s">
        <v>24</v>
      </c>
      <c r="C19" s="18" t="s">
        <v>15</v>
      </c>
      <c r="D19" s="19">
        <f>4703821.58-783970.26</f>
        <v>3919851.3200000003</v>
      </c>
      <c r="E19" s="19">
        <f>559899.63-112604.71</f>
        <v>447294.92</v>
      </c>
      <c r="F19" s="19">
        <f t="shared" si="4"/>
        <v>4367146.24</v>
      </c>
      <c r="G19" s="19">
        <f>402011.29-118924.25</f>
        <v>283087.03999999998</v>
      </c>
      <c r="H19" s="19">
        <v>0</v>
      </c>
      <c r="I19" s="19">
        <v>0</v>
      </c>
      <c r="J19" s="19">
        <v>0</v>
      </c>
      <c r="K19" s="19">
        <f t="shared" ref="K19:K30" si="5">J19+I19+H19+G19+E19+D19</f>
        <v>4650233.28</v>
      </c>
      <c r="L19" s="19">
        <f>279547.71+28349-17454.71-20</f>
        <v>290422</v>
      </c>
      <c r="M19" s="21"/>
    </row>
    <row r="20" spans="1:13">
      <c r="A20" s="157"/>
      <c r="B20" s="164"/>
      <c r="C20" s="18" t="s">
        <v>16</v>
      </c>
      <c r="D20" s="19">
        <v>3919776.91</v>
      </c>
      <c r="E20" s="19">
        <v>447294.92</v>
      </c>
      <c r="F20" s="19">
        <f t="shared" si="4"/>
        <v>4367071.83</v>
      </c>
      <c r="G20" s="19">
        <v>283087.03999999998</v>
      </c>
      <c r="H20" s="19">
        <v>0</v>
      </c>
      <c r="I20" s="19">
        <v>0</v>
      </c>
      <c r="J20" s="19">
        <v>0</v>
      </c>
      <c r="K20" s="19">
        <f t="shared" si="5"/>
        <v>4650158.87</v>
      </c>
      <c r="L20" s="19">
        <v>290422</v>
      </c>
      <c r="M20" s="21"/>
    </row>
    <row r="21" spans="1:13">
      <c r="A21" s="157"/>
      <c r="B21" s="164"/>
      <c r="C21" s="20" t="s">
        <v>17</v>
      </c>
      <c r="D21" s="19">
        <v>3919776.91</v>
      </c>
      <c r="E21" s="19">
        <v>447294.92</v>
      </c>
      <c r="F21" s="19">
        <f t="shared" si="4"/>
        <v>4367071.83</v>
      </c>
      <c r="G21" s="19">
        <v>283087.03999999998</v>
      </c>
      <c r="H21" s="19">
        <v>0</v>
      </c>
      <c r="I21" s="19">
        <v>0</v>
      </c>
      <c r="J21" s="19">
        <v>0</v>
      </c>
      <c r="K21" s="19">
        <f t="shared" si="5"/>
        <v>4650158.87</v>
      </c>
      <c r="L21" s="19">
        <v>290422</v>
      </c>
      <c r="M21" s="21"/>
    </row>
    <row r="22" spans="1:13">
      <c r="A22" s="157"/>
      <c r="B22" s="163" t="s">
        <v>25</v>
      </c>
      <c r="C22" s="18" t="s">
        <v>15</v>
      </c>
      <c r="D22" s="19">
        <v>4703821.58</v>
      </c>
      <c r="E22" s="19">
        <f>559899.63-105668.98</f>
        <v>454230.65</v>
      </c>
      <c r="F22" s="19">
        <f t="shared" si="4"/>
        <v>5158052.2300000004</v>
      </c>
      <c r="G22" s="19">
        <v>402011.29</v>
      </c>
      <c r="H22" s="19">
        <v>0</v>
      </c>
      <c r="I22" s="19">
        <v>0</v>
      </c>
      <c r="J22" s="19">
        <v>0</v>
      </c>
      <c r="K22" s="19">
        <f t="shared" si="5"/>
        <v>5560063.5199999996</v>
      </c>
      <c r="L22" s="19">
        <f>297002.42+32084.58</f>
        <v>329087</v>
      </c>
      <c r="M22" s="21"/>
    </row>
    <row r="23" spans="1:13">
      <c r="A23" s="157"/>
      <c r="B23" s="164"/>
      <c r="C23" s="18" t="s">
        <v>16</v>
      </c>
      <c r="D23" s="19">
        <v>5016441.8</v>
      </c>
      <c r="E23" s="19">
        <v>454230.65</v>
      </c>
      <c r="F23" s="19">
        <f t="shared" si="4"/>
        <v>5470672.4500000002</v>
      </c>
      <c r="G23" s="25">
        <v>353325.81</v>
      </c>
      <c r="H23" s="19">
        <v>0</v>
      </c>
      <c r="I23" s="19">
        <v>0</v>
      </c>
      <c r="J23" s="19">
        <v>0</v>
      </c>
      <c r="K23" s="19">
        <f t="shared" si="5"/>
        <v>5823998.2599999998</v>
      </c>
      <c r="L23" s="26">
        <v>329087</v>
      </c>
      <c r="M23" s="21"/>
    </row>
    <row r="24" spans="1:13">
      <c r="A24" s="157"/>
      <c r="B24" s="164"/>
      <c r="C24" s="20" t="s">
        <v>17</v>
      </c>
      <c r="D24" s="19">
        <v>4703780.99</v>
      </c>
      <c r="E24" s="19">
        <v>454230.65</v>
      </c>
      <c r="F24" s="19">
        <f t="shared" si="4"/>
        <v>5158011.6400000006</v>
      </c>
      <c r="G24" s="19">
        <v>353325.81</v>
      </c>
      <c r="H24" s="19">
        <v>0</v>
      </c>
      <c r="I24" s="19">
        <v>0</v>
      </c>
      <c r="J24" s="19">
        <v>0</v>
      </c>
      <c r="K24" s="19">
        <f t="shared" si="5"/>
        <v>5511337.4500000002</v>
      </c>
      <c r="L24" s="19">
        <v>329087</v>
      </c>
      <c r="M24" s="21"/>
    </row>
    <row r="25" spans="1:13">
      <c r="A25" s="157"/>
      <c r="B25" s="160" t="s">
        <v>26</v>
      </c>
      <c r="C25" s="18" t="s">
        <v>15</v>
      </c>
      <c r="D25" s="19">
        <f>4703821.58-74502.55</f>
        <v>4629319.03</v>
      </c>
      <c r="E25" s="19">
        <f>559899.63-102362.09</f>
        <v>457537.54000000004</v>
      </c>
      <c r="F25" s="19">
        <f t="shared" si="4"/>
        <v>5086856.57</v>
      </c>
      <c r="G25" s="19">
        <f>402011.29-172682.41</f>
        <v>229328.87999999998</v>
      </c>
      <c r="H25" s="19">
        <v>0</v>
      </c>
      <c r="I25" s="19">
        <v>0</v>
      </c>
      <c r="J25" s="19">
        <v>0</v>
      </c>
      <c r="K25" s="19">
        <f t="shared" si="5"/>
        <v>5316185.45</v>
      </c>
      <c r="L25" s="19">
        <f>294712+20801</f>
        <v>315513</v>
      </c>
      <c r="M25" s="21"/>
    </row>
    <row r="26" spans="1:13">
      <c r="A26" s="157"/>
      <c r="B26" s="159"/>
      <c r="C26" s="18" t="s">
        <v>16</v>
      </c>
      <c r="D26" s="19">
        <v>4310961.34</v>
      </c>
      <c r="E26" s="19">
        <v>438498.88</v>
      </c>
      <c r="F26" s="19">
        <f>SUM(D26:E26)</f>
        <v>4749460.22</v>
      </c>
      <c r="G26" s="19">
        <v>283100.67</v>
      </c>
      <c r="H26" s="19">
        <v>0</v>
      </c>
      <c r="I26" s="19">
        <v>0</v>
      </c>
      <c r="J26" s="19">
        <v>0</v>
      </c>
      <c r="K26" s="19">
        <f t="shared" si="5"/>
        <v>5032560.8899999997</v>
      </c>
      <c r="L26" s="19">
        <v>294712</v>
      </c>
      <c r="M26" s="21"/>
    </row>
    <row r="27" spans="1:13">
      <c r="A27" s="157"/>
      <c r="B27" s="159"/>
      <c r="C27" s="20" t="s">
        <v>17</v>
      </c>
      <c r="D27" s="19">
        <v>4310961.34</v>
      </c>
      <c r="E27" s="19">
        <v>438498.88</v>
      </c>
      <c r="F27" s="19">
        <f>SUM(D27:E27)</f>
        <v>4749460.22</v>
      </c>
      <c r="G27" s="19">
        <v>283100.67</v>
      </c>
      <c r="H27" s="19">
        <v>0</v>
      </c>
      <c r="I27" s="19">
        <v>0</v>
      </c>
      <c r="J27" s="19">
        <v>0</v>
      </c>
      <c r="K27" s="19">
        <f t="shared" si="5"/>
        <v>5032560.8899999997</v>
      </c>
      <c r="L27" s="19">
        <v>294712</v>
      </c>
      <c r="M27" s="21"/>
    </row>
    <row r="28" spans="1:13">
      <c r="A28" s="157"/>
      <c r="B28" s="165" t="s">
        <v>27</v>
      </c>
      <c r="C28" s="18" t="s">
        <v>15</v>
      </c>
      <c r="D28" s="19">
        <f>D25+D22+D19</f>
        <v>13252991.93</v>
      </c>
      <c r="E28" s="19">
        <f>E25+E22+E19</f>
        <v>1359063.11</v>
      </c>
      <c r="F28" s="19">
        <f>F25+F22+F19</f>
        <v>14612055.040000001</v>
      </c>
      <c r="G28" s="19">
        <f>G25+G22+G19</f>
        <v>914427.21</v>
      </c>
      <c r="H28" s="19">
        <v>302927.35999999999</v>
      </c>
      <c r="I28" s="19">
        <f t="shared" ref="I28:J30" si="6">I25+I22+I19</f>
        <v>0</v>
      </c>
      <c r="J28" s="19">
        <f t="shared" si="6"/>
        <v>0</v>
      </c>
      <c r="K28" s="19">
        <f t="shared" si="5"/>
        <v>15829409.609999999</v>
      </c>
      <c r="L28" s="19">
        <f>L25+L22+L19</f>
        <v>935022</v>
      </c>
      <c r="M28" s="21"/>
    </row>
    <row r="29" spans="1:13">
      <c r="A29" s="157"/>
      <c r="B29" s="165"/>
      <c r="C29" s="18" t="s">
        <v>16</v>
      </c>
      <c r="D29" s="19">
        <f>D26+D23+D20</f>
        <v>13247180.050000001</v>
      </c>
      <c r="E29" s="19">
        <f>E26+E23+E20</f>
        <v>1340024.45</v>
      </c>
      <c r="F29" s="19">
        <f>D29+E29</f>
        <v>14587204.5</v>
      </c>
      <c r="G29" s="19">
        <f>G26+G23+G20</f>
        <v>919513.52</v>
      </c>
      <c r="H29" s="19">
        <v>302927.35999999999</v>
      </c>
      <c r="I29" s="19">
        <f t="shared" si="6"/>
        <v>0</v>
      </c>
      <c r="J29" s="19">
        <f t="shared" si="6"/>
        <v>0</v>
      </c>
      <c r="K29" s="19">
        <f t="shared" si="5"/>
        <v>15809645.380000001</v>
      </c>
      <c r="L29" s="19">
        <f>L26+L23+L20</f>
        <v>914221</v>
      </c>
      <c r="M29" s="17"/>
    </row>
    <row r="30" spans="1:13">
      <c r="A30" s="157"/>
      <c r="B30" s="165"/>
      <c r="C30" s="20" t="s">
        <v>17</v>
      </c>
      <c r="D30" s="19">
        <f>D27+D24+D21</f>
        <v>12934519.24</v>
      </c>
      <c r="E30" s="19">
        <f>E27+E24+E21</f>
        <v>1340024.45</v>
      </c>
      <c r="F30" s="19">
        <f>D30+E30</f>
        <v>14274543.689999999</v>
      </c>
      <c r="G30" s="19">
        <f>G27+G24+G21</f>
        <v>919513.52</v>
      </c>
      <c r="H30" s="19">
        <v>302927.35999999999</v>
      </c>
      <c r="I30" s="19">
        <f t="shared" si="6"/>
        <v>0</v>
      </c>
      <c r="J30" s="19">
        <f t="shared" si="6"/>
        <v>0</v>
      </c>
      <c r="K30" s="19">
        <f t="shared" si="5"/>
        <v>15496984.57</v>
      </c>
      <c r="L30" s="19">
        <f>L27+L24+L21</f>
        <v>914221</v>
      </c>
      <c r="M30" s="21"/>
    </row>
    <row r="31" spans="1:13">
      <c r="A31" s="157"/>
      <c r="B31" s="165"/>
      <c r="C31" s="18" t="s">
        <v>28</v>
      </c>
      <c r="D31" s="18">
        <f>D28-D30</f>
        <v>318472.68999999948</v>
      </c>
      <c r="E31" s="18">
        <f t="shared" ref="E31:L31" si="7">E28-E30</f>
        <v>19038.660000000149</v>
      </c>
      <c r="F31" s="18">
        <f t="shared" si="7"/>
        <v>337511.35000000149</v>
      </c>
      <c r="G31" s="18">
        <f t="shared" si="7"/>
        <v>-5086.3100000000559</v>
      </c>
      <c r="H31" s="18">
        <f t="shared" si="7"/>
        <v>0</v>
      </c>
      <c r="I31" s="18">
        <f t="shared" si="7"/>
        <v>0</v>
      </c>
      <c r="J31" s="18">
        <f t="shared" si="7"/>
        <v>0</v>
      </c>
      <c r="K31" s="18">
        <f t="shared" si="7"/>
        <v>332425.03999999911</v>
      </c>
      <c r="L31" s="18">
        <f t="shared" si="7"/>
        <v>20801</v>
      </c>
      <c r="M31" s="21"/>
    </row>
    <row r="32" spans="1:13">
      <c r="A32" s="157"/>
      <c r="B32" s="161" t="s">
        <v>29</v>
      </c>
      <c r="C32" s="18" t="s">
        <v>15</v>
      </c>
      <c r="D32" s="19">
        <f>D13+D28</f>
        <v>26648471.239999998</v>
      </c>
      <c r="E32" s="19">
        <f>E13+E28</f>
        <v>2596127.7199999997</v>
      </c>
      <c r="F32" s="19">
        <f>D32+E32</f>
        <v>29244598.959999997</v>
      </c>
      <c r="G32" s="19">
        <f>G13+G28</f>
        <v>1911381.4</v>
      </c>
      <c r="H32" s="19">
        <f>H13+H28</f>
        <v>526213.68999999994</v>
      </c>
      <c r="I32" s="19">
        <f>I13+I28</f>
        <v>0</v>
      </c>
      <c r="J32" s="19">
        <f>J13+J28</f>
        <v>0</v>
      </c>
      <c r="K32" s="19">
        <f>J32+I32+H32+G32+E32+D32</f>
        <v>31682194.049999997</v>
      </c>
      <c r="L32" s="19">
        <f>L13+L28</f>
        <v>1921623</v>
      </c>
      <c r="M32" s="21"/>
    </row>
    <row r="33" spans="1:13">
      <c r="A33" s="157"/>
      <c r="B33" s="162"/>
      <c r="C33" s="18" t="s">
        <v>16</v>
      </c>
      <c r="D33" s="19">
        <f t="shared" ref="D33:L33" si="8">D16+D29</f>
        <v>26642659.359999999</v>
      </c>
      <c r="E33" s="19">
        <f t="shared" si="8"/>
        <v>2577089.06</v>
      </c>
      <c r="F33" s="19">
        <f t="shared" si="8"/>
        <v>29219748.420000002</v>
      </c>
      <c r="G33" s="19">
        <f t="shared" si="8"/>
        <v>1916467.71</v>
      </c>
      <c r="H33" s="19">
        <f t="shared" si="8"/>
        <v>526213.68999999994</v>
      </c>
      <c r="I33" s="19">
        <f t="shared" si="8"/>
        <v>0</v>
      </c>
      <c r="J33" s="19">
        <f t="shared" si="8"/>
        <v>0</v>
      </c>
      <c r="K33" s="19">
        <f t="shared" si="8"/>
        <v>31439143.490000002</v>
      </c>
      <c r="L33" s="19">
        <f t="shared" si="8"/>
        <v>1900822</v>
      </c>
      <c r="M33" s="21"/>
    </row>
    <row r="34" spans="1:13">
      <c r="A34" s="157"/>
      <c r="B34" s="162"/>
      <c r="C34" s="20" t="s">
        <v>17</v>
      </c>
      <c r="D34" s="19">
        <f t="shared" ref="D34:J34" si="9">D18+D30</f>
        <v>26329998.550000001</v>
      </c>
      <c r="E34" s="19">
        <f t="shared" si="9"/>
        <v>2577089.0599999996</v>
      </c>
      <c r="F34" s="19">
        <f t="shared" si="9"/>
        <v>28907087.609999999</v>
      </c>
      <c r="G34" s="19">
        <f t="shared" si="9"/>
        <v>1916467.71</v>
      </c>
      <c r="H34" s="19">
        <f t="shared" si="9"/>
        <v>526213.68999999994</v>
      </c>
      <c r="I34" s="19">
        <f t="shared" si="9"/>
        <v>0</v>
      </c>
      <c r="J34" s="19">
        <f t="shared" si="9"/>
        <v>0</v>
      </c>
      <c r="K34" s="19">
        <f>J34+I34+H34+G34+E34+D34</f>
        <v>31349769.009999998</v>
      </c>
      <c r="L34" s="19">
        <f>L30+L18</f>
        <v>1900822</v>
      </c>
      <c r="M34" s="21"/>
    </row>
    <row r="35" spans="1:13">
      <c r="A35" s="157"/>
      <c r="B35" s="159"/>
      <c r="C35" s="22" t="s">
        <v>21</v>
      </c>
      <c r="D35" s="19">
        <v>26648471.239999998</v>
      </c>
      <c r="E35" s="19">
        <v>2596127.7200000002</v>
      </c>
      <c r="F35" s="19">
        <f>D35+E35</f>
        <v>29244598.959999997</v>
      </c>
      <c r="G35" s="19">
        <v>1911381.4</v>
      </c>
      <c r="H35" s="19">
        <v>526213.68999999994</v>
      </c>
      <c r="I35" s="19"/>
      <c r="J35" s="19"/>
      <c r="K35" s="19">
        <f>F35+G35+H35</f>
        <v>31682194.049999997</v>
      </c>
      <c r="L35" s="19">
        <v>1921623</v>
      </c>
      <c r="M35" s="21"/>
    </row>
    <row r="36" spans="1:13">
      <c r="A36" s="157"/>
      <c r="B36" s="159"/>
      <c r="C36" s="22" t="s">
        <v>22</v>
      </c>
      <c r="D36" s="19">
        <v>318472.69</v>
      </c>
      <c r="E36" s="19">
        <v>19038.66</v>
      </c>
      <c r="F36" s="19">
        <f>D36+E36</f>
        <v>337511.35</v>
      </c>
      <c r="G36" s="19">
        <v>-5086.3100000000004</v>
      </c>
      <c r="H36" s="19">
        <v>0</v>
      </c>
      <c r="I36" s="19"/>
      <c r="J36" s="19"/>
      <c r="K36" s="19">
        <f>F36+G36</f>
        <v>332425.03999999998</v>
      </c>
      <c r="L36" s="19">
        <v>20801</v>
      </c>
      <c r="M36" s="21"/>
    </row>
    <row r="37" spans="1:13">
      <c r="A37" s="157"/>
      <c r="B37" s="159"/>
      <c r="C37" s="23" t="s">
        <v>23</v>
      </c>
      <c r="D37" s="19">
        <f>D34+D36</f>
        <v>26648471.240000002</v>
      </c>
      <c r="E37" s="19">
        <f>E34+E36</f>
        <v>2596127.7199999997</v>
      </c>
      <c r="F37" s="19">
        <f>D37+E37</f>
        <v>29244598.960000001</v>
      </c>
      <c r="G37" s="19">
        <f t="shared" ref="G37:L37" si="10">G34+G36</f>
        <v>1911381.4</v>
      </c>
      <c r="H37" s="19">
        <f t="shared" si="10"/>
        <v>526213.68999999994</v>
      </c>
      <c r="I37" s="19">
        <f t="shared" si="10"/>
        <v>0</v>
      </c>
      <c r="J37" s="19">
        <f t="shared" si="10"/>
        <v>0</v>
      </c>
      <c r="K37" s="19">
        <f t="shared" si="10"/>
        <v>31682194.049999997</v>
      </c>
      <c r="L37" s="19">
        <f t="shared" si="10"/>
        <v>1921623</v>
      </c>
      <c r="M37" s="21"/>
    </row>
    <row r="38" spans="1:13">
      <c r="A38" s="157"/>
      <c r="B38" s="152" t="s">
        <v>30</v>
      </c>
      <c r="C38" s="18" t="s">
        <v>15</v>
      </c>
      <c r="D38" s="19">
        <f>5187115.21-952745.86</f>
        <v>4234369.3499999996</v>
      </c>
      <c r="E38" s="19">
        <f>552196.65-185263.55</f>
        <v>366933.10000000003</v>
      </c>
      <c r="F38" s="19">
        <f>SUM(D38:E38)</f>
        <v>4601302.4499999993</v>
      </c>
      <c r="G38" s="19">
        <f>500010-191655</f>
        <v>308355</v>
      </c>
      <c r="H38" s="18">
        <v>0</v>
      </c>
      <c r="I38" s="18">
        <v>0</v>
      </c>
      <c r="J38" s="18">
        <v>0</v>
      </c>
      <c r="K38" s="19">
        <f>D38+E38+G38+H38+I38+J38</f>
        <v>4909657.4499999993</v>
      </c>
      <c r="L38" s="19">
        <v>280104</v>
      </c>
      <c r="M38" s="21"/>
    </row>
    <row r="39" spans="1:13">
      <c r="A39" s="157"/>
      <c r="B39" s="153"/>
      <c r="C39" s="18" t="s">
        <v>16</v>
      </c>
      <c r="D39" s="19">
        <v>4234369.3499999996</v>
      </c>
      <c r="E39" s="19">
        <v>366933.1</v>
      </c>
      <c r="F39" s="19">
        <f>SUM(D39:E39)</f>
        <v>4601302.4499999993</v>
      </c>
      <c r="G39" s="19">
        <v>308335</v>
      </c>
      <c r="H39" s="18">
        <v>0</v>
      </c>
      <c r="I39" s="18">
        <v>0</v>
      </c>
      <c r="J39" s="18">
        <v>0</v>
      </c>
      <c r="K39" s="19">
        <f>D39+E39+G39+H39+I39+J39</f>
        <v>4909637.4499999993</v>
      </c>
      <c r="L39" s="19">
        <v>280104</v>
      </c>
      <c r="M39" s="21"/>
    </row>
    <row r="40" spans="1:13">
      <c r="A40" s="157"/>
      <c r="B40" s="153"/>
      <c r="C40" s="18" t="s">
        <v>17</v>
      </c>
      <c r="D40" s="19">
        <v>4234369.3499999996</v>
      </c>
      <c r="E40" s="19">
        <v>366933.1</v>
      </c>
      <c r="F40" s="19">
        <f>SUM(D40:E40)</f>
        <v>4601302.4499999993</v>
      </c>
      <c r="G40" s="19">
        <v>308335</v>
      </c>
      <c r="H40" s="18">
        <v>0</v>
      </c>
      <c r="I40" s="18">
        <v>0</v>
      </c>
      <c r="J40" s="18">
        <v>0</v>
      </c>
      <c r="K40" s="19">
        <f>D40+E40+G40+H40+I40+J40</f>
        <v>4909637.4499999993</v>
      </c>
      <c r="L40" s="19">
        <v>280104</v>
      </c>
      <c r="M40" s="21"/>
    </row>
    <row r="41" spans="1:13">
      <c r="A41" s="157"/>
      <c r="B41" s="152" t="s">
        <v>31</v>
      </c>
      <c r="C41" s="18" t="s">
        <v>15</v>
      </c>
      <c r="D41" s="19">
        <f>5187115.21-849248.61</f>
        <v>4337866.5999999996</v>
      </c>
      <c r="E41" s="19">
        <f>552196.65-154032.49</f>
        <v>398164.16000000003</v>
      </c>
      <c r="F41" s="19">
        <f>SUM(D41:E41)</f>
        <v>4736030.76</v>
      </c>
      <c r="G41" s="19">
        <f>500010-186668</f>
        <v>313342</v>
      </c>
      <c r="H41" s="18">
        <v>0</v>
      </c>
      <c r="I41" s="18">
        <v>0</v>
      </c>
      <c r="J41" s="18">
        <v>0</v>
      </c>
      <c r="K41" s="19">
        <f t="shared" ref="K41:K46" si="11">J41+I41+H41+G41+E41+D41</f>
        <v>5049372.76</v>
      </c>
      <c r="L41" s="19">
        <v>295647</v>
      </c>
      <c r="M41" s="21"/>
    </row>
    <row r="42" spans="1:13">
      <c r="A42" s="157"/>
      <c r="B42" s="153"/>
      <c r="C42" s="18" t="s">
        <v>16</v>
      </c>
      <c r="D42" s="19">
        <v>4337866.5999999996</v>
      </c>
      <c r="E42" s="19">
        <v>398164.16</v>
      </c>
      <c r="F42" s="19">
        <f t="shared" ref="F42:F46" si="12">SUM(D42:E42)</f>
        <v>4736030.76</v>
      </c>
      <c r="G42" s="19">
        <v>313342</v>
      </c>
      <c r="H42" s="18">
        <v>0</v>
      </c>
      <c r="I42" s="18">
        <v>0</v>
      </c>
      <c r="J42" s="18">
        <v>0</v>
      </c>
      <c r="K42" s="19">
        <f t="shared" si="11"/>
        <v>5049372.76</v>
      </c>
      <c r="L42" s="19">
        <v>295647</v>
      </c>
      <c r="M42" s="21"/>
    </row>
    <row r="43" spans="1:13">
      <c r="A43" s="157"/>
      <c r="B43" s="153"/>
      <c r="C43" s="18" t="s">
        <v>17</v>
      </c>
      <c r="D43" s="19">
        <v>4337866.5999999996</v>
      </c>
      <c r="E43" s="19">
        <v>398164.16</v>
      </c>
      <c r="F43" s="19">
        <f t="shared" si="12"/>
        <v>4736030.76</v>
      </c>
      <c r="G43" s="19">
        <v>313342</v>
      </c>
      <c r="H43" s="18">
        <v>0</v>
      </c>
      <c r="I43" s="18">
        <v>0</v>
      </c>
      <c r="J43" s="18">
        <v>0</v>
      </c>
      <c r="K43" s="19">
        <f t="shared" si="11"/>
        <v>5049372.76</v>
      </c>
      <c r="L43" s="19">
        <v>295647</v>
      </c>
      <c r="M43" s="21"/>
    </row>
    <row r="44" spans="1:13">
      <c r="A44" s="157"/>
      <c r="B44" s="152" t="s">
        <v>32</v>
      </c>
      <c r="C44" s="18" t="s">
        <v>15</v>
      </c>
      <c r="D44" s="19">
        <f>5187115.21-430486.02-130360.91</f>
        <v>4626268.2799999993</v>
      </c>
      <c r="E44" s="19">
        <f>552196.65-100000-111570.83</f>
        <v>340625.82</v>
      </c>
      <c r="F44" s="19">
        <f>SUM(D44:E44)</f>
        <v>4966894.0999999996</v>
      </c>
      <c r="G44" s="19">
        <f>500010-100000-99041</f>
        <v>300969</v>
      </c>
      <c r="H44" s="18">
        <v>0</v>
      </c>
      <c r="I44" s="18">
        <v>0</v>
      </c>
      <c r="J44" s="18">
        <v>0</v>
      </c>
      <c r="K44" s="19">
        <f t="shared" si="11"/>
        <v>5267863.0999999996</v>
      </c>
      <c r="L44" s="19">
        <f>532889.79-248473.79+5566</f>
        <v>289982</v>
      </c>
      <c r="M44" s="21"/>
    </row>
    <row r="45" spans="1:13">
      <c r="A45" s="157"/>
      <c r="B45" s="153"/>
      <c r="C45" s="18" t="s">
        <v>16</v>
      </c>
      <c r="D45" s="19">
        <v>4579233.46</v>
      </c>
      <c r="E45" s="19">
        <v>341434.49</v>
      </c>
      <c r="F45" s="19">
        <f t="shared" si="12"/>
        <v>4920667.95</v>
      </c>
      <c r="G45" s="19">
        <v>300176</v>
      </c>
      <c r="H45" s="18">
        <v>0</v>
      </c>
      <c r="I45" s="18">
        <v>0</v>
      </c>
      <c r="J45" s="18">
        <v>0</v>
      </c>
      <c r="K45" s="19">
        <f t="shared" si="11"/>
        <v>5220843.95</v>
      </c>
      <c r="L45" s="19">
        <v>284416</v>
      </c>
      <c r="M45" s="21"/>
    </row>
    <row r="46" spans="1:13">
      <c r="A46" s="157"/>
      <c r="B46" s="153"/>
      <c r="C46" s="18" t="s">
        <v>17</v>
      </c>
      <c r="D46" s="19">
        <v>4579233.46</v>
      </c>
      <c r="E46" s="19">
        <v>341434.49</v>
      </c>
      <c r="F46" s="19">
        <f t="shared" si="12"/>
        <v>4920667.95</v>
      </c>
      <c r="G46" s="19">
        <v>300176</v>
      </c>
      <c r="H46" s="18">
        <v>0</v>
      </c>
      <c r="I46" s="18">
        <v>0</v>
      </c>
      <c r="J46" s="18">
        <v>0</v>
      </c>
      <c r="K46" s="19">
        <f t="shared" si="11"/>
        <v>5220843.95</v>
      </c>
      <c r="L46" s="19">
        <v>284416</v>
      </c>
      <c r="M46" s="21"/>
    </row>
    <row r="47" spans="1:13">
      <c r="A47" s="157"/>
      <c r="B47" s="152" t="s">
        <v>33</v>
      </c>
      <c r="C47" s="18" t="s">
        <v>15</v>
      </c>
      <c r="D47" s="19">
        <f t="shared" ref="D47:L47" si="13">D38+D41+D44</f>
        <v>13198504.229999999</v>
      </c>
      <c r="E47" s="19">
        <f t="shared" si="13"/>
        <v>1105723.08</v>
      </c>
      <c r="F47" s="19">
        <f t="shared" si="13"/>
        <v>14304227.309999999</v>
      </c>
      <c r="G47" s="19">
        <f t="shared" si="13"/>
        <v>922666</v>
      </c>
      <c r="H47" s="19">
        <f t="shared" si="13"/>
        <v>0</v>
      </c>
      <c r="I47" s="19">
        <f t="shared" si="13"/>
        <v>0</v>
      </c>
      <c r="J47" s="19">
        <f t="shared" si="13"/>
        <v>0</v>
      </c>
      <c r="K47" s="19">
        <f t="shared" si="13"/>
        <v>15226893.309999999</v>
      </c>
      <c r="L47" s="19">
        <f t="shared" si="13"/>
        <v>865733</v>
      </c>
      <c r="M47" s="21"/>
    </row>
    <row r="48" spans="1:13">
      <c r="A48" s="157"/>
      <c r="B48" s="153"/>
      <c r="C48" s="18" t="s">
        <v>16</v>
      </c>
      <c r="D48" s="19">
        <f t="shared" ref="D48:L48" si="14">D39+D42+D45</f>
        <v>13151469.41</v>
      </c>
      <c r="E48" s="19">
        <f t="shared" si="14"/>
        <v>1106531.75</v>
      </c>
      <c r="F48" s="19">
        <f t="shared" si="14"/>
        <v>14258001.16</v>
      </c>
      <c r="G48" s="19">
        <f t="shared" si="14"/>
        <v>921853</v>
      </c>
      <c r="H48" s="19">
        <f t="shared" si="14"/>
        <v>0</v>
      </c>
      <c r="I48" s="19">
        <f t="shared" si="14"/>
        <v>0</v>
      </c>
      <c r="J48" s="19">
        <f t="shared" si="14"/>
        <v>0</v>
      </c>
      <c r="K48" s="19">
        <f t="shared" si="14"/>
        <v>15179854.16</v>
      </c>
      <c r="L48" s="19">
        <f t="shared" si="14"/>
        <v>860167</v>
      </c>
      <c r="M48" s="21"/>
    </row>
    <row r="49" spans="1:13">
      <c r="A49" s="157"/>
      <c r="B49" s="153"/>
      <c r="C49" s="18" t="s">
        <v>17</v>
      </c>
      <c r="D49" s="19">
        <f t="shared" ref="D49:L49" si="15">D40+D43+D46</f>
        <v>13151469.41</v>
      </c>
      <c r="E49" s="19">
        <f t="shared" si="15"/>
        <v>1106531.75</v>
      </c>
      <c r="F49" s="19">
        <f t="shared" si="15"/>
        <v>14258001.16</v>
      </c>
      <c r="G49" s="19">
        <f t="shared" si="15"/>
        <v>921853</v>
      </c>
      <c r="H49" s="19">
        <f t="shared" si="15"/>
        <v>0</v>
      </c>
      <c r="I49" s="19">
        <f t="shared" si="15"/>
        <v>0</v>
      </c>
      <c r="J49" s="19">
        <f t="shared" si="15"/>
        <v>0</v>
      </c>
      <c r="K49" s="19">
        <f t="shared" si="15"/>
        <v>15179854.16</v>
      </c>
      <c r="L49" s="19">
        <f t="shared" si="15"/>
        <v>860167</v>
      </c>
      <c r="M49" s="21"/>
    </row>
    <row r="50" spans="1:13">
      <c r="A50" s="157"/>
      <c r="B50" s="153"/>
      <c r="C50" s="18" t="s">
        <v>34</v>
      </c>
      <c r="D50" s="19">
        <f>D40+D43+D46</f>
        <v>13151469.41</v>
      </c>
      <c r="E50" s="19">
        <f>E40+E43+E46</f>
        <v>1106531.75</v>
      </c>
      <c r="F50" s="19">
        <f>D50+E50</f>
        <v>14258001.16</v>
      </c>
      <c r="G50" s="19">
        <f>G40+G43+G46</f>
        <v>921853</v>
      </c>
      <c r="H50" s="19">
        <f>H40+H43+H56</f>
        <v>0</v>
      </c>
      <c r="I50" s="19">
        <f>I40+I43+I56</f>
        <v>0</v>
      </c>
      <c r="J50" s="19">
        <f>J40+J43+J56</f>
        <v>0</v>
      </c>
      <c r="K50" s="19">
        <f>F50+G50</f>
        <v>15179854.16</v>
      </c>
      <c r="L50" s="19">
        <v>0</v>
      </c>
      <c r="M50" s="21"/>
    </row>
    <row r="51" spans="1:13">
      <c r="A51" s="157"/>
      <c r="B51" s="154"/>
      <c r="C51" s="22" t="s">
        <v>21</v>
      </c>
      <c r="D51" s="19">
        <v>13198504.23</v>
      </c>
      <c r="E51" s="19">
        <v>1105723.08</v>
      </c>
      <c r="F51" s="19">
        <f>D51+E51</f>
        <v>14304227.310000001</v>
      </c>
      <c r="G51" s="19">
        <v>922666</v>
      </c>
      <c r="H51" s="19">
        <v>0</v>
      </c>
      <c r="I51" s="19"/>
      <c r="J51" s="19"/>
      <c r="K51" s="19">
        <f>F51+G51</f>
        <v>15226893.310000001</v>
      </c>
      <c r="L51" s="19">
        <v>865733</v>
      </c>
      <c r="M51" s="21"/>
    </row>
    <row r="52" spans="1:13">
      <c r="A52" s="157"/>
      <c r="B52" s="154"/>
      <c r="C52" s="22" t="s">
        <v>22</v>
      </c>
      <c r="D52" s="19">
        <v>47034.82</v>
      </c>
      <c r="E52" s="19">
        <v>-808.67</v>
      </c>
      <c r="F52" s="19">
        <f>D52+E52</f>
        <v>46226.15</v>
      </c>
      <c r="G52" s="19">
        <v>813</v>
      </c>
      <c r="H52" s="19">
        <v>0</v>
      </c>
      <c r="I52" s="19"/>
      <c r="J52" s="19"/>
      <c r="K52" s="19">
        <f>F52+G52</f>
        <v>47039.15</v>
      </c>
      <c r="L52" s="19">
        <v>5566</v>
      </c>
      <c r="M52" s="21"/>
    </row>
    <row r="53" spans="1:13">
      <c r="A53" s="157"/>
      <c r="B53" s="154"/>
      <c r="C53" s="23" t="s">
        <v>23</v>
      </c>
      <c r="D53" s="19">
        <f t="shared" ref="D53:L53" si="16">D49+D52</f>
        <v>13198504.23</v>
      </c>
      <c r="E53" s="19">
        <f t="shared" si="16"/>
        <v>1105723.08</v>
      </c>
      <c r="F53" s="19">
        <f t="shared" si="16"/>
        <v>14304227.310000001</v>
      </c>
      <c r="G53" s="19">
        <f t="shared" si="16"/>
        <v>922666</v>
      </c>
      <c r="H53" s="19">
        <f t="shared" si="16"/>
        <v>0</v>
      </c>
      <c r="I53" s="19">
        <f t="shared" si="16"/>
        <v>0</v>
      </c>
      <c r="J53" s="19">
        <f t="shared" si="16"/>
        <v>0</v>
      </c>
      <c r="K53" s="19">
        <f t="shared" si="16"/>
        <v>15226893.310000001</v>
      </c>
      <c r="L53" s="19">
        <f t="shared" si="16"/>
        <v>865733</v>
      </c>
      <c r="M53" s="21"/>
    </row>
    <row r="54" spans="1:13">
      <c r="A54" s="157"/>
      <c r="B54" s="152" t="s">
        <v>35</v>
      </c>
      <c r="C54" s="18" t="s">
        <v>15</v>
      </c>
      <c r="D54" s="19">
        <v>5187115.21</v>
      </c>
      <c r="E54" s="19">
        <v>552196.65</v>
      </c>
      <c r="F54" s="19">
        <f t="shared" ref="F54:F62" si="17">SUM(D54:E54)</f>
        <v>5739311.8600000003</v>
      </c>
      <c r="G54" s="19">
        <v>500010</v>
      </c>
      <c r="H54" s="18">
        <v>0</v>
      </c>
      <c r="I54" s="18">
        <v>0</v>
      </c>
      <c r="J54" s="18">
        <v>0</v>
      </c>
      <c r="K54" s="19">
        <f t="shared" ref="K54:K62" si="18">D54+E54+G54+H54+I54+J54</f>
        <v>6239321.8600000003</v>
      </c>
      <c r="L54" s="19">
        <v>337520.97</v>
      </c>
      <c r="M54" s="21"/>
    </row>
    <row r="55" spans="1:13">
      <c r="A55" s="157"/>
      <c r="B55" s="153"/>
      <c r="C55" s="18" t="s">
        <v>16</v>
      </c>
      <c r="D55" s="19">
        <v>0</v>
      </c>
      <c r="E55" s="19">
        <v>0</v>
      </c>
      <c r="F55" s="19">
        <f t="shared" si="17"/>
        <v>0</v>
      </c>
      <c r="G55" s="19">
        <v>0</v>
      </c>
      <c r="H55" s="18">
        <v>0</v>
      </c>
      <c r="I55" s="18">
        <v>0</v>
      </c>
      <c r="J55" s="18">
        <v>0</v>
      </c>
      <c r="K55" s="19">
        <f t="shared" si="18"/>
        <v>0</v>
      </c>
      <c r="L55" s="19">
        <v>0</v>
      </c>
      <c r="M55" s="21"/>
    </row>
    <row r="56" spans="1:13">
      <c r="A56" s="157"/>
      <c r="B56" s="153"/>
      <c r="C56" s="18" t="s">
        <v>17</v>
      </c>
      <c r="D56" s="19">
        <v>0</v>
      </c>
      <c r="E56" s="19">
        <v>0</v>
      </c>
      <c r="F56" s="19">
        <f t="shared" si="17"/>
        <v>0</v>
      </c>
      <c r="G56" s="19">
        <v>0</v>
      </c>
      <c r="H56" s="18">
        <v>0</v>
      </c>
      <c r="I56" s="18">
        <v>0</v>
      </c>
      <c r="J56" s="18">
        <v>0</v>
      </c>
      <c r="K56" s="19">
        <f t="shared" si="18"/>
        <v>0</v>
      </c>
      <c r="L56" s="19">
        <v>0</v>
      </c>
      <c r="M56" s="21"/>
    </row>
    <row r="57" spans="1:13">
      <c r="A57" s="157"/>
      <c r="B57" s="152" t="s">
        <v>36</v>
      </c>
      <c r="C57" s="18" t="s">
        <v>15</v>
      </c>
      <c r="D57" s="19">
        <f>303278.95+4883836.3</f>
        <v>5187115.25</v>
      </c>
      <c r="E57" s="19">
        <f>24473.52+377723.11</f>
        <v>402196.63</v>
      </c>
      <c r="F57" s="19">
        <f t="shared" si="17"/>
        <v>5589311.8799999999</v>
      </c>
      <c r="G57" s="19">
        <f>1528+398482</f>
        <v>400010</v>
      </c>
      <c r="H57" s="18">
        <v>0</v>
      </c>
      <c r="I57" s="18">
        <v>0</v>
      </c>
      <c r="J57" s="18">
        <v>0</v>
      </c>
      <c r="K57" s="19">
        <f t="shared" si="18"/>
        <v>5989321.8799999999</v>
      </c>
      <c r="L57" s="19">
        <v>0</v>
      </c>
      <c r="M57" s="21"/>
    </row>
    <row r="58" spans="1:13">
      <c r="A58" s="157"/>
      <c r="B58" s="153"/>
      <c r="C58" s="18" t="s">
        <v>16</v>
      </c>
      <c r="D58" s="19">
        <v>0</v>
      </c>
      <c r="E58" s="19">
        <v>0</v>
      </c>
      <c r="F58" s="19">
        <f t="shared" si="17"/>
        <v>0</v>
      </c>
      <c r="G58" s="19">
        <v>0</v>
      </c>
      <c r="H58" s="18">
        <v>0</v>
      </c>
      <c r="I58" s="18">
        <v>0</v>
      </c>
      <c r="J58" s="18">
        <v>0</v>
      </c>
      <c r="K58" s="19">
        <f t="shared" si="18"/>
        <v>0</v>
      </c>
      <c r="L58" s="19">
        <v>0</v>
      </c>
      <c r="M58" s="21"/>
    </row>
    <row r="59" spans="1:13">
      <c r="A59" s="157"/>
      <c r="B59" s="153"/>
      <c r="C59" s="18" t="s">
        <v>17</v>
      </c>
      <c r="D59" s="19">
        <v>0</v>
      </c>
      <c r="E59" s="19">
        <v>0</v>
      </c>
      <c r="F59" s="19">
        <f t="shared" si="17"/>
        <v>0</v>
      </c>
      <c r="G59" s="19">
        <v>0</v>
      </c>
      <c r="H59" s="18">
        <v>0</v>
      </c>
      <c r="I59" s="18">
        <v>0</v>
      </c>
      <c r="J59" s="18">
        <v>0</v>
      </c>
      <c r="K59" s="19">
        <f t="shared" si="18"/>
        <v>0</v>
      </c>
      <c r="L59" s="19">
        <v>0</v>
      </c>
      <c r="M59" s="21"/>
    </row>
    <row r="60" spans="1:13">
      <c r="A60" s="157"/>
      <c r="B60" s="152" t="s">
        <v>37</v>
      </c>
      <c r="C60" s="18" t="s">
        <v>15</v>
      </c>
      <c r="D60" s="19">
        <v>1385670.87</v>
      </c>
      <c r="E60" s="19">
        <f>24473.52+100000</f>
        <v>124473.52</v>
      </c>
      <c r="F60" s="19">
        <f t="shared" si="17"/>
        <v>1510144.3900000001</v>
      </c>
      <c r="G60" s="19">
        <f>1528+112699</f>
        <v>114227</v>
      </c>
      <c r="H60" s="18">
        <v>0</v>
      </c>
      <c r="I60" s="18">
        <v>0</v>
      </c>
      <c r="J60" s="18">
        <v>0</v>
      </c>
      <c r="K60" s="19">
        <f t="shared" si="18"/>
        <v>1624371.3900000001</v>
      </c>
      <c r="L60" s="19">
        <v>0</v>
      </c>
      <c r="M60" s="21"/>
    </row>
    <row r="61" spans="1:13">
      <c r="A61" s="157"/>
      <c r="B61" s="153"/>
      <c r="C61" s="18" t="s">
        <v>16</v>
      </c>
      <c r="D61" s="19">
        <v>0</v>
      </c>
      <c r="E61" s="19">
        <v>0</v>
      </c>
      <c r="F61" s="19">
        <f t="shared" si="17"/>
        <v>0</v>
      </c>
      <c r="G61" s="19">
        <v>0</v>
      </c>
      <c r="H61" s="18">
        <v>0</v>
      </c>
      <c r="I61" s="18">
        <v>0</v>
      </c>
      <c r="J61" s="18">
        <v>0</v>
      </c>
      <c r="K61" s="19">
        <f t="shared" si="18"/>
        <v>0</v>
      </c>
      <c r="L61" s="19">
        <v>0</v>
      </c>
      <c r="M61" s="21"/>
    </row>
    <row r="62" spans="1:13">
      <c r="A62" s="157"/>
      <c r="B62" s="153"/>
      <c r="C62" s="18" t="s">
        <v>17</v>
      </c>
      <c r="D62" s="19">
        <v>0</v>
      </c>
      <c r="E62" s="19">
        <v>0</v>
      </c>
      <c r="F62" s="19">
        <f t="shared" si="17"/>
        <v>0</v>
      </c>
      <c r="G62" s="19">
        <v>0</v>
      </c>
      <c r="H62" s="18">
        <v>0</v>
      </c>
      <c r="I62" s="18">
        <v>0</v>
      </c>
      <c r="J62" s="18">
        <v>0</v>
      </c>
      <c r="K62" s="19">
        <f t="shared" si="18"/>
        <v>0</v>
      </c>
      <c r="L62" s="19">
        <v>0</v>
      </c>
      <c r="M62" s="21"/>
    </row>
    <row r="63" spans="1:13">
      <c r="A63" s="157"/>
      <c r="B63" s="166" t="s">
        <v>38</v>
      </c>
      <c r="C63" s="18" t="s">
        <v>15</v>
      </c>
      <c r="D63" s="19">
        <f t="shared" ref="D63:L63" si="19">D54+D57+D60</f>
        <v>11759901.330000002</v>
      </c>
      <c r="E63" s="19">
        <f t="shared" si="19"/>
        <v>1078866.8</v>
      </c>
      <c r="F63" s="19">
        <f t="shared" si="19"/>
        <v>12838768.130000001</v>
      </c>
      <c r="G63" s="19">
        <f t="shared" si="19"/>
        <v>1014247</v>
      </c>
      <c r="H63" s="19">
        <f t="shared" si="19"/>
        <v>0</v>
      </c>
      <c r="I63" s="19">
        <f t="shared" si="19"/>
        <v>0</v>
      </c>
      <c r="J63" s="19">
        <f t="shared" si="19"/>
        <v>0</v>
      </c>
      <c r="K63" s="19">
        <f t="shared" si="19"/>
        <v>13853015.130000001</v>
      </c>
      <c r="L63" s="19">
        <f t="shared" si="19"/>
        <v>337520.97</v>
      </c>
      <c r="M63" s="21"/>
    </row>
    <row r="64" spans="1:13">
      <c r="A64" s="157"/>
      <c r="B64" s="167"/>
      <c r="C64" s="18" t="s">
        <v>16</v>
      </c>
      <c r="D64" s="19">
        <f t="shared" ref="D64:L64" si="20">D55+D58+D61</f>
        <v>0</v>
      </c>
      <c r="E64" s="19">
        <f t="shared" si="20"/>
        <v>0</v>
      </c>
      <c r="F64" s="19">
        <f t="shared" si="20"/>
        <v>0</v>
      </c>
      <c r="G64" s="19">
        <f t="shared" si="20"/>
        <v>0</v>
      </c>
      <c r="H64" s="19">
        <f t="shared" si="20"/>
        <v>0</v>
      </c>
      <c r="I64" s="19">
        <f t="shared" si="20"/>
        <v>0</v>
      </c>
      <c r="J64" s="19">
        <f t="shared" si="20"/>
        <v>0</v>
      </c>
      <c r="K64" s="19">
        <f t="shared" si="20"/>
        <v>0</v>
      </c>
      <c r="L64" s="19">
        <f t="shared" si="20"/>
        <v>0</v>
      </c>
      <c r="M64" s="21"/>
    </row>
    <row r="65" spans="1:14">
      <c r="A65" s="157"/>
      <c r="B65" s="167"/>
      <c r="C65" s="18" t="s">
        <v>17</v>
      </c>
      <c r="D65" s="19">
        <f t="shared" ref="D65:L65" si="21">D56+D59+D62</f>
        <v>0</v>
      </c>
      <c r="E65" s="19">
        <f t="shared" si="21"/>
        <v>0</v>
      </c>
      <c r="F65" s="19">
        <f t="shared" si="21"/>
        <v>0</v>
      </c>
      <c r="G65" s="19">
        <f t="shared" si="21"/>
        <v>0</v>
      </c>
      <c r="H65" s="19">
        <f t="shared" si="21"/>
        <v>0</v>
      </c>
      <c r="I65" s="19">
        <f t="shared" si="21"/>
        <v>0</v>
      </c>
      <c r="J65" s="19">
        <f t="shared" si="21"/>
        <v>0</v>
      </c>
      <c r="K65" s="19">
        <f t="shared" si="21"/>
        <v>0</v>
      </c>
      <c r="L65" s="19">
        <f t="shared" si="21"/>
        <v>0</v>
      </c>
      <c r="M65" s="21"/>
    </row>
    <row r="66" spans="1:14">
      <c r="A66" s="157"/>
      <c r="B66" s="166" t="s">
        <v>39</v>
      </c>
      <c r="C66" s="18" t="s">
        <v>15</v>
      </c>
      <c r="D66" s="19">
        <f t="shared" ref="D66:L66" si="22">D47+D63</f>
        <v>24958405.560000002</v>
      </c>
      <c r="E66" s="19">
        <f t="shared" si="22"/>
        <v>2184589.88</v>
      </c>
      <c r="F66" s="19">
        <f t="shared" si="22"/>
        <v>27142995.439999998</v>
      </c>
      <c r="G66" s="19">
        <f t="shared" si="22"/>
        <v>1936913</v>
      </c>
      <c r="H66" s="19">
        <f t="shared" si="22"/>
        <v>0</v>
      </c>
      <c r="I66" s="19">
        <f t="shared" si="22"/>
        <v>0</v>
      </c>
      <c r="J66" s="19">
        <f t="shared" si="22"/>
        <v>0</v>
      </c>
      <c r="K66" s="19">
        <f t="shared" si="22"/>
        <v>29079908.439999998</v>
      </c>
      <c r="L66" s="19">
        <f t="shared" si="22"/>
        <v>1203253.97</v>
      </c>
      <c r="M66" s="21"/>
    </row>
    <row r="67" spans="1:14">
      <c r="A67" s="157"/>
      <c r="B67" s="167"/>
      <c r="C67" s="18" t="s">
        <v>16</v>
      </c>
      <c r="D67" s="19">
        <f>D51</f>
        <v>13198504.23</v>
      </c>
      <c r="E67" s="19">
        <f t="shared" ref="E67:L67" si="23">E51</f>
        <v>1105723.08</v>
      </c>
      <c r="F67" s="19">
        <f t="shared" si="23"/>
        <v>14304227.310000001</v>
      </c>
      <c r="G67" s="19">
        <f t="shared" si="23"/>
        <v>922666</v>
      </c>
      <c r="H67" s="19">
        <f t="shared" si="23"/>
        <v>0</v>
      </c>
      <c r="I67" s="19">
        <f t="shared" si="23"/>
        <v>0</v>
      </c>
      <c r="J67" s="19">
        <f t="shared" si="23"/>
        <v>0</v>
      </c>
      <c r="K67" s="19">
        <f t="shared" si="23"/>
        <v>15226893.310000001</v>
      </c>
      <c r="L67" s="19">
        <f t="shared" si="23"/>
        <v>865733</v>
      </c>
      <c r="M67" s="21"/>
    </row>
    <row r="68" spans="1:14">
      <c r="A68" s="157"/>
      <c r="B68" s="167"/>
      <c r="C68" s="18" t="s">
        <v>17</v>
      </c>
      <c r="D68" s="19">
        <f t="shared" ref="D68:L68" si="24">D53+D65</f>
        <v>13198504.23</v>
      </c>
      <c r="E68" s="19">
        <f t="shared" si="24"/>
        <v>1105723.08</v>
      </c>
      <c r="F68" s="19">
        <f t="shared" si="24"/>
        <v>14304227.310000001</v>
      </c>
      <c r="G68" s="19">
        <f t="shared" si="24"/>
        <v>922666</v>
      </c>
      <c r="H68" s="19">
        <f t="shared" si="24"/>
        <v>0</v>
      </c>
      <c r="I68" s="19">
        <f t="shared" si="24"/>
        <v>0</v>
      </c>
      <c r="J68" s="19">
        <f t="shared" si="24"/>
        <v>0</v>
      </c>
      <c r="K68" s="19">
        <f t="shared" si="24"/>
        <v>15226893.310000001</v>
      </c>
      <c r="L68" s="19">
        <f t="shared" si="24"/>
        <v>865733</v>
      </c>
      <c r="M68" s="21"/>
    </row>
    <row r="69" spans="1:14">
      <c r="A69" s="158"/>
      <c r="B69" s="168" t="s">
        <v>40</v>
      </c>
      <c r="C69" s="27" t="s">
        <v>15</v>
      </c>
      <c r="D69" s="28">
        <f t="shared" ref="D69:L69" si="25">D32+D66</f>
        <v>51606876.799999997</v>
      </c>
      <c r="E69" s="28">
        <f t="shared" si="25"/>
        <v>4780717.5999999996</v>
      </c>
      <c r="F69" s="28">
        <f t="shared" si="25"/>
        <v>56387594.399999991</v>
      </c>
      <c r="G69" s="28">
        <f t="shared" si="25"/>
        <v>3848294.3999999999</v>
      </c>
      <c r="H69" s="28">
        <f t="shared" si="25"/>
        <v>526213.68999999994</v>
      </c>
      <c r="I69" s="28">
        <f t="shared" si="25"/>
        <v>0</v>
      </c>
      <c r="J69" s="28">
        <f t="shared" si="25"/>
        <v>0</v>
      </c>
      <c r="K69" s="28">
        <f t="shared" si="25"/>
        <v>60762102.489999995</v>
      </c>
      <c r="L69" s="28">
        <f t="shared" si="25"/>
        <v>3124876.9699999997</v>
      </c>
      <c r="M69" s="29"/>
    </row>
    <row r="70" spans="1:14">
      <c r="A70" s="158"/>
      <c r="B70" s="168"/>
      <c r="C70" s="27" t="s">
        <v>48</v>
      </c>
      <c r="D70" s="28">
        <f t="shared" ref="D70:L70" si="26">D35+D67</f>
        <v>39846975.469999999</v>
      </c>
      <c r="E70" s="28">
        <f t="shared" si="26"/>
        <v>3701850.8000000003</v>
      </c>
      <c r="F70" s="28">
        <f t="shared" si="26"/>
        <v>43548826.269999996</v>
      </c>
      <c r="G70" s="28">
        <f t="shared" si="26"/>
        <v>2834047.4</v>
      </c>
      <c r="H70" s="28">
        <f t="shared" si="26"/>
        <v>526213.68999999994</v>
      </c>
      <c r="I70" s="28">
        <f t="shared" si="26"/>
        <v>0</v>
      </c>
      <c r="J70" s="28">
        <f t="shared" si="26"/>
        <v>0</v>
      </c>
      <c r="K70" s="28">
        <f t="shared" si="26"/>
        <v>46909087.359999999</v>
      </c>
      <c r="L70" s="28">
        <f t="shared" si="26"/>
        <v>2787356</v>
      </c>
      <c r="M70" s="30"/>
    </row>
    <row r="71" spans="1:14">
      <c r="A71" s="158"/>
      <c r="B71" s="168"/>
      <c r="C71" s="27" t="s">
        <v>41</v>
      </c>
      <c r="D71" s="28">
        <f t="shared" ref="D71:L71" si="27">D51+D35</f>
        <v>39846975.469999999</v>
      </c>
      <c r="E71" s="28">
        <f t="shared" si="27"/>
        <v>3701850.8000000003</v>
      </c>
      <c r="F71" s="28">
        <f t="shared" si="27"/>
        <v>43548826.269999996</v>
      </c>
      <c r="G71" s="28">
        <f t="shared" si="27"/>
        <v>2834047.4</v>
      </c>
      <c r="H71" s="28">
        <f t="shared" si="27"/>
        <v>526213.68999999994</v>
      </c>
      <c r="I71" s="28">
        <f t="shared" si="27"/>
        <v>0</v>
      </c>
      <c r="J71" s="28">
        <f t="shared" si="27"/>
        <v>0</v>
      </c>
      <c r="K71" s="28">
        <f t="shared" si="27"/>
        <v>46909087.359999999</v>
      </c>
      <c r="L71" s="28">
        <f t="shared" si="27"/>
        <v>2787356</v>
      </c>
      <c r="M71" s="30">
        <f>K71-H71</f>
        <v>46382873.670000002</v>
      </c>
    </row>
    <row r="72" spans="1:14">
      <c r="A72" s="158"/>
      <c r="B72" s="168"/>
      <c r="C72" s="31" t="s">
        <v>17</v>
      </c>
      <c r="D72" s="28">
        <f t="shared" ref="D72:L72" si="28">D37+D68</f>
        <v>39846975.469999999</v>
      </c>
      <c r="E72" s="28">
        <f t="shared" si="28"/>
        <v>3701850.8</v>
      </c>
      <c r="F72" s="28">
        <f t="shared" si="28"/>
        <v>43548826.270000003</v>
      </c>
      <c r="G72" s="28">
        <f t="shared" si="28"/>
        <v>2834047.4</v>
      </c>
      <c r="H72" s="28">
        <f t="shared" si="28"/>
        <v>526213.68999999994</v>
      </c>
      <c r="I72" s="28">
        <f t="shared" si="28"/>
        <v>0</v>
      </c>
      <c r="J72" s="28">
        <f t="shared" si="28"/>
        <v>0</v>
      </c>
      <c r="K72" s="28">
        <f t="shared" si="28"/>
        <v>46909087.359999999</v>
      </c>
      <c r="L72" s="28">
        <f t="shared" si="28"/>
        <v>2787356</v>
      </c>
      <c r="M72" s="29"/>
    </row>
    <row r="73" spans="1:14">
      <c r="A73" s="123" t="s">
        <v>42</v>
      </c>
      <c r="B73" s="127" t="s">
        <v>14</v>
      </c>
      <c r="C73" s="32" t="s">
        <v>15</v>
      </c>
      <c r="D73" s="33">
        <v>3642291.81</v>
      </c>
      <c r="E73" s="33">
        <f>535256.86-307245.16</f>
        <v>228011.7</v>
      </c>
      <c r="F73" s="33">
        <f t="shared" ref="F73:F81" si="29">D73+E73</f>
        <v>3870303.5100000002</v>
      </c>
      <c r="G73" s="33">
        <f>362930.75-143834.63</f>
        <v>219096.12</v>
      </c>
      <c r="H73" s="33">
        <v>0</v>
      </c>
      <c r="I73" s="33">
        <v>0</v>
      </c>
      <c r="J73" s="33">
        <v>0</v>
      </c>
      <c r="K73" s="33">
        <f t="shared" ref="K73:K81" si="30">J73+I73+H73+G73+E73+D73</f>
        <v>4089399.63</v>
      </c>
      <c r="L73" s="33">
        <f>194033+44909</f>
        <v>238942</v>
      </c>
      <c r="N73" s="34"/>
    </row>
    <row r="74" spans="1:14">
      <c r="A74" s="124"/>
      <c r="B74" s="127"/>
      <c r="C74" s="35" t="s">
        <v>16</v>
      </c>
      <c r="D74" s="36">
        <v>4333179.46</v>
      </c>
      <c r="E74" s="36">
        <v>228011.7</v>
      </c>
      <c r="F74" s="36">
        <f t="shared" si="29"/>
        <v>4561191.16</v>
      </c>
      <c r="G74" s="36">
        <v>219096.12</v>
      </c>
      <c r="H74" s="36">
        <v>0</v>
      </c>
      <c r="I74" s="36">
        <v>0</v>
      </c>
      <c r="J74" s="36">
        <v>0</v>
      </c>
      <c r="K74" s="36">
        <f t="shared" si="30"/>
        <v>4780287.28</v>
      </c>
      <c r="L74" s="36">
        <v>238942</v>
      </c>
    </row>
    <row r="75" spans="1:14">
      <c r="A75" s="124"/>
      <c r="B75" s="127"/>
      <c r="C75" s="37" t="s">
        <v>17</v>
      </c>
      <c r="D75" s="36">
        <v>3642071.06</v>
      </c>
      <c r="E75" s="36">
        <v>228011.7</v>
      </c>
      <c r="F75" s="36">
        <f t="shared" si="29"/>
        <v>3870082.7600000002</v>
      </c>
      <c r="G75" s="36">
        <v>219096.12</v>
      </c>
      <c r="H75" s="36">
        <v>0</v>
      </c>
      <c r="I75" s="36">
        <v>0</v>
      </c>
      <c r="J75" s="36">
        <v>0</v>
      </c>
      <c r="K75" s="36">
        <f t="shared" si="30"/>
        <v>4089178.88</v>
      </c>
      <c r="L75" s="36">
        <v>238942</v>
      </c>
    </row>
    <row r="76" spans="1:14">
      <c r="A76" s="124"/>
      <c r="B76" s="128" t="s">
        <v>18</v>
      </c>
      <c r="C76" s="35" t="s">
        <v>15</v>
      </c>
      <c r="D76" s="36">
        <f>3494353.72</f>
        <v>3494353.72</v>
      </c>
      <c r="E76" s="36">
        <f>535256.86-321281.64</f>
        <v>213975.21999999997</v>
      </c>
      <c r="F76" s="36">
        <f t="shared" si="29"/>
        <v>3708328.9400000004</v>
      </c>
      <c r="G76" s="36">
        <f>362930.75-60738.28</f>
        <v>302192.46999999997</v>
      </c>
      <c r="H76" s="36">
        <v>0</v>
      </c>
      <c r="I76" s="36">
        <v>0</v>
      </c>
      <c r="J76" s="36">
        <v>0</v>
      </c>
      <c r="K76" s="36">
        <f t="shared" si="30"/>
        <v>4010521.41</v>
      </c>
      <c r="L76" s="36">
        <v>215259</v>
      </c>
    </row>
    <row r="77" spans="1:14">
      <c r="A77" s="124"/>
      <c r="B77" s="127"/>
      <c r="C77" s="35" t="s">
        <v>16</v>
      </c>
      <c r="D77" s="36">
        <v>3999804.35</v>
      </c>
      <c r="E77" s="36">
        <v>213975.22</v>
      </c>
      <c r="F77" s="36">
        <f t="shared" si="29"/>
        <v>4213779.57</v>
      </c>
      <c r="G77" s="36">
        <v>302192.46999999997</v>
      </c>
      <c r="H77" s="36">
        <v>0</v>
      </c>
      <c r="I77" s="36">
        <v>0</v>
      </c>
      <c r="J77" s="36">
        <v>0</v>
      </c>
      <c r="K77" s="36">
        <f t="shared" si="30"/>
        <v>4515972.04</v>
      </c>
      <c r="L77" s="36">
        <v>215259</v>
      </c>
    </row>
    <row r="78" spans="1:14">
      <c r="A78" s="124"/>
      <c r="B78" s="127"/>
      <c r="C78" s="37" t="s">
        <v>17</v>
      </c>
      <c r="D78" s="36">
        <v>3494295.4</v>
      </c>
      <c r="E78" s="36">
        <v>213975.22</v>
      </c>
      <c r="F78" s="36">
        <f t="shared" si="29"/>
        <v>3708270.62</v>
      </c>
      <c r="G78" s="36">
        <v>302192.46999999997</v>
      </c>
      <c r="H78" s="36">
        <v>0</v>
      </c>
      <c r="I78" s="36">
        <v>0</v>
      </c>
      <c r="J78" s="36">
        <v>0</v>
      </c>
      <c r="K78" s="36">
        <f t="shared" si="30"/>
        <v>4010463.09</v>
      </c>
      <c r="L78" s="36">
        <v>215259</v>
      </c>
      <c r="M78" s="38"/>
    </row>
    <row r="79" spans="1:14">
      <c r="A79" s="124"/>
      <c r="B79" s="128" t="s">
        <v>19</v>
      </c>
      <c r="C79" s="35" t="s">
        <v>15</v>
      </c>
      <c r="D79" s="36">
        <f>3494323.73</f>
        <v>3494323.73</v>
      </c>
      <c r="E79" s="36">
        <f>535256.86-282703.58</f>
        <v>252553.27999999997</v>
      </c>
      <c r="F79" s="36">
        <f t="shared" si="29"/>
        <v>3746877.01</v>
      </c>
      <c r="G79" s="36">
        <f>362127.42-15067.2</f>
        <v>347060.22</v>
      </c>
      <c r="H79" s="36">
        <v>0</v>
      </c>
      <c r="I79" s="36">
        <v>0</v>
      </c>
      <c r="J79" s="36">
        <v>0</v>
      </c>
      <c r="K79" s="36">
        <f t="shared" si="30"/>
        <v>4093937.23</v>
      </c>
      <c r="L79" s="36">
        <v>210914</v>
      </c>
    </row>
    <row r="80" spans="1:14">
      <c r="A80" s="124"/>
      <c r="B80" s="127"/>
      <c r="C80" s="35" t="s">
        <v>16</v>
      </c>
      <c r="D80" s="36">
        <v>4358426.97</v>
      </c>
      <c r="E80" s="36">
        <v>266024.88</v>
      </c>
      <c r="F80" s="36">
        <f t="shared" si="29"/>
        <v>4624451.8499999996</v>
      </c>
      <c r="G80" s="36">
        <v>347336.3</v>
      </c>
      <c r="H80" s="36">
        <v>0</v>
      </c>
      <c r="I80" s="36">
        <v>0</v>
      </c>
      <c r="J80" s="36">
        <v>0</v>
      </c>
      <c r="K80" s="36">
        <f t="shared" si="30"/>
        <v>4971788.1499999994</v>
      </c>
      <c r="L80" s="36">
        <v>210914</v>
      </c>
    </row>
    <row r="81" spans="1:13">
      <c r="A81" s="124"/>
      <c r="B81" s="127"/>
      <c r="C81" s="37" t="s">
        <v>17</v>
      </c>
      <c r="D81" s="36">
        <v>3494169.28</v>
      </c>
      <c r="E81" s="36">
        <v>266024.88</v>
      </c>
      <c r="F81" s="36">
        <f t="shared" si="29"/>
        <v>3760194.1599999997</v>
      </c>
      <c r="G81" s="36">
        <v>347336.3</v>
      </c>
      <c r="H81" s="36">
        <v>0</v>
      </c>
      <c r="I81" s="36">
        <v>0</v>
      </c>
      <c r="J81" s="36">
        <v>0</v>
      </c>
      <c r="K81" s="36">
        <f t="shared" si="30"/>
        <v>4107530.46</v>
      </c>
      <c r="L81" s="36">
        <v>210914</v>
      </c>
    </row>
    <row r="82" spans="1:13">
      <c r="A82" s="124"/>
      <c r="B82" s="98" t="s">
        <v>20</v>
      </c>
      <c r="C82" s="35" t="s">
        <v>15</v>
      </c>
      <c r="D82" s="36">
        <f t="shared" ref="D82:G84" si="31">D79+D76+D73</f>
        <v>10630969.26</v>
      </c>
      <c r="E82" s="36">
        <f t="shared" si="31"/>
        <v>694540.2</v>
      </c>
      <c r="F82" s="36">
        <f t="shared" si="31"/>
        <v>11325509.460000001</v>
      </c>
      <c r="G82" s="36">
        <f t="shared" si="31"/>
        <v>868348.80999999994</v>
      </c>
      <c r="H82" s="36">
        <v>191843.67</v>
      </c>
      <c r="I82" s="36">
        <f t="shared" ref="I82:K84" si="32">I79+I76+I73</f>
        <v>0</v>
      </c>
      <c r="J82" s="36">
        <f t="shared" si="32"/>
        <v>0</v>
      </c>
      <c r="K82" s="36">
        <f t="shared" si="32"/>
        <v>12193858.27</v>
      </c>
      <c r="L82" s="36">
        <f>L79+L76+L73+7315</f>
        <v>672430</v>
      </c>
      <c r="M82" s="39">
        <f>M79+M76+M73+7315</f>
        <v>7315</v>
      </c>
    </row>
    <row r="83" spans="1:13">
      <c r="A83" s="124"/>
      <c r="B83" s="98"/>
      <c r="C83" s="35" t="s">
        <v>16</v>
      </c>
      <c r="D83" s="36">
        <f t="shared" si="31"/>
        <v>12691410.780000001</v>
      </c>
      <c r="E83" s="36">
        <f t="shared" si="31"/>
        <v>708011.8</v>
      </c>
      <c r="F83" s="36">
        <f t="shared" si="31"/>
        <v>13399422.58</v>
      </c>
      <c r="G83" s="36">
        <f t="shared" si="31"/>
        <v>868624.89</v>
      </c>
      <c r="H83" s="36">
        <v>191843.67</v>
      </c>
      <c r="I83" s="36">
        <f t="shared" si="32"/>
        <v>0</v>
      </c>
      <c r="J83" s="36">
        <f t="shared" si="32"/>
        <v>0</v>
      </c>
      <c r="K83" s="36">
        <f t="shared" si="32"/>
        <v>14268047.469999999</v>
      </c>
      <c r="L83" s="36">
        <f>L80+L77+L74</f>
        <v>665115</v>
      </c>
    </row>
    <row r="84" spans="1:13">
      <c r="A84" s="124"/>
      <c r="B84" s="98"/>
      <c r="C84" s="37" t="s">
        <v>17</v>
      </c>
      <c r="D84" s="36">
        <f t="shared" si="31"/>
        <v>10630535.74</v>
      </c>
      <c r="E84" s="36">
        <f t="shared" si="31"/>
        <v>708011.8</v>
      </c>
      <c r="F84" s="36">
        <f t="shared" si="31"/>
        <v>11338547.539999999</v>
      </c>
      <c r="G84" s="36">
        <f t="shared" si="31"/>
        <v>868624.89</v>
      </c>
      <c r="H84" s="36">
        <v>191843.67</v>
      </c>
      <c r="I84" s="36">
        <f t="shared" si="32"/>
        <v>0</v>
      </c>
      <c r="J84" s="36">
        <f t="shared" si="32"/>
        <v>0</v>
      </c>
      <c r="K84" s="36">
        <f t="shared" si="32"/>
        <v>12207172.43</v>
      </c>
      <c r="L84" s="36">
        <f>L81+L78+L75</f>
        <v>665115</v>
      </c>
    </row>
    <row r="85" spans="1:13">
      <c r="A85" s="124"/>
      <c r="B85" s="98"/>
      <c r="C85" s="37" t="s">
        <v>41</v>
      </c>
      <c r="D85" s="36">
        <v>12724618.779999999</v>
      </c>
      <c r="E85" s="36">
        <v>694540.21</v>
      </c>
      <c r="F85" s="36">
        <f>D85+E85</f>
        <v>13419158.989999998</v>
      </c>
      <c r="G85" s="36">
        <v>868348.81</v>
      </c>
      <c r="H85" s="36"/>
      <c r="I85" s="36">
        <f>I87+I86</f>
        <v>0</v>
      </c>
      <c r="J85" s="36">
        <f>J87+J86</f>
        <v>0</v>
      </c>
      <c r="K85" s="36">
        <f>F85+G85</f>
        <v>14287507.799999999</v>
      </c>
      <c r="L85" s="36">
        <f>L87</f>
        <v>672430</v>
      </c>
      <c r="M85" s="40">
        <f t="shared" ref="M85" si="33">M87</f>
        <v>0</v>
      </c>
    </row>
    <row r="86" spans="1:13">
      <c r="A86" s="124"/>
      <c r="B86" s="98"/>
      <c r="C86" s="37" t="s">
        <v>43</v>
      </c>
      <c r="D86" s="36">
        <v>154.94999999999999</v>
      </c>
      <c r="E86" s="36">
        <v>-13471.6</v>
      </c>
      <c r="F86" s="36">
        <f>D86+E86</f>
        <v>-13316.65</v>
      </c>
      <c r="G86" s="36">
        <v>-276.08</v>
      </c>
      <c r="H86" s="36"/>
      <c r="I86" s="36"/>
      <c r="J86" s="36"/>
      <c r="K86" s="36">
        <f>F86+G86</f>
        <v>-13592.73</v>
      </c>
      <c r="L86" s="36">
        <v>7315</v>
      </c>
      <c r="M86" s="41"/>
    </row>
    <row r="87" spans="1:13">
      <c r="A87" s="124"/>
      <c r="B87" s="98"/>
      <c r="C87" s="37" t="s">
        <v>23</v>
      </c>
      <c r="D87" s="36">
        <f>D84+D86</f>
        <v>10630690.689999999</v>
      </c>
      <c r="E87" s="36">
        <f t="shared" ref="E87:M87" si="34">E84+E86</f>
        <v>694540.20000000007</v>
      </c>
      <c r="F87" s="36">
        <f>F84+F86</f>
        <v>11325230.889999999</v>
      </c>
      <c r="G87" s="36">
        <f t="shared" si="34"/>
        <v>868348.81</v>
      </c>
      <c r="H87" s="36">
        <v>191843.67</v>
      </c>
      <c r="I87" s="36">
        <f t="shared" si="34"/>
        <v>0</v>
      </c>
      <c r="J87" s="36">
        <f t="shared" si="34"/>
        <v>0</v>
      </c>
      <c r="K87" s="36">
        <f t="shared" si="34"/>
        <v>12193579.699999999</v>
      </c>
      <c r="L87" s="36">
        <f t="shared" si="34"/>
        <v>672430</v>
      </c>
      <c r="M87" s="42">
        <f t="shared" si="34"/>
        <v>0</v>
      </c>
    </row>
    <row r="88" spans="1:13">
      <c r="A88" s="125"/>
      <c r="B88" s="129" t="s">
        <v>24</v>
      </c>
      <c r="C88" s="35" t="s">
        <v>15</v>
      </c>
      <c r="D88" s="36">
        <f>3494323.73</f>
        <v>3494323.73</v>
      </c>
      <c r="E88" s="36">
        <f>535256.86-313175.58</f>
        <v>222081.27999999997</v>
      </c>
      <c r="F88" s="36">
        <f t="shared" ref="F88:F94" si="35">D88+E88</f>
        <v>3716405.01</v>
      </c>
      <c r="G88" s="33">
        <f>362930.75</f>
        <v>362930.75</v>
      </c>
      <c r="H88" s="36">
        <v>0</v>
      </c>
      <c r="I88" s="36">
        <v>0</v>
      </c>
      <c r="J88" s="36">
        <v>0</v>
      </c>
      <c r="K88" s="36">
        <f t="shared" ref="K88:K100" si="36">J88+I88+H88+G88+E88+D88</f>
        <v>4079335.76</v>
      </c>
      <c r="L88" s="36">
        <f>197200.14+11678.86</f>
        <v>208879</v>
      </c>
    </row>
    <row r="89" spans="1:13">
      <c r="A89" s="125"/>
      <c r="B89" s="130"/>
      <c r="C89" s="35" t="s">
        <v>16</v>
      </c>
      <c r="D89" s="36">
        <v>3685397.61</v>
      </c>
      <c r="E89" s="36">
        <v>222081.28</v>
      </c>
      <c r="F89" s="36">
        <f t="shared" si="35"/>
        <v>3907478.8899999997</v>
      </c>
      <c r="G89" s="36">
        <v>272068.07</v>
      </c>
      <c r="H89" s="36">
        <v>0</v>
      </c>
      <c r="I89" s="36">
        <v>0</v>
      </c>
      <c r="J89" s="36">
        <v>0</v>
      </c>
      <c r="K89" s="36">
        <f t="shared" si="36"/>
        <v>4179546.96</v>
      </c>
      <c r="L89" s="36">
        <v>208879</v>
      </c>
    </row>
    <row r="90" spans="1:13">
      <c r="A90" s="125"/>
      <c r="B90" s="130"/>
      <c r="C90" s="37" t="s">
        <v>17</v>
      </c>
      <c r="D90" s="36">
        <v>3494322.41</v>
      </c>
      <c r="E90" s="36">
        <v>222081.28</v>
      </c>
      <c r="F90" s="36">
        <f t="shared" si="35"/>
        <v>3716403.69</v>
      </c>
      <c r="G90" s="36">
        <v>272068.07</v>
      </c>
      <c r="H90" s="36">
        <v>0</v>
      </c>
      <c r="I90" s="36">
        <v>0</v>
      </c>
      <c r="J90" s="36">
        <v>0</v>
      </c>
      <c r="K90" s="36">
        <f t="shared" si="36"/>
        <v>3988471.7600000002</v>
      </c>
      <c r="L90" s="36">
        <v>208879</v>
      </c>
    </row>
    <row r="91" spans="1:13">
      <c r="A91" s="125"/>
      <c r="B91" s="129" t="s">
        <v>25</v>
      </c>
      <c r="C91" s="35" t="s">
        <v>15</v>
      </c>
      <c r="D91" s="36">
        <f>3494323.73</f>
        <v>3494323.73</v>
      </c>
      <c r="E91" s="36">
        <f>535256.86-260765.9</f>
        <v>274490.95999999996</v>
      </c>
      <c r="F91" s="36">
        <f t="shared" si="35"/>
        <v>3768814.69</v>
      </c>
      <c r="G91" s="33">
        <v>362930.75</v>
      </c>
      <c r="H91" s="36">
        <v>0</v>
      </c>
      <c r="I91" s="36">
        <v>0</v>
      </c>
      <c r="J91" s="36">
        <v>0</v>
      </c>
      <c r="K91" s="36">
        <f t="shared" si="36"/>
        <v>4131745.44</v>
      </c>
      <c r="L91" s="36">
        <f>197200.14+34063.86</f>
        <v>231264</v>
      </c>
    </row>
    <row r="92" spans="1:13">
      <c r="A92" s="125"/>
      <c r="B92" s="130"/>
      <c r="C92" s="35" t="s">
        <v>16</v>
      </c>
      <c r="D92" s="36">
        <v>4627413.25</v>
      </c>
      <c r="E92" s="36">
        <v>274490.96000000002</v>
      </c>
      <c r="F92" s="36">
        <f t="shared" si="35"/>
        <v>4901904.21</v>
      </c>
      <c r="G92" s="43">
        <v>378739.96</v>
      </c>
      <c r="H92" s="36">
        <v>0</v>
      </c>
      <c r="I92" s="36">
        <v>0</v>
      </c>
      <c r="J92" s="36">
        <v>0</v>
      </c>
      <c r="K92" s="36">
        <f t="shared" si="36"/>
        <v>5280644.17</v>
      </c>
      <c r="L92" s="93">
        <v>231264</v>
      </c>
    </row>
    <row r="93" spans="1:13">
      <c r="A93" s="125"/>
      <c r="B93" s="130"/>
      <c r="C93" s="37" t="s">
        <v>17</v>
      </c>
      <c r="D93" s="36">
        <v>3494199.36</v>
      </c>
      <c r="E93" s="36">
        <v>274490.96000000002</v>
      </c>
      <c r="F93" s="36">
        <f t="shared" si="35"/>
        <v>3768690.32</v>
      </c>
      <c r="G93" s="36">
        <v>362919.54</v>
      </c>
      <c r="H93" s="36">
        <v>0</v>
      </c>
      <c r="I93" s="36">
        <v>0</v>
      </c>
      <c r="J93" s="36">
        <v>0</v>
      </c>
      <c r="K93" s="36">
        <f t="shared" si="36"/>
        <v>4131609.86</v>
      </c>
      <c r="L93" s="36">
        <v>231264</v>
      </c>
    </row>
    <row r="94" spans="1:13">
      <c r="A94" s="125"/>
      <c r="B94" s="136" t="s">
        <v>26</v>
      </c>
      <c r="C94" s="35" t="s">
        <v>15</v>
      </c>
      <c r="D94" s="36">
        <f>3494323.73-105.14</f>
        <v>3494218.59</v>
      </c>
      <c r="E94" s="36">
        <f>535256.86-203071.79</f>
        <v>332185.06999999995</v>
      </c>
      <c r="F94" s="36">
        <f t="shared" si="35"/>
        <v>3826403.6599999997</v>
      </c>
      <c r="G94" s="33">
        <f>362930.75-118089.69</f>
        <v>244841.06</v>
      </c>
      <c r="H94" s="36">
        <v>0</v>
      </c>
      <c r="I94" s="36">
        <v>0</v>
      </c>
      <c r="J94" s="36">
        <v>0</v>
      </c>
      <c r="K94" s="36">
        <f t="shared" si="36"/>
        <v>4071244.7199999997</v>
      </c>
      <c r="L94" s="36">
        <f>224862+14245</f>
        <v>239107</v>
      </c>
    </row>
    <row r="95" spans="1:13">
      <c r="A95" s="125"/>
      <c r="B95" s="137"/>
      <c r="C95" s="35" t="s">
        <v>16</v>
      </c>
      <c r="D95" s="36">
        <v>3538911.38</v>
      </c>
      <c r="E95" s="36">
        <v>311242.26</v>
      </c>
      <c r="F95" s="36">
        <f>SUM(D95:E95)</f>
        <v>3850153.6399999997</v>
      </c>
      <c r="G95" s="36">
        <f>322874.55</f>
        <v>322874.55</v>
      </c>
      <c r="H95" s="36">
        <v>0</v>
      </c>
      <c r="I95" s="36">
        <v>0</v>
      </c>
      <c r="J95" s="36">
        <v>0</v>
      </c>
      <c r="K95" s="36">
        <f t="shared" si="36"/>
        <v>4173028.19</v>
      </c>
      <c r="L95" s="36">
        <f>224862</f>
        <v>224862</v>
      </c>
    </row>
    <row r="96" spans="1:13">
      <c r="A96" s="125"/>
      <c r="B96" s="137"/>
      <c r="C96" s="37" t="s">
        <v>17</v>
      </c>
      <c r="D96" s="36">
        <v>3493652.64</v>
      </c>
      <c r="E96" s="36">
        <v>311242.26</v>
      </c>
      <c r="F96" s="36">
        <f>SUM(D96:E96)</f>
        <v>3804894.9000000004</v>
      </c>
      <c r="G96" s="36">
        <v>322874.55</v>
      </c>
      <c r="H96" s="36">
        <v>0</v>
      </c>
      <c r="I96" s="36">
        <v>0</v>
      </c>
      <c r="J96" s="36">
        <v>0</v>
      </c>
      <c r="K96" s="36">
        <f t="shared" si="36"/>
        <v>4127769.45</v>
      </c>
      <c r="L96" s="36">
        <v>224862</v>
      </c>
    </row>
    <row r="97" spans="1:13">
      <c r="A97" s="125"/>
      <c r="B97" s="98" t="s">
        <v>27</v>
      </c>
      <c r="C97" s="35" t="s">
        <v>15</v>
      </c>
      <c r="D97" s="36">
        <f>D94+D91+D88</f>
        <v>10482866.050000001</v>
      </c>
      <c r="E97" s="36">
        <f>E94+E91+E88</f>
        <v>828757.30999999982</v>
      </c>
      <c r="F97" s="36">
        <f>F94+F91+F88</f>
        <v>11311623.359999999</v>
      </c>
      <c r="G97" s="36">
        <f>G94+G91+G88</f>
        <v>970702.56</v>
      </c>
      <c r="H97" s="36">
        <v>286822.64</v>
      </c>
      <c r="I97" s="36">
        <f t="shared" ref="I97:J99" si="37">I94+I91+I88</f>
        <v>0</v>
      </c>
      <c r="J97" s="36">
        <f t="shared" si="37"/>
        <v>0</v>
      </c>
      <c r="K97" s="36">
        <f t="shared" si="36"/>
        <v>12569148.560000001</v>
      </c>
      <c r="L97" s="36">
        <f>L94+L91+L88</f>
        <v>679250</v>
      </c>
      <c r="M97" s="45">
        <f>M94+M91+M88</f>
        <v>0</v>
      </c>
    </row>
    <row r="98" spans="1:13">
      <c r="A98" s="125"/>
      <c r="B98" s="98"/>
      <c r="C98" s="35" t="s">
        <v>16</v>
      </c>
      <c r="D98" s="36">
        <f>D95+D92+D89</f>
        <v>11851722.24</v>
      </c>
      <c r="E98" s="36">
        <f>E95+E92+E89</f>
        <v>807814.5</v>
      </c>
      <c r="F98" s="36">
        <f>D98+E98</f>
        <v>12659536.74</v>
      </c>
      <c r="G98" s="36">
        <f>G95+G92+G89</f>
        <v>973682.58000000007</v>
      </c>
      <c r="H98" s="36">
        <v>286822.64</v>
      </c>
      <c r="I98" s="36">
        <f t="shared" si="37"/>
        <v>0</v>
      </c>
      <c r="J98" s="36">
        <f t="shared" si="37"/>
        <v>0</v>
      </c>
      <c r="K98" s="36">
        <f t="shared" si="36"/>
        <v>13920041.960000001</v>
      </c>
      <c r="L98" s="36">
        <f>L95+L92+L89</f>
        <v>665005</v>
      </c>
    </row>
    <row r="99" spans="1:13">
      <c r="A99" s="125"/>
      <c r="B99" s="98"/>
      <c r="C99" s="37" t="s">
        <v>17</v>
      </c>
      <c r="D99" s="36">
        <f>D96+D93+D90</f>
        <v>10482174.41</v>
      </c>
      <c r="E99" s="36">
        <f>E96+E93+E90</f>
        <v>807814.5</v>
      </c>
      <c r="F99" s="36">
        <f>D99+E99</f>
        <v>11289988.91</v>
      </c>
      <c r="G99" s="36">
        <f>G96+G93+G90</f>
        <v>957862.15999999992</v>
      </c>
      <c r="H99" s="36">
        <v>286822.64</v>
      </c>
      <c r="I99" s="36">
        <f t="shared" si="37"/>
        <v>0</v>
      </c>
      <c r="J99" s="36">
        <f t="shared" si="37"/>
        <v>0</v>
      </c>
      <c r="K99" s="36">
        <f t="shared" si="36"/>
        <v>12534673.710000001</v>
      </c>
      <c r="L99" s="36">
        <f>L96+L93+L90</f>
        <v>665005</v>
      </c>
    </row>
    <row r="100" spans="1:13">
      <c r="A100" s="125"/>
      <c r="B100" s="138" t="s">
        <v>29</v>
      </c>
      <c r="C100" s="35" t="s">
        <v>15</v>
      </c>
      <c r="D100" s="36">
        <f>D82+D97</f>
        <v>21113835.310000002</v>
      </c>
      <c r="E100" s="36">
        <f>E82+E97</f>
        <v>1523297.5099999998</v>
      </c>
      <c r="F100" s="36">
        <f>D100+E100</f>
        <v>22637132.82</v>
      </c>
      <c r="G100" s="36">
        <f>G82+G97</f>
        <v>1839051.37</v>
      </c>
      <c r="H100" s="36">
        <f>H82+H97</f>
        <v>478666.31000000006</v>
      </c>
      <c r="I100" s="36">
        <f>I82+I97</f>
        <v>0</v>
      </c>
      <c r="J100" s="36">
        <f>J82+J97</f>
        <v>0</v>
      </c>
      <c r="K100" s="36">
        <f t="shared" si="36"/>
        <v>24954850.500000004</v>
      </c>
      <c r="L100" s="36">
        <f>L82+L97</f>
        <v>1351680</v>
      </c>
      <c r="M100" s="46">
        <f>M82+M97</f>
        <v>7315</v>
      </c>
    </row>
    <row r="101" spans="1:13">
      <c r="A101" s="125"/>
      <c r="B101" s="139"/>
      <c r="C101" s="35" t="s">
        <v>16</v>
      </c>
      <c r="D101" s="36">
        <f>D85+D98</f>
        <v>24576341.02</v>
      </c>
      <c r="E101" s="36">
        <f>E85+E98</f>
        <v>1502354.71</v>
      </c>
      <c r="F101" s="36">
        <f>F85+F98</f>
        <v>26078695.729999997</v>
      </c>
      <c r="G101" s="36">
        <f>G85+G98</f>
        <v>1842031.3900000001</v>
      </c>
      <c r="H101" s="36">
        <f>H83+H98</f>
        <v>478666.31000000006</v>
      </c>
      <c r="I101" s="36">
        <f>I85+I98</f>
        <v>0</v>
      </c>
      <c r="J101" s="36">
        <f>J85+J98</f>
        <v>0</v>
      </c>
      <c r="K101" s="36">
        <f>K85+K98</f>
        <v>28207549.759999998</v>
      </c>
      <c r="L101" s="36">
        <f>L85+L98</f>
        <v>1337435</v>
      </c>
    </row>
    <row r="102" spans="1:13">
      <c r="A102" s="125"/>
      <c r="B102" s="139"/>
      <c r="C102" s="37" t="s">
        <v>17</v>
      </c>
      <c r="D102" s="36">
        <f>D87+D99</f>
        <v>21112865.100000001</v>
      </c>
      <c r="E102" s="36">
        <f>E87+E99</f>
        <v>1502354.7000000002</v>
      </c>
      <c r="F102" s="36">
        <f>F87+F99</f>
        <v>22615219.799999997</v>
      </c>
      <c r="G102" s="36">
        <f>G87+G99</f>
        <v>1826210.97</v>
      </c>
      <c r="H102" s="36">
        <f>H84+H99</f>
        <v>478666.31000000006</v>
      </c>
      <c r="I102" s="36">
        <f>I87+I99</f>
        <v>0</v>
      </c>
      <c r="J102" s="36">
        <f>J87+J99</f>
        <v>0</v>
      </c>
      <c r="K102" s="36">
        <f>K87+K99</f>
        <v>24728253.41</v>
      </c>
      <c r="L102" s="36">
        <f>L87+L99</f>
        <v>1337435</v>
      </c>
    </row>
    <row r="103" spans="1:13">
      <c r="A103" s="125"/>
      <c r="B103" s="127"/>
      <c r="C103" s="37" t="s">
        <v>41</v>
      </c>
      <c r="D103" s="36">
        <v>24647951.77</v>
      </c>
      <c r="E103" s="36">
        <v>1523297.51</v>
      </c>
      <c r="F103" s="36">
        <f>D103+E103</f>
        <v>26171249.280000001</v>
      </c>
      <c r="G103" s="36">
        <v>1839051.37</v>
      </c>
      <c r="H103" s="36">
        <v>478666.31</v>
      </c>
      <c r="I103" s="36"/>
      <c r="J103" s="36"/>
      <c r="K103" s="36">
        <f>F103+G103+H103</f>
        <v>28488966.960000001</v>
      </c>
      <c r="L103" s="36">
        <v>1351680</v>
      </c>
      <c r="M103" s="47">
        <v>1351680</v>
      </c>
    </row>
    <row r="104" spans="1:13">
      <c r="A104" s="125"/>
      <c r="B104" s="127"/>
      <c r="C104" s="37" t="s">
        <v>43</v>
      </c>
      <c r="D104" s="36">
        <v>970.21</v>
      </c>
      <c r="E104" s="36">
        <v>20942.810000000001</v>
      </c>
      <c r="F104" s="36">
        <f>D104+E104</f>
        <v>21913.02</v>
      </c>
      <c r="G104" s="36">
        <v>12840.4</v>
      </c>
      <c r="H104" s="36">
        <v>0</v>
      </c>
      <c r="I104" s="36"/>
      <c r="J104" s="36"/>
      <c r="K104" s="36">
        <f>F104+G104</f>
        <v>34753.42</v>
      </c>
      <c r="L104" s="36">
        <v>14245</v>
      </c>
      <c r="M104" s="48"/>
    </row>
    <row r="105" spans="1:13">
      <c r="A105" s="125"/>
      <c r="B105" s="127"/>
      <c r="C105" s="37" t="s">
        <v>23</v>
      </c>
      <c r="D105" s="36">
        <f t="shared" ref="D105:J105" si="38">D104+D102</f>
        <v>21113835.310000002</v>
      </c>
      <c r="E105" s="36">
        <f t="shared" si="38"/>
        <v>1523297.5100000002</v>
      </c>
      <c r="F105" s="36">
        <f t="shared" si="38"/>
        <v>22637132.819999997</v>
      </c>
      <c r="G105" s="36">
        <f t="shared" si="38"/>
        <v>1839051.3699999999</v>
      </c>
      <c r="H105" s="36">
        <f t="shared" si="38"/>
        <v>478666.31000000006</v>
      </c>
      <c r="I105" s="36">
        <f t="shared" si="38"/>
        <v>0</v>
      </c>
      <c r="J105" s="36">
        <f t="shared" si="38"/>
        <v>0</v>
      </c>
      <c r="K105" s="36">
        <f>F105+G105+H105</f>
        <v>24954850.499999996</v>
      </c>
      <c r="L105" s="36">
        <f>L104+L102</f>
        <v>1351680</v>
      </c>
      <c r="M105" s="48"/>
    </row>
    <row r="106" spans="1:13">
      <c r="A106" s="125"/>
      <c r="B106" s="131" t="s">
        <v>30</v>
      </c>
      <c r="C106" s="35" t="s">
        <v>15</v>
      </c>
      <c r="D106" s="36">
        <f>4611074.74-548140.74</f>
        <v>4062934</v>
      </c>
      <c r="E106" s="36">
        <f>534546.7-288569.15</f>
        <v>245977.54999999993</v>
      </c>
      <c r="F106" s="36">
        <f t="shared" ref="F106:F114" si="39">SUM(D106:E106)</f>
        <v>4308911.55</v>
      </c>
      <c r="G106" s="36">
        <f>400737-83048</f>
        <v>317689</v>
      </c>
      <c r="H106" s="35">
        <v>0</v>
      </c>
      <c r="I106" s="35">
        <v>0</v>
      </c>
      <c r="J106" s="35">
        <v>0</v>
      </c>
      <c r="K106" s="36">
        <f>D106+E106+G106+H106+I106+J106</f>
        <v>4626600.55</v>
      </c>
      <c r="L106" s="36">
        <v>232441</v>
      </c>
    </row>
    <row r="107" spans="1:13">
      <c r="A107" s="125"/>
      <c r="B107" s="132"/>
      <c r="C107" s="35" t="s">
        <v>16</v>
      </c>
      <c r="D107" s="36">
        <v>4062934</v>
      </c>
      <c r="E107" s="36">
        <v>245977.55</v>
      </c>
      <c r="F107" s="36">
        <f t="shared" si="39"/>
        <v>4308911.55</v>
      </c>
      <c r="G107" s="36">
        <v>317689</v>
      </c>
      <c r="H107" s="35">
        <v>0</v>
      </c>
      <c r="I107" s="35">
        <v>0</v>
      </c>
      <c r="J107" s="35">
        <v>0</v>
      </c>
      <c r="K107" s="36">
        <f>D107+E107+G107+H107+I107+J107</f>
        <v>4626600.55</v>
      </c>
      <c r="L107" s="36">
        <v>232441</v>
      </c>
    </row>
    <row r="108" spans="1:13">
      <c r="A108" s="125"/>
      <c r="B108" s="132"/>
      <c r="C108" s="35" t="s">
        <v>17</v>
      </c>
      <c r="D108" s="36">
        <v>4062934</v>
      </c>
      <c r="E108" s="36">
        <v>245977.55</v>
      </c>
      <c r="F108" s="36">
        <f t="shared" si="39"/>
        <v>4308911.55</v>
      </c>
      <c r="G108" s="36">
        <v>317689</v>
      </c>
      <c r="H108" s="35">
        <v>0</v>
      </c>
      <c r="I108" s="35">
        <v>0</v>
      </c>
      <c r="J108" s="35">
        <v>0</v>
      </c>
      <c r="K108" s="36">
        <f>D108+E108+G108+H108+I108+J108</f>
        <v>4626600.55</v>
      </c>
      <c r="L108" s="36">
        <v>232441</v>
      </c>
    </row>
    <row r="109" spans="1:13">
      <c r="A109" s="125"/>
      <c r="B109" s="131" t="s">
        <v>31</v>
      </c>
      <c r="C109" s="35" t="s">
        <v>15</v>
      </c>
      <c r="D109" s="36">
        <f>4611074.74-192573.31</f>
        <v>4418501.4300000006</v>
      </c>
      <c r="E109" s="36">
        <f>534546.7-309835.22</f>
        <v>224711.47999999998</v>
      </c>
      <c r="F109" s="36">
        <f t="shared" si="39"/>
        <v>4643212.91</v>
      </c>
      <c r="G109" s="36">
        <f>400737-70710</f>
        <v>330027</v>
      </c>
      <c r="H109" s="35">
        <v>0</v>
      </c>
      <c r="I109" s="35">
        <v>0</v>
      </c>
      <c r="J109" s="35">
        <v>0</v>
      </c>
      <c r="K109" s="36">
        <f t="shared" ref="K109:K114" si="40">J109+I109+H109+G109+E109+D109</f>
        <v>4973239.91</v>
      </c>
      <c r="L109" s="36">
        <v>242264</v>
      </c>
    </row>
    <row r="110" spans="1:13">
      <c r="A110" s="125"/>
      <c r="B110" s="132"/>
      <c r="C110" s="35" t="s">
        <v>16</v>
      </c>
      <c r="D110" s="36">
        <v>4418501.43</v>
      </c>
      <c r="E110" s="36">
        <v>224711.48</v>
      </c>
      <c r="F110" s="36">
        <f t="shared" si="39"/>
        <v>4643212.91</v>
      </c>
      <c r="G110" s="36">
        <v>330027</v>
      </c>
      <c r="H110" s="35">
        <v>0</v>
      </c>
      <c r="I110" s="35">
        <v>0</v>
      </c>
      <c r="J110" s="35">
        <v>0</v>
      </c>
      <c r="K110" s="36">
        <f t="shared" si="40"/>
        <v>4973239.91</v>
      </c>
      <c r="L110" s="36">
        <v>242264</v>
      </c>
    </row>
    <row r="111" spans="1:13">
      <c r="A111" s="125"/>
      <c r="B111" s="132"/>
      <c r="C111" s="35" t="s">
        <v>17</v>
      </c>
      <c r="D111" s="36">
        <v>4418501.43</v>
      </c>
      <c r="E111" s="36">
        <v>224711.48</v>
      </c>
      <c r="F111" s="36">
        <f t="shared" si="39"/>
        <v>4643212.91</v>
      </c>
      <c r="G111" s="36">
        <v>330027</v>
      </c>
      <c r="H111" s="35">
        <v>0</v>
      </c>
      <c r="I111" s="35">
        <v>0</v>
      </c>
      <c r="J111" s="35">
        <v>0</v>
      </c>
      <c r="K111" s="36">
        <f t="shared" si="40"/>
        <v>4973239.91</v>
      </c>
      <c r="L111" s="36">
        <v>242264</v>
      </c>
    </row>
    <row r="112" spans="1:13">
      <c r="A112" s="125"/>
      <c r="B112" s="147" t="s">
        <v>32</v>
      </c>
      <c r="C112" s="35" t="s">
        <v>15</v>
      </c>
      <c r="D112" s="36">
        <f>4611074.74-600000-235365.05</f>
        <v>3775709.6900000004</v>
      </c>
      <c r="E112" s="36">
        <f>534546.7-250000-75893.21</f>
        <v>208653.48999999993</v>
      </c>
      <c r="F112" s="36">
        <f t="shared" si="39"/>
        <v>3984363.18</v>
      </c>
      <c r="G112" s="36">
        <f>400737-25000-44172</f>
        <v>331565</v>
      </c>
      <c r="H112" s="35">
        <v>0</v>
      </c>
      <c r="I112" s="35">
        <v>0</v>
      </c>
      <c r="J112" s="35">
        <v>0</v>
      </c>
      <c r="K112" s="36">
        <f t="shared" si="40"/>
        <v>4315928.1800000006</v>
      </c>
      <c r="L112" s="36">
        <f>398431.2-173646.2+1463</f>
        <v>226248</v>
      </c>
    </row>
    <row r="113" spans="1:13">
      <c r="A113" s="125"/>
      <c r="B113" s="148"/>
      <c r="C113" s="35" t="s">
        <v>16</v>
      </c>
      <c r="D113" s="36">
        <v>3763664.48</v>
      </c>
      <c r="E113" s="36">
        <v>199651.64</v>
      </c>
      <c r="F113" s="36">
        <f t="shared" si="39"/>
        <v>3963316.12</v>
      </c>
      <c r="G113" s="36">
        <v>330508</v>
      </c>
      <c r="H113" s="35">
        <v>0</v>
      </c>
      <c r="I113" s="35">
        <v>0</v>
      </c>
      <c r="J113" s="35">
        <v>0</v>
      </c>
      <c r="K113" s="36">
        <f t="shared" si="40"/>
        <v>4293824.12</v>
      </c>
      <c r="L113" s="36">
        <v>224785</v>
      </c>
    </row>
    <row r="114" spans="1:13">
      <c r="A114" s="125"/>
      <c r="B114" s="148"/>
      <c r="C114" s="35" t="s">
        <v>17</v>
      </c>
      <c r="D114" s="36">
        <v>3763664.48</v>
      </c>
      <c r="E114" s="36">
        <v>199651.64</v>
      </c>
      <c r="F114" s="36">
        <f t="shared" si="39"/>
        <v>3963316.12</v>
      </c>
      <c r="G114" s="36">
        <v>330508</v>
      </c>
      <c r="H114" s="35">
        <v>0</v>
      </c>
      <c r="I114" s="35">
        <v>0</v>
      </c>
      <c r="J114" s="35">
        <v>0</v>
      </c>
      <c r="K114" s="36">
        <f t="shared" si="40"/>
        <v>4293824.12</v>
      </c>
      <c r="L114" s="36">
        <v>224785</v>
      </c>
    </row>
    <row r="115" spans="1:13">
      <c r="A115" s="125"/>
      <c r="B115" s="131" t="s">
        <v>33</v>
      </c>
      <c r="C115" s="35" t="s">
        <v>15</v>
      </c>
      <c r="D115" s="36">
        <f t="shared" ref="D115:M115" si="41">D106+D109+D112</f>
        <v>12257145.120000001</v>
      </c>
      <c r="E115" s="36">
        <f t="shared" si="41"/>
        <v>679342.51999999979</v>
      </c>
      <c r="F115" s="36">
        <f t="shared" si="41"/>
        <v>12936487.640000001</v>
      </c>
      <c r="G115" s="36">
        <f t="shared" si="41"/>
        <v>979281</v>
      </c>
      <c r="H115" s="36">
        <f t="shared" si="41"/>
        <v>0</v>
      </c>
      <c r="I115" s="36">
        <f t="shared" si="41"/>
        <v>0</v>
      </c>
      <c r="J115" s="36">
        <f t="shared" si="41"/>
        <v>0</v>
      </c>
      <c r="K115" s="36">
        <f t="shared" si="41"/>
        <v>13915768.640000001</v>
      </c>
      <c r="L115" s="36">
        <f t="shared" si="41"/>
        <v>700953</v>
      </c>
      <c r="M115" s="49">
        <f t="shared" si="41"/>
        <v>0</v>
      </c>
    </row>
    <row r="116" spans="1:13">
      <c r="A116" s="125"/>
      <c r="B116" s="132"/>
      <c r="C116" s="35" t="s">
        <v>16</v>
      </c>
      <c r="D116" s="36">
        <f t="shared" ref="D116:L116" si="42">D107+D110+D113</f>
        <v>12245099.91</v>
      </c>
      <c r="E116" s="36">
        <f t="shared" si="42"/>
        <v>670340.67000000004</v>
      </c>
      <c r="F116" s="36">
        <f t="shared" si="42"/>
        <v>12915440.580000002</v>
      </c>
      <c r="G116" s="36">
        <f t="shared" si="42"/>
        <v>978224</v>
      </c>
      <c r="H116" s="36">
        <f t="shared" si="42"/>
        <v>0</v>
      </c>
      <c r="I116" s="36">
        <f t="shared" si="42"/>
        <v>0</v>
      </c>
      <c r="J116" s="36">
        <f t="shared" si="42"/>
        <v>0</v>
      </c>
      <c r="K116" s="36">
        <f t="shared" si="42"/>
        <v>13893664.580000002</v>
      </c>
      <c r="L116" s="36">
        <f t="shared" si="42"/>
        <v>699490</v>
      </c>
    </row>
    <row r="117" spans="1:13">
      <c r="A117" s="125"/>
      <c r="B117" s="132"/>
      <c r="C117" s="35" t="s">
        <v>17</v>
      </c>
      <c r="D117" s="36">
        <f t="shared" ref="D117:L117" si="43">D108+D111+D114</f>
        <v>12245099.91</v>
      </c>
      <c r="E117" s="36">
        <f t="shared" si="43"/>
        <v>670340.67000000004</v>
      </c>
      <c r="F117" s="36">
        <f t="shared" si="43"/>
        <v>12915440.580000002</v>
      </c>
      <c r="G117" s="36">
        <f t="shared" si="43"/>
        <v>978224</v>
      </c>
      <c r="H117" s="36">
        <f t="shared" si="43"/>
        <v>0</v>
      </c>
      <c r="I117" s="36">
        <f t="shared" si="43"/>
        <v>0</v>
      </c>
      <c r="J117" s="36">
        <f t="shared" si="43"/>
        <v>0</v>
      </c>
      <c r="K117" s="36">
        <f t="shared" si="43"/>
        <v>13893664.580000002</v>
      </c>
      <c r="L117" s="36">
        <f t="shared" si="43"/>
        <v>699490</v>
      </c>
    </row>
    <row r="118" spans="1:13">
      <c r="A118" s="125"/>
      <c r="B118" s="132"/>
      <c r="C118" s="35" t="s">
        <v>34</v>
      </c>
      <c r="D118" s="36">
        <f t="shared" ref="D118:L118" si="44">D108+D111+D114</f>
        <v>12245099.91</v>
      </c>
      <c r="E118" s="36">
        <f t="shared" si="44"/>
        <v>670340.67000000004</v>
      </c>
      <c r="F118" s="36">
        <f t="shared" si="44"/>
        <v>12915440.580000002</v>
      </c>
      <c r="G118" s="36">
        <f t="shared" si="44"/>
        <v>978224</v>
      </c>
      <c r="H118" s="36">
        <f t="shared" si="44"/>
        <v>0</v>
      </c>
      <c r="I118" s="36">
        <f t="shared" si="44"/>
        <v>0</v>
      </c>
      <c r="J118" s="36">
        <f t="shared" si="44"/>
        <v>0</v>
      </c>
      <c r="K118" s="36">
        <f t="shared" si="44"/>
        <v>13893664.580000002</v>
      </c>
      <c r="L118" s="36">
        <f t="shared" si="44"/>
        <v>699490</v>
      </c>
    </row>
    <row r="119" spans="1:13">
      <c r="A119" s="125"/>
      <c r="B119" s="133"/>
      <c r="C119" s="37" t="s">
        <v>41</v>
      </c>
      <c r="D119" s="36">
        <v>12257145.119999999</v>
      </c>
      <c r="E119" s="36">
        <v>679342.52</v>
      </c>
      <c r="F119" s="36">
        <f>D119+E119</f>
        <v>12936487.639999999</v>
      </c>
      <c r="G119" s="36">
        <v>979281</v>
      </c>
      <c r="H119" s="36">
        <v>0</v>
      </c>
      <c r="I119" s="36"/>
      <c r="J119" s="36"/>
      <c r="K119" s="36">
        <f>F119+G119</f>
        <v>13915768.639999999</v>
      </c>
      <c r="L119" s="36">
        <v>700953</v>
      </c>
      <c r="M119" s="50">
        <v>700953</v>
      </c>
    </row>
    <row r="120" spans="1:13">
      <c r="A120" s="125"/>
      <c r="B120" s="133"/>
      <c r="C120" s="37" t="s">
        <v>43</v>
      </c>
      <c r="D120" s="36">
        <v>12045.21</v>
      </c>
      <c r="E120" s="36">
        <v>9001.85</v>
      </c>
      <c r="F120" s="36">
        <f>D120+E120</f>
        <v>21047.059999999998</v>
      </c>
      <c r="G120" s="36">
        <v>1057</v>
      </c>
      <c r="H120" s="36">
        <v>0</v>
      </c>
      <c r="I120" s="36"/>
      <c r="J120" s="36"/>
      <c r="K120" s="36">
        <f>F120+G120</f>
        <v>22104.059999999998</v>
      </c>
      <c r="L120" s="36">
        <v>1463</v>
      </c>
      <c r="M120" s="50">
        <v>1463</v>
      </c>
    </row>
    <row r="121" spans="1:13">
      <c r="A121" s="125"/>
      <c r="B121" s="133"/>
      <c r="C121" s="37" t="s">
        <v>23</v>
      </c>
      <c r="D121" s="36">
        <f t="shared" ref="D121:M121" si="45">D120+D118</f>
        <v>12257145.120000001</v>
      </c>
      <c r="E121" s="36">
        <f t="shared" si="45"/>
        <v>679342.52</v>
      </c>
      <c r="F121" s="36">
        <f t="shared" si="45"/>
        <v>12936487.640000002</v>
      </c>
      <c r="G121" s="36">
        <f t="shared" si="45"/>
        <v>979281</v>
      </c>
      <c r="H121" s="36">
        <f t="shared" si="45"/>
        <v>0</v>
      </c>
      <c r="I121" s="36">
        <f t="shared" si="45"/>
        <v>0</v>
      </c>
      <c r="J121" s="36">
        <f t="shared" si="45"/>
        <v>0</v>
      </c>
      <c r="K121" s="36">
        <f t="shared" si="45"/>
        <v>13915768.640000002</v>
      </c>
      <c r="L121" s="36">
        <f t="shared" si="45"/>
        <v>700953</v>
      </c>
      <c r="M121" s="50">
        <f t="shared" si="45"/>
        <v>1463</v>
      </c>
    </row>
    <row r="122" spans="1:13">
      <c r="A122" s="125"/>
      <c r="B122" s="131" t="s">
        <v>35</v>
      </c>
      <c r="C122" s="35" t="s">
        <v>15</v>
      </c>
      <c r="D122" s="36">
        <v>4611074.74</v>
      </c>
      <c r="E122" s="36">
        <v>534546.69999999995</v>
      </c>
      <c r="F122" s="36">
        <f t="shared" ref="F122:F130" si="46">SUM(D122:E122)</f>
        <v>5145621.4400000004</v>
      </c>
      <c r="G122" s="36">
        <v>400737</v>
      </c>
      <c r="H122" s="35">
        <v>0</v>
      </c>
      <c r="I122" s="35">
        <v>0</v>
      </c>
      <c r="J122" s="35">
        <v>0</v>
      </c>
      <c r="K122" s="36">
        <f t="shared" ref="K122:K130" si="47">D122+E122+G122+H122+I122+J122</f>
        <v>5546358.4400000004</v>
      </c>
      <c r="L122" s="36">
        <v>266639.45</v>
      </c>
    </row>
    <row r="123" spans="1:13">
      <c r="A123" s="125"/>
      <c r="B123" s="132"/>
      <c r="C123" s="35" t="s">
        <v>16</v>
      </c>
      <c r="D123" s="36">
        <v>0</v>
      </c>
      <c r="E123" s="36">
        <v>0</v>
      </c>
      <c r="F123" s="36">
        <f t="shared" si="46"/>
        <v>0</v>
      </c>
      <c r="G123" s="36">
        <v>0</v>
      </c>
      <c r="H123" s="35">
        <v>0</v>
      </c>
      <c r="I123" s="35">
        <v>0</v>
      </c>
      <c r="J123" s="35">
        <v>0</v>
      </c>
      <c r="K123" s="36">
        <f t="shared" si="47"/>
        <v>0</v>
      </c>
      <c r="L123" s="36">
        <v>0</v>
      </c>
    </row>
    <row r="124" spans="1:13">
      <c r="A124" s="125"/>
      <c r="B124" s="132"/>
      <c r="C124" s="35" t="s">
        <v>17</v>
      </c>
      <c r="D124" s="36">
        <v>0</v>
      </c>
      <c r="E124" s="36">
        <v>0</v>
      </c>
      <c r="F124" s="36">
        <f t="shared" si="46"/>
        <v>0</v>
      </c>
      <c r="G124" s="36">
        <v>0</v>
      </c>
      <c r="H124" s="35">
        <v>0</v>
      </c>
      <c r="I124" s="35">
        <v>0</v>
      </c>
      <c r="J124" s="35">
        <v>0</v>
      </c>
      <c r="K124" s="36">
        <f t="shared" si="47"/>
        <v>0</v>
      </c>
      <c r="L124" s="36">
        <v>0</v>
      </c>
    </row>
    <row r="125" spans="1:13">
      <c r="A125" s="125"/>
      <c r="B125" s="131" t="s">
        <v>36</v>
      </c>
      <c r="C125" s="35" t="s">
        <v>15</v>
      </c>
      <c r="D125" s="36">
        <f>202627.55+4408447.26</f>
        <v>4611074.8099999996</v>
      </c>
      <c r="E125" s="36">
        <f>30091.89+404454.81</f>
        <v>434546.7</v>
      </c>
      <c r="F125" s="36">
        <f t="shared" si="46"/>
        <v>5045621.51</v>
      </c>
      <c r="G125" s="36">
        <f>1418+399319</f>
        <v>400737</v>
      </c>
      <c r="H125" s="35">
        <v>0</v>
      </c>
      <c r="I125" s="35">
        <v>0</v>
      </c>
      <c r="J125" s="35">
        <v>0</v>
      </c>
      <c r="K125" s="36">
        <f t="shared" si="47"/>
        <v>5446358.5099999998</v>
      </c>
      <c r="L125" s="36">
        <v>0</v>
      </c>
    </row>
    <row r="126" spans="1:13">
      <c r="A126" s="125"/>
      <c r="B126" s="132"/>
      <c r="C126" s="35" t="s">
        <v>16</v>
      </c>
      <c r="D126" s="36">
        <v>0</v>
      </c>
      <c r="E126" s="36">
        <v>0</v>
      </c>
      <c r="F126" s="36">
        <f t="shared" si="46"/>
        <v>0</v>
      </c>
      <c r="G126" s="36">
        <v>0</v>
      </c>
      <c r="H126" s="35">
        <v>0</v>
      </c>
      <c r="I126" s="35">
        <v>0</v>
      </c>
      <c r="J126" s="35">
        <v>0</v>
      </c>
      <c r="K126" s="36">
        <f t="shared" si="47"/>
        <v>0</v>
      </c>
      <c r="L126" s="36">
        <v>0</v>
      </c>
    </row>
    <row r="127" spans="1:13">
      <c r="A127" s="125"/>
      <c r="B127" s="132"/>
      <c r="C127" s="35" t="s">
        <v>17</v>
      </c>
      <c r="D127" s="36">
        <v>0</v>
      </c>
      <c r="E127" s="36">
        <v>0</v>
      </c>
      <c r="F127" s="36">
        <f t="shared" si="46"/>
        <v>0</v>
      </c>
      <c r="G127" s="36">
        <v>0</v>
      </c>
      <c r="H127" s="35">
        <v>0</v>
      </c>
      <c r="I127" s="35">
        <v>0</v>
      </c>
      <c r="J127" s="35">
        <v>0</v>
      </c>
      <c r="K127" s="36">
        <f t="shared" si="47"/>
        <v>0</v>
      </c>
      <c r="L127" s="36">
        <v>0</v>
      </c>
    </row>
    <row r="128" spans="1:13">
      <c r="A128" s="125"/>
      <c r="B128" s="131" t="s">
        <v>37</v>
      </c>
      <c r="C128" s="35" t="s">
        <v>15</v>
      </c>
      <c r="D128" s="36">
        <v>1233125.02</v>
      </c>
      <c r="E128" s="36">
        <f>30091.89+250000-53634.57</f>
        <v>226457.32</v>
      </c>
      <c r="F128" s="36">
        <f t="shared" si="46"/>
        <v>1459582.34</v>
      </c>
      <c r="G128" s="36">
        <f>1418+25000</f>
        <v>26418</v>
      </c>
      <c r="H128" s="35">
        <v>0</v>
      </c>
      <c r="I128" s="35">
        <v>0</v>
      </c>
      <c r="J128" s="35">
        <v>0</v>
      </c>
      <c r="K128" s="36">
        <f t="shared" si="47"/>
        <v>1486000.34</v>
      </c>
      <c r="L128" s="36">
        <v>0</v>
      </c>
    </row>
    <row r="129" spans="1:15">
      <c r="A129" s="125"/>
      <c r="B129" s="132"/>
      <c r="C129" s="35" t="s">
        <v>16</v>
      </c>
      <c r="D129" s="36">
        <v>0</v>
      </c>
      <c r="E129" s="36">
        <v>0</v>
      </c>
      <c r="F129" s="36">
        <f t="shared" si="46"/>
        <v>0</v>
      </c>
      <c r="G129" s="36">
        <v>0</v>
      </c>
      <c r="H129" s="35">
        <v>0</v>
      </c>
      <c r="I129" s="35">
        <v>0</v>
      </c>
      <c r="J129" s="35">
        <v>0</v>
      </c>
      <c r="K129" s="36">
        <f t="shared" si="47"/>
        <v>0</v>
      </c>
      <c r="L129" s="36">
        <v>0</v>
      </c>
    </row>
    <row r="130" spans="1:15">
      <c r="A130" s="125"/>
      <c r="B130" s="132"/>
      <c r="C130" s="35" t="s">
        <v>17</v>
      </c>
      <c r="D130" s="36">
        <v>0</v>
      </c>
      <c r="E130" s="36">
        <v>0</v>
      </c>
      <c r="F130" s="36">
        <f t="shared" si="46"/>
        <v>0</v>
      </c>
      <c r="G130" s="36">
        <v>0</v>
      </c>
      <c r="H130" s="35">
        <v>0</v>
      </c>
      <c r="I130" s="35">
        <v>0</v>
      </c>
      <c r="J130" s="35">
        <v>0</v>
      </c>
      <c r="K130" s="36">
        <f t="shared" si="47"/>
        <v>0</v>
      </c>
      <c r="L130" s="36">
        <v>0</v>
      </c>
    </row>
    <row r="131" spans="1:15">
      <c r="A131" s="125"/>
      <c r="B131" s="134" t="s">
        <v>38</v>
      </c>
      <c r="C131" s="35" t="s">
        <v>15</v>
      </c>
      <c r="D131" s="36">
        <f t="shared" ref="D131:M131" si="48">D122+D125+D128</f>
        <v>10455274.57</v>
      </c>
      <c r="E131" s="36">
        <f t="shared" si="48"/>
        <v>1195550.72</v>
      </c>
      <c r="F131" s="36">
        <f t="shared" si="48"/>
        <v>11650825.289999999</v>
      </c>
      <c r="G131" s="36">
        <f t="shared" si="48"/>
        <v>827892</v>
      </c>
      <c r="H131" s="36">
        <f t="shared" si="48"/>
        <v>0</v>
      </c>
      <c r="I131" s="36">
        <f t="shared" si="48"/>
        <v>0</v>
      </c>
      <c r="J131" s="36">
        <f t="shared" si="48"/>
        <v>0</v>
      </c>
      <c r="K131" s="36">
        <f t="shared" si="48"/>
        <v>12478717.289999999</v>
      </c>
      <c r="L131" s="36">
        <f t="shared" si="48"/>
        <v>266639.45</v>
      </c>
      <c r="M131" s="45">
        <f t="shared" si="48"/>
        <v>0</v>
      </c>
    </row>
    <row r="132" spans="1:15">
      <c r="A132" s="125"/>
      <c r="B132" s="135"/>
      <c r="C132" s="35" t="s">
        <v>16</v>
      </c>
      <c r="D132" s="36">
        <f t="shared" ref="D132:L132" si="49">D123+D126+D129</f>
        <v>0</v>
      </c>
      <c r="E132" s="36">
        <f t="shared" si="49"/>
        <v>0</v>
      </c>
      <c r="F132" s="36">
        <f t="shared" si="49"/>
        <v>0</v>
      </c>
      <c r="G132" s="36">
        <f t="shared" si="49"/>
        <v>0</v>
      </c>
      <c r="H132" s="36">
        <f t="shared" si="49"/>
        <v>0</v>
      </c>
      <c r="I132" s="36">
        <f t="shared" si="49"/>
        <v>0</v>
      </c>
      <c r="J132" s="36">
        <f t="shared" si="49"/>
        <v>0</v>
      </c>
      <c r="K132" s="36">
        <f t="shared" si="49"/>
        <v>0</v>
      </c>
      <c r="L132" s="36">
        <f t="shared" si="49"/>
        <v>0</v>
      </c>
    </row>
    <row r="133" spans="1:15">
      <c r="A133" s="125"/>
      <c r="B133" s="135"/>
      <c r="C133" s="35" t="s">
        <v>17</v>
      </c>
      <c r="D133" s="36">
        <f t="shared" ref="D133:L133" si="50">D124+D127+D130</f>
        <v>0</v>
      </c>
      <c r="E133" s="36">
        <f t="shared" si="50"/>
        <v>0</v>
      </c>
      <c r="F133" s="36">
        <f t="shared" si="50"/>
        <v>0</v>
      </c>
      <c r="G133" s="36">
        <f t="shared" si="50"/>
        <v>0</v>
      </c>
      <c r="H133" s="36">
        <f t="shared" si="50"/>
        <v>0</v>
      </c>
      <c r="I133" s="36">
        <f t="shared" si="50"/>
        <v>0</v>
      </c>
      <c r="J133" s="36">
        <f t="shared" si="50"/>
        <v>0</v>
      </c>
      <c r="K133" s="36">
        <f t="shared" si="50"/>
        <v>0</v>
      </c>
      <c r="L133" s="36">
        <f t="shared" si="50"/>
        <v>0</v>
      </c>
    </row>
    <row r="134" spans="1:15">
      <c r="A134" s="125"/>
      <c r="B134" s="134" t="s">
        <v>39</v>
      </c>
      <c r="C134" s="35" t="s">
        <v>15</v>
      </c>
      <c r="D134" s="36">
        <f t="shared" ref="D134:M134" si="51">D115+D131</f>
        <v>22712419.690000001</v>
      </c>
      <c r="E134" s="36">
        <f t="shared" si="51"/>
        <v>1874893.2399999998</v>
      </c>
      <c r="F134" s="36">
        <f t="shared" si="51"/>
        <v>24587312.93</v>
      </c>
      <c r="G134" s="36">
        <f t="shared" si="51"/>
        <v>1807173</v>
      </c>
      <c r="H134" s="36">
        <f t="shared" si="51"/>
        <v>0</v>
      </c>
      <c r="I134" s="36">
        <f t="shared" si="51"/>
        <v>0</v>
      </c>
      <c r="J134" s="36">
        <f t="shared" si="51"/>
        <v>0</v>
      </c>
      <c r="K134" s="36">
        <f t="shared" si="51"/>
        <v>26394485.93</v>
      </c>
      <c r="L134" s="36">
        <f t="shared" si="51"/>
        <v>967592.45</v>
      </c>
      <c r="M134" s="51">
        <f t="shared" si="51"/>
        <v>0</v>
      </c>
    </row>
    <row r="135" spans="1:15">
      <c r="A135" s="125"/>
      <c r="B135" s="135"/>
      <c r="C135" s="35" t="s">
        <v>16</v>
      </c>
      <c r="D135" s="36">
        <f>D119</f>
        <v>12257145.119999999</v>
      </c>
      <c r="E135" s="36">
        <f t="shared" ref="E135:L135" si="52">E119</f>
        <v>679342.52</v>
      </c>
      <c r="F135" s="36">
        <f t="shared" si="52"/>
        <v>12936487.639999999</v>
      </c>
      <c r="G135" s="36">
        <f t="shared" si="52"/>
        <v>979281</v>
      </c>
      <c r="H135" s="36">
        <f t="shared" si="52"/>
        <v>0</v>
      </c>
      <c r="I135" s="36">
        <f t="shared" si="52"/>
        <v>0</v>
      </c>
      <c r="J135" s="36">
        <f t="shared" si="52"/>
        <v>0</v>
      </c>
      <c r="K135" s="36">
        <f t="shared" si="52"/>
        <v>13915768.639999999</v>
      </c>
      <c r="L135" s="36">
        <f t="shared" si="52"/>
        <v>700953</v>
      </c>
      <c r="M135" s="51">
        <f>M116+M132</f>
        <v>0</v>
      </c>
    </row>
    <row r="136" spans="1:15">
      <c r="A136" s="125"/>
      <c r="B136" s="135"/>
      <c r="C136" s="35" t="s">
        <v>17</v>
      </c>
      <c r="D136" s="36">
        <f>D121</f>
        <v>12257145.120000001</v>
      </c>
      <c r="E136" s="36">
        <f t="shared" ref="E136:M136" si="53">E121</f>
        <v>679342.52</v>
      </c>
      <c r="F136" s="36">
        <f t="shared" si="53"/>
        <v>12936487.640000002</v>
      </c>
      <c r="G136" s="36">
        <f t="shared" si="53"/>
        <v>979281</v>
      </c>
      <c r="H136" s="36">
        <f t="shared" si="53"/>
        <v>0</v>
      </c>
      <c r="I136" s="36">
        <f t="shared" si="53"/>
        <v>0</v>
      </c>
      <c r="J136" s="36">
        <f t="shared" si="53"/>
        <v>0</v>
      </c>
      <c r="K136" s="36">
        <f t="shared" si="53"/>
        <v>13915768.640000002</v>
      </c>
      <c r="L136" s="36">
        <f t="shared" si="53"/>
        <v>700953</v>
      </c>
      <c r="M136" s="51">
        <f t="shared" si="53"/>
        <v>1463</v>
      </c>
    </row>
    <row r="137" spans="1:15">
      <c r="A137" s="126"/>
      <c r="B137" s="151" t="s">
        <v>40</v>
      </c>
      <c r="C137" s="52" t="s">
        <v>15</v>
      </c>
      <c r="D137" s="53">
        <f t="shared" ref="D137:M137" si="54">D100+D134</f>
        <v>43826255</v>
      </c>
      <c r="E137" s="53">
        <f t="shared" si="54"/>
        <v>3398190.7499999995</v>
      </c>
      <c r="F137" s="53">
        <f t="shared" si="54"/>
        <v>47224445.75</v>
      </c>
      <c r="G137" s="53">
        <f t="shared" si="54"/>
        <v>3646224.37</v>
      </c>
      <c r="H137" s="53">
        <f t="shared" si="54"/>
        <v>478666.31000000006</v>
      </c>
      <c r="I137" s="53">
        <f t="shared" si="54"/>
        <v>0</v>
      </c>
      <c r="J137" s="53">
        <f t="shared" si="54"/>
        <v>0</v>
      </c>
      <c r="K137" s="53">
        <f t="shared" si="54"/>
        <v>51349336.430000007</v>
      </c>
      <c r="L137" s="53">
        <f t="shared" si="54"/>
        <v>2319272.4500000002</v>
      </c>
      <c r="M137" s="54">
        <f t="shared" si="54"/>
        <v>7315</v>
      </c>
    </row>
    <row r="138" spans="1:15">
      <c r="A138" s="126"/>
      <c r="B138" s="151"/>
      <c r="C138" s="52" t="s">
        <v>16</v>
      </c>
      <c r="D138" s="53">
        <f t="shared" ref="D138:M138" si="55">D103+D135</f>
        <v>36905096.890000001</v>
      </c>
      <c r="E138" s="53">
        <f t="shared" si="55"/>
        <v>2202640.0300000003</v>
      </c>
      <c r="F138" s="53">
        <f t="shared" si="55"/>
        <v>39107736.920000002</v>
      </c>
      <c r="G138" s="53">
        <f t="shared" si="55"/>
        <v>2818332.37</v>
      </c>
      <c r="H138" s="53">
        <f t="shared" si="55"/>
        <v>478666.31</v>
      </c>
      <c r="I138" s="53">
        <f t="shared" si="55"/>
        <v>0</v>
      </c>
      <c r="J138" s="53">
        <f t="shared" si="55"/>
        <v>0</v>
      </c>
      <c r="K138" s="53">
        <f t="shared" si="55"/>
        <v>42404735.600000001</v>
      </c>
      <c r="L138" s="53">
        <f t="shared" si="55"/>
        <v>2052633</v>
      </c>
      <c r="M138" s="54">
        <f t="shared" si="55"/>
        <v>1351680</v>
      </c>
    </row>
    <row r="139" spans="1:15">
      <c r="A139" s="126"/>
      <c r="B139" s="151"/>
      <c r="C139" s="52" t="s">
        <v>41</v>
      </c>
      <c r="D139" s="53">
        <f t="shared" ref="D139:M139" si="56">D119+D103</f>
        <v>36905096.890000001</v>
      </c>
      <c r="E139" s="53">
        <f t="shared" si="56"/>
        <v>2202640.0300000003</v>
      </c>
      <c r="F139" s="53">
        <f t="shared" si="56"/>
        <v>39107736.920000002</v>
      </c>
      <c r="G139" s="53">
        <f t="shared" si="56"/>
        <v>2818332.37</v>
      </c>
      <c r="H139" s="53">
        <f t="shared" si="56"/>
        <v>478666.31</v>
      </c>
      <c r="I139" s="53">
        <f t="shared" si="56"/>
        <v>0</v>
      </c>
      <c r="J139" s="53">
        <f t="shared" si="56"/>
        <v>0</v>
      </c>
      <c r="K139" s="53">
        <f t="shared" si="56"/>
        <v>42404735.600000001</v>
      </c>
      <c r="L139" s="53">
        <f t="shared" si="56"/>
        <v>2052633</v>
      </c>
      <c r="M139" s="54">
        <f t="shared" si="56"/>
        <v>2052633</v>
      </c>
    </row>
    <row r="140" spans="1:15">
      <c r="A140" s="126"/>
      <c r="B140" s="151"/>
      <c r="C140" s="55" t="s">
        <v>17</v>
      </c>
      <c r="D140" s="53">
        <f t="shared" ref="D140:M140" si="57">D105+D136</f>
        <v>33370980.430000003</v>
      </c>
      <c r="E140" s="53">
        <f t="shared" si="57"/>
        <v>2202640.0300000003</v>
      </c>
      <c r="F140" s="53">
        <f t="shared" si="57"/>
        <v>35573620.460000001</v>
      </c>
      <c r="G140" s="53">
        <f t="shared" si="57"/>
        <v>2818332.37</v>
      </c>
      <c r="H140" s="53">
        <f t="shared" si="57"/>
        <v>478666.31000000006</v>
      </c>
      <c r="I140" s="53">
        <f t="shared" si="57"/>
        <v>0</v>
      </c>
      <c r="J140" s="53">
        <f t="shared" si="57"/>
        <v>0</v>
      </c>
      <c r="K140" s="53">
        <f t="shared" si="57"/>
        <v>38870619.140000001</v>
      </c>
      <c r="L140" s="53">
        <f t="shared" si="57"/>
        <v>2052633</v>
      </c>
      <c r="M140" s="54">
        <f t="shared" si="57"/>
        <v>1463</v>
      </c>
    </row>
    <row r="141" spans="1:15">
      <c r="A141" s="143" t="s">
        <v>44</v>
      </c>
      <c r="B141" s="127" t="s">
        <v>14</v>
      </c>
      <c r="C141" s="32" t="s">
        <v>15</v>
      </c>
      <c r="D141" s="33">
        <f>1370640.22+285722.58</f>
        <v>1656362.8</v>
      </c>
      <c r="E141" s="33">
        <f>205576.83-158961.54</f>
        <v>46615.289999999979</v>
      </c>
      <c r="F141" s="33">
        <f t="shared" ref="F141:F149" si="58">D141+E141</f>
        <v>1702978.09</v>
      </c>
      <c r="G141" s="33">
        <f>306451.07-49640.33</f>
        <v>256810.74</v>
      </c>
      <c r="H141" s="33">
        <v>0</v>
      </c>
      <c r="I141" s="33">
        <v>0</v>
      </c>
      <c r="J141" s="33">
        <v>0</v>
      </c>
      <c r="K141" s="33">
        <f t="shared" ref="K141:K149" si="59">J141+I141+H141+G141+E141+D141</f>
        <v>1959788.83</v>
      </c>
      <c r="L141" s="33">
        <f>113049+16234</f>
        <v>129283</v>
      </c>
    </row>
    <row r="142" spans="1:15">
      <c r="A142" s="144"/>
      <c r="B142" s="127"/>
      <c r="C142" s="35" t="s">
        <v>16</v>
      </c>
      <c r="D142" s="36">
        <v>1595663.91</v>
      </c>
      <c r="E142" s="36">
        <v>46615.29</v>
      </c>
      <c r="F142" s="36">
        <f t="shared" si="58"/>
        <v>1642279.2</v>
      </c>
      <c r="G142" s="36">
        <v>256810.74</v>
      </c>
      <c r="H142" s="36">
        <v>0</v>
      </c>
      <c r="I142" s="36">
        <v>0</v>
      </c>
      <c r="J142" s="36">
        <v>0</v>
      </c>
      <c r="K142" s="36">
        <f t="shared" si="59"/>
        <v>1899089.94</v>
      </c>
      <c r="L142" s="36">
        <v>129283</v>
      </c>
    </row>
    <row r="143" spans="1:15">
      <c r="A143" s="144"/>
      <c r="B143" s="127"/>
      <c r="C143" s="37" t="s">
        <v>17</v>
      </c>
      <c r="D143" s="36">
        <v>1595663.91</v>
      </c>
      <c r="E143" s="36">
        <v>46615.29</v>
      </c>
      <c r="F143" s="36">
        <f t="shared" si="58"/>
        <v>1642279.2</v>
      </c>
      <c r="G143" s="36">
        <v>256810.74</v>
      </c>
      <c r="H143" s="36">
        <v>0</v>
      </c>
      <c r="I143" s="36">
        <v>0</v>
      </c>
      <c r="J143" s="36">
        <v>0</v>
      </c>
      <c r="K143" s="36">
        <f t="shared" si="59"/>
        <v>1899089.94</v>
      </c>
      <c r="L143" s="36">
        <v>129283</v>
      </c>
    </row>
    <row r="144" spans="1:15">
      <c r="A144" s="144"/>
      <c r="B144" s="128" t="s">
        <v>18</v>
      </c>
      <c r="C144" s="35" t="s">
        <v>15</v>
      </c>
      <c r="D144" s="36">
        <f>1370640.22+182199.95-59854.59</f>
        <v>1492985.5799999998</v>
      </c>
      <c r="E144" s="36">
        <f>205576.83-116318.69</f>
        <v>89258.139999999985</v>
      </c>
      <c r="F144" s="36">
        <f t="shared" si="58"/>
        <v>1582243.7199999997</v>
      </c>
      <c r="G144" s="36">
        <f>306451.07-6713.69-10047.58</f>
        <v>289689.8</v>
      </c>
      <c r="H144" s="36">
        <v>0</v>
      </c>
      <c r="I144" s="36">
        <v>0</v>
      </c>
      <c r="J144" s="36">
        <v>0</v>
      </c>
      <c r="K144" s="36">
        <f t="shared" si="59"/>
        <v>1871933.5199999998</v>
      </c>
      <c r="L144" s="36">
        <v>113971</v>
      </c>
      <c r="N144" s="94"/>
      <c r="O144" s="95"/>
    </row>
    <row r="145" spans="1:13">
      <c r="A145" s="144"/>
      <c r="B145" s="127"/>
      <c r="C145" s="35" t="s">
        <v>16</v>
      </c>
      <c r="D145" s="36">
        <v>1373187.65</v>
      </c>
      <c r="E145" s="36">
        <v>89258.14</v>
      </c>
      <c r="F145" s="36">
        <f t="shared" si="58"/>
        <v>1462445.7899999998</v>
      </c>
      <c r="G145" s="36">
        <v>271864.53000000003</v>
      </c>
      <c r="H145" s="36">
        <v>0</v>
      </c>
      <c r="I145" s="36">
        <v>0</v>
      </c>
      <c r="J145" s="36">
        <v>0</v>
      </c>
      <c r="K145" s="36">
        <f t="shared" si="59"/>
        <v>1734310.3199999998</v>
      </c>
      <c r="L145" s="36">
        <v>113971</v>
      </c>
    </row>
    <row r="146" spans="1:13">
      <c r="A146" s="144"/>
      <c r="B146" s="127"/>
      <c r="C146" s="37" t="s">
        <v>17</v>
      </c>
      <c r="D146" s="36">
        <v>1373187.65</v>
      </c>
      <c r="E146" s="36">
        <v>89258.14</v>
      </c>
      <c r="F146" s="36">
        <f t="shared" si="58"/>
        <v>1462445.7899999998</v>
      </c>
      <c r="G146" s="36">
        <v>271864.53000000003</v>
      </c>
      <c r="H146" s="36">
        <v>0</v>
      </c>
      <c r="I146" s="36">
        <v>0</v>
      </c>
      <c r="J146" s="36">
        <v>0</v>
      </c>
      <c r="K146" s="36">
        <f t="shared" si="59"/>
        <v>1734310.3199999998</v>
      </c>
      <c r="L146" s="36">
        <v>113971</v>
      </c>
      <c r="M146" s="38"/>
    </row>
    <row r="147" spans="1:13">
      <c r="A147" s="144"/>
      <c r="B147" s="128" t="s">
        <v>19</v>
      </c>
      <c r="C147" s="35" t="s">
        <v>15</v>
      </c>
      <c r="D147" s="36">
        <v>1958649.01</v>
      </c>
      <c r="E147" s="36">
        <f>205576.83-79628.8</f>
        <v>125948.02999999998</v>
      </c>
      <c r="F147" s="36">
        <f t="shared" si="58"/>
        <v>2084597.04</v>
      </c>
      <c r="G147" s="36">
        <v>306451.07</v>
      </c>
      <c r="H147" s="36">
        <v>0</v>
      </c>
      <c r="I147" s="36">
        <v>0</v>
      </c>
      <c r="J147" s="36">
        <v>0</v>
      </c>
      <c r="K147" s="36">
        <f t="shared" si="59"/>
        <v>2391048.11</v>
      </c>
      <c r="L147" s="36">
        <v>136004</v>
      </c>
    </row>
    <row r="148" spans="1:13">
      <c r="A148" s="144"/>
      <c r="B148" s="127"/>
      <c r="C148" s="35" t="s">
        <v>16</v>
      </c>
      <c r="D148" s="36">
        <v>2085124.17</v>
      </c>
      <c r="E148" s="36">
        <v>125964.12</v>
      </c>
      <c r="F148" s="36">
        <f t="shared" si="58"/>
        <v>2211088.29</v>
      </c>
      <c r="G148" s="36">
        <v>324263.78999999998</v>
      </c>
      <c r="H148" s="36">
        <v>0</v>
      </c>
      <c r="I148" s="36">
        <v>0</v>
      </c>
      <c r="J148" s="36">
        <v>0</v>
      </c>
      <c r="K148" s="36">
        <f t="shared" si="59"/>
        <v>2535352.08</v>
      </c>
      <c r="L148" s="36">
        <v>136004</v>
      </c>
    </row>
    <row r="149" spans="1:13">
      <c r="A149" s="144"/>
      <c r="B149" s="127"/>
      <c r="C149" s="37" t="s">
        <v>17</v>
      </c>
      <c r="D149" s="36">
        <v>1958247.16</v>
      </c>
      <c r="E149" s="36">
        <v>125964.12</v>
      </c>
      <c r="F149" s="36">
        <f t="shared" si="58"/>
        <v>2084211.2799999998</v>
      </c>
      <c r="G149" s="36">
        <v>306418.86</v>
      </c>
      <c r="H149" s="36">
        <v>0</v>
      </c>
      <c r="I149" s="36">
        <v>0</v>
      </c>
      <c r="J149" s="36">
        <v>0</v>
      </c>
      <c r="K149" s="36">
        <f t="shared" si="59"/>
        <v>2390630.1399999997</v>
      </c>
      <c r="L149" s="36">
        <v>136004</v>
      </c>
    </row>
    <row r="150" spans="1:13">
      <c r="A150" s="144"/>
      <c r="B150" s="98" t="s">
        <v>20</v>
      </c>
      <c r="C150" s="35" t="s">
        <v>15</v>
      </c>
      <c r="D150" s="36">
        <f t="shared" ref="D150:G152" si="60">D147+D144+D141</f>
        <v>5107997.3899999997</v>
      </c>
      <c r="E150" s="36">
        <f t="shared" si="60"/>
        <v>261821.45999999996</v>
      </c>
      <c r="F150" s="36">
        <f t="shared" si="60"/>
        <v>5369818.8499999996</v>
      </c>
      <c r="G150" s="36">
        <f t="shared" si="60"/>
        <v>852951.61</v>
      </c>
      <c r="H150" s="36">
        <v>0</v>
      </c>
      <c r="I150" s="36">
        <f t="shared" ref="I150:K152" si="61">I147+I144+I141</f>
        <v>0</v>
      </c>
      <c r="J150" s="36">
        <f t="shared" si="61"/>
        <v>0</v>
      </c>
      <c r="K150" s="36">
        <f t="shared" si="61"/>
        <v>6222770.46</v>
      </c>
      <c r="L150" s="36">
        <f>L147+L144+L141+11506</f>
        <v>390764</v>
      </c>
      <c r="M150" s="56">
        <f>M147+M144+M141+11506</f>
        <v>11506</v>
      </c>
    </row>
    <row r="151" spans="1:13">
      <c r="A151" s="144"/>
      <c r="B151" s="98"/>
      <c r="C151" s="35" t="s">
        <v>16</v>
      </c>
      <c r="D151" s="36">
        <f t="shared" si="60"/>
        <v>5053975.7299999995</v>
      </c>
      <c r="E151" s="36">
        <f t="shared" si="60"/>
        <v>261837.55000000002</v>
      </c>
      <c r="F151" s="36">
        <f t="shared" si="60"/>
        <v>5315813.28</v>
      </c>
      <c r="G151" s="36">
        <f t="shared" si="60"/>
        <v>852939.06</v>
      </c>
      <c r="H151" s="36">
        <f>H148+H145+H142</f>
        <v>0</v>
      </c>
      <c r="I151" s="36">
        <f t="shared" si="61"/>
        <v>0</v>
      </c>
      <c r="J151" s="36">
        <f t="shared" si="61"/>
        <v>0</v>
      </c>
      <c r="K151" s="36">
        <f t="shared" si="61"/>
        <v>6168752.3399999999</v>
      </c>
      <c r="L151" s="36">
        <v>390764</v>
      </c>
      <c r="M151" s="56">
        <v>390764</v>
      </c>
    </row>
    <row r="152" spans="1:13">
      <c r="A152" s="144"/>
      <c r="B152" s="98"/>
      <c r="C152" s="37" t="s">
        <v>17</v>
      </c>
      <c r="D152" s="36">
        <f t="shared" si="60"/>
        <v>4927098.72</v>
      </c>
      <c r="E152" s="36">
        <f t="shared" si="60"/>
        <v>261837.55000000002</v>
      </c>
      <c r="F152" s="36">
        <f t="shared" si="60"/>
        <v>5188936.2699999996</v>
      </c>
      <c r="G152" s="36">
        <f t="shared" si="60"/>
        <v>835094.13</v>
      </c>
      <c r="H152" s="36">
        <f>H149+H146+H143</f>
        <v>0</v>
      </c>
      <c r="I152" s="36">
        <f t="shared" si="61"/>
        <v>0</v>
      </c>
      <c r="J152" s="36">
        <f t="shared" si="61"/>
        <v>0</v>
      </c>
      <c r="K152" s="36">
        <f t="shared" si="61"/>
        <v>6024030.3999999994</v>
      </c>
      <c r="L152" s="36">
        <v>390764</v>
      </c>
    </row>
    <row r="153" spans="1:13">
      <c r="A153" s="144"/>
      <c r="B153" s="98"/>
      <c r="C153" s="37" t="s">
        <v>45</v>
      </c>
      <c r="D153" s="36">
        <v>5107997.3899999997</v>
      </c>
      <c r="E153" s="36">
        <v>261821.46</v>
      </c>
      <c r="F153" s="36">
        <f>D153+E153</f>
        <v>5369818.8499999996</v>
      </c>
      <c r="G153" s="36">
        <v>852951.61</v>
      </c>
      <c r="H153" s="36">
        <v>0</v>
      </c>
      <c r="I153" s="36">
        <f>I151-I152</f>
        <v>0</v>
      </c>
      <c r="J153" s="36">
        <f>J151-J152</f>
        <v>0</v>
      </c>
      <c r="K153" s="36">
        <f>F153+G153</f>
        <v>6222770.46</v>
      </c>
      <c r="L153" s="36">
        <f>L150</f>
        <v>390764</v>
      </c>
      <c r="M153" s="57">
        <f t="shared" ref="M153" si="62">M150</f>
        <v>11506</v>
      </c>
    </row>
    <row r="154" spans="1:13">
      <c r="A154" s="144"/>
      <c r="B154" s="98"/>
      <c r="C154" s="37" t="s">
        <v>43</v>
      </c>
      <c r="D154" s="36">
        <v>180898.67</v>
      </c>
      <c r="E154" s="36">
        <v>-16.09</v>
      </c>
      <c r="F154" s="36">
        <f>D154+E154</f>
        <v>180882.58000000002</v>
      </c>
      <c r="G154" s="36">
        <v>17857.48</v>
      </c>
      <c r="H154" s="36">
        <v>0</v>
      </c>
      <c r="I154" s="36"/>
      <c r="J154" s="36"/>
      <c r="K154" s="36">
        <f>F154+G154</f>
        <v>198740.06000000003</v>
      </c>
      <c r="L154" s="36">
        <v>390764</v>
      </c>
      <c r="M154" s="57">
        <v>390764</v>
      </c>
    </row>
    <row r="155" spans="1:13">
      <c r="A155" s="144"/>
      <c r="B155" s="98"/>
      <c r="C155" s="37" t="s">
        <v>23</v>
      </c>
      <c r="D155" s="36">
        <f>D152+D154</f>
        <v>5107997.3899999997</v>
      </c>
      <c r="E155" s="36">
        <f t="shared" ref="E155:K155" si="63">E152+E154</f>
        <v>261821.46000000002</v>
      </c>
      <c r="F155" s="36">
        <f t="shared" si="63"/>
        <v>5369818.8499999996</v>
      </c>
      <c r="G155" s="36">
        <f t="shared" si="63"/>
        <v>852951.61</v>
      </c>
      <c r="H155" s="36">
        <v>0</v>
      </c>
      <c r="I155" s="36">
        <f t="shared" si="63"/>
        <v>0</v>
      </c>
      <c r="J155" s="36">
        <f t="shared" si="63"/>
        <v>0</v>
      </c>
      <c r="K155" s="36">
        <f t="shared" si="63"/>
        <v>6222770.459999999</v>
      </c>
      <c r="L155" s="36">
        <v>390764</v>
      </c>
      <c r="M155" s="57">
        <v>390764</v>
      </c>
    </row>
    <row r="156" spans="1:13">
      <c r="A156" s="145"/>
      <c r="B156" s="129" t="s">
        <v>24</v>
      </c>
      <c r="C156" s="35" t="s">
        <v>15</v>
      </c>
      <c r="D156" s="36">
        <f>1370640.22+285722.58-47620.43</f>
        <v>1608742.37</v>
      </c>
      <c r="E156" s="36">
        <f>205576.83-136502.09</f>
        <v>69074.739999999991</v>
      </c>
      <c r="F156" s="36">
        <f t="shared" ref="F156:F162" si="64">D156+E156</f>
        <v>1677817.11</v>
      </c>
      <c r="G156" s="36">
        <f>306451.07-22678.9</f>
        <v>283772.17</v>
      </c>
      <c r="H156" s="36">
        <v>0</v>
      </c>
      <c r="I156" s="36">
        <v>0</v>
      </c>
      <c r="J156" s="36">
        <v>0</v>
      </c>
      <c r="K156" s="36">
        <f t="shared" ref="K156:K166" si="65">J156+I156+H156+G156+E156+D156</f>
        <v>1961589.28</v>
      </c>
      <c r="L156" s="36">
        <f>112060.14-12796.14</f>
        <v>99264</v>
      </c>
    </row>
    <row r="157" spans="1:13">
      <c r="A157" s="145"/>
      <c r="B157" s="130"/>
      <c r="C157" s="35" t="s">
        <v>16</v>
      </c>
      <c r="D157" s="36">
        <v>1607601.58</v>
      </c>
      <c r="E157" s="36">
        <v>69074.740000000005</v>
      </c>
      <c r="F157" s="36">
        <f t="shared" si="64"/>
        <v>1676676.32</v>
      </c>
      <c r="G157" s="36">
        <v>270676.69</v>
      </c>
      <c r="H157" s="36">
        <v>0</v>
      </c>
      <c r="I157" s="36">
        <v>0</v>
      </c>
      <c r="J157" s="36">
        <v>0</v>
      </c>
      <c r="K157" s="36">
        <f t="shared" si="65"/>
        <v>1947353.01</v>
      </c>
      <c r="L157" s="36">
        <v>99264</v>
      </c>
    </row>
    <row r="158" spans="1:13">
      <c r="A158" s="145"/>
      <c r="B158" s="130"/>
      <c r="C158" s="37" t="s">
        <v>17</v>
      </c>
      <c r="D158" s="36">
        <v>1607601.58</v>
      </c>
      <c r="E158" s="36">
        <v>69074.740000000005</v>
      </c>
      <c r="F158" s="36">
        <f t="shared" si="64"/>
        <v>1676676.32</v>
      </c>
      <c r="G158" s="36">
        <v>270676.69</v>
      </c>
      <c r="H158" s="36">
        <v>0</v>
      </c>
      <c r="I158" s="36">
        <v>0</v>
      </c>
      <c r="J158" s="36">
        <v>0</v>
      </c>
      <c r="K158" s="36">
        <f t="shared" si="65"/>
        <v>1947353.01</v>
      </c>
      <c r="L158" s="36">
        <v>99264</v>
      </c>
    </row>
    <row r="159" spans="1:13">
      <c r="A159" s="145"/>
      <c r="B159" s="129" t="s">
        <v>25</v>
      </c>
      <c r="C159" s="35" t="s">
        <v>15</v>
      </c>
      <c r="D159" s="36">
        <v>1958649.01</v>
      </c>
      <c r="E159" s="36">
        <f>205576.83-112650.95</f>
        <v>92925.87999999999</v>
      </c>
      <c r="F159" s="36">
        <f t="shared" si="64"/>
        <v>2051574.89</v>
      </c>
      <c r="G159" s="36">
        <v>306451.07</v>
      </c>
      <c r="H159" s="36">
        <v>0</v>
      </c>
      <c r="I159" s="36">
        <v>0</v>
      </c>
      <c r="J159" s="36">
        <v>0</v>
      </c>
      <c r="K159" s="36">
        <f t="shared" si="65"/>
        <v>2358025.96</v>
      </c>
      <c r="L159" s="36">
        <f>124856.28+11774.72</f>
        <v>136631</v>
      </c>
    </row>
    <row r="160" spans="1:13">
      <c r="A160" s="145"/>
      <c r="B160" s="130"/>
      <c r="C160" s="35" t="s">
        <v>16</v>
      </c>
      <c r="D160" s="36">
        <v>1989967.73</v>
      </c>
      <c r="E160" s="36">
        <v>92925.88</v>
      </c>
      <c r="F160" s="36">
        <f t="shared" si="64"/>
        <v>2082893.6099999999</v>
      </c>
      <c r="G160" s="43">
        <v>318140.74</v>
      </c>
      <c r="H160" s="36">
        <v>0</v>
      </c>
      <c r="I160" s="36">
        <v>0</v>
      </c>
      <c r="J160" s="36">
        <v>0</v>
      </c>
      <c r="K160" s="36">
        <f t="shared" si="65"/>
        <v>2401034.35</v>
      </c>
      <c r="L160" s="58">
        <v>136631</v>
      </c>
    </row>
    <row r="161" spans="1:13">
      <c r="A161" s="145"/>
      <c r="B161" s="130"/>
      <c r="C161" s="37" t="s">
        <v>17</v>
      </c>
      <c r="D161" s="36">
        <v>1958083.78</v>
      </c>
      <c r="E161" s="36">
        <v>92925.88</v>
      </c>
      <c r="F161" s="36">
        <f t="shared" si="64"/>
        <v>2051009.6600000001</v>
      </c>
      <c r="G161" s="36">
        <v>306425.48</v>
      </c>
      <c r="H161" s="36">
        <v>0</v>
      </c>
      <c r="I161" s="36">
        <v>0</v>
      </c>
      <c r="J161" s="36">
        <v>0</v>
      </c>
      <c r="K161" s="36">
        <f t="shared" si="65"/>
        <v>2357435.14</v>
      </c>
      <c r="L161" s="36">
        <v>136631</v>
      </c>
    </row>
    <row r="162" spans="1:13">
      <c r="A162" s="145"/>
      <c r="B162" s="136" t="s">
        <v>26</v>
      </c>
      <c r="C162" s="35" t="s">
        <v>15</v>
      </c>
      <c r="D162" s="36">
        <f>1370640.22+285722.58-24009.35</f>
        <v>1632353.45</v>
      </c>
      <c r="E162" s="36">
        <f>205576.83-107936.59</f>
        <v>97640.239999999991</v>
      </c>
      <c r="F162" s="36">
        <f t="shared" si="64"/>
        <v>1729993.69</v>
      </c>
      <c r="G162" s="36">
        <v>306451.07</v>
      </c>
      <c r="H162" s="36">
        <v>0</v>
      </c>
      <c r="I162" s="36">
        <v>0</v>
      </c>
      <c r="J162" s="36">
        <v>0</v>
      </c>
      <c r="K162" s="36">
        <f t="shared" si="65"/>
        <v>2036444.76</v>
      </c>
      <c r="L162" s="36">
        <f>107844+3773</f>
        <v>111617</v>
      </c>
    </row>
    <row r="163" spans="1:13">
      <c r="A163" s="145"/>
      <c r="B163" s="137"/>
      <c r="C163" s="35" t="s">
        <v>16</v>
      </c>
      <c r="D163" s="36">
        <v>1567483.74</v>
      </c>
      <c r="E163" s="36">
        <v>98237.77</v>
      </c>
      <c r="F163" s="36">
        <f>SUM(D163:E163)</f>
        <v>1665721.51</v>
      </c>
      <c r="G163" s="36">
        <v>312825.24</v>
      </c>
      <c r="H163" s="36">
        <v>0</v>
      </c>
      <c r="I163" s="36">
        <v>0</v>
      </c>
      <c r="J163" s="36">
        <v>0</v>
      </c>
      <c r="K163" s="36">
        <f t="shared" si="65"/>
        <v>1978546.75</v>
      </c>
      <c r="L163" s="36">
        <v>107844</v>
      </c>
    </row>
    <row r="164" spans="1:13">
      <c r="A164" s="145"/>
      <c r="B164" s="137"/>
      <c r="C164" s="37" t="s">
        <v>17</v>
      </c>
      <c r="D164" s="36">
        <f>886304.54+681179.2</f>
        <v>1567483.74</v>
      </c>
      <c r="E164" s="36">
        <v>98237.77</v>
      </c>
      <c r="F164" s="36">
        <f>SUM(D164:E164)</f>
        <v>1665721.51</v>
      </c>
      <c r="G164" s="36">
        <v>306425.78000000003</v>
      </c>
      <c r="H164" s="36">
        <v>0</v>
      </c>
      <c r="I164" s="36">
        <v>0</v>
      </c>
      <c r="J164" s="36">
        <v>0</v>
      </c>
      <c r="K164" s="36">
        <f t="shared" si="65"/>
        <v>1972147.29</v>
      </c>
      <c r="L164" s="36">
        <v>107844</v>
      </c>
    </row>
    <row r="165" spans="1:13">
      <c r="A165" s="145"/>
      <c r="B165" s="98" t="s">
        <v>27</v>
      </c>
      <c r="C165" s="35" t="s">
        <v>15</v>
      </c>
      <c r="D165" s="36">
        <f t="shared" ref="D165:J165" si="66">D162+D159+D156</f>
        <v>5199744.83</v>
      </c>
      <c r="E165" s="36">
        <f t="shared" si="66"/>
        <v>259640.86</v>
      </c>
      <c r="F165" s="36">
        <f t="shared" si="66"/>
        <v>5459385.6900000004</v>
      </c>
      <c r="G165" s="36">
        <f t="shared" si="66"/>
        <v>896674.31</v>
      </c>
      <c r="H165" s="36">
        <f t="shared" si="66"/>
        <v>0</v>
      </c>
      <c r="I165" s="36">
        <f t="shared" si="66"/>
        <v>0</v>
      </c>
      <c r="J165" s="36">
        <f t="shared" si="66"/>
        <v>0</v>
      </c>
      <c r="K165" s="36">
        <f t="shared" si="65"/>
        <v>6356060</v>
      </c>
      <c r="L165" s="36">
        <f>L162+L159+L156</f>
        <v>347512</v>
      </c>
    </row>
    <row r="166" spans="1:13">
      <c r="A166" s="145"/>
      <c r="B166" s="98"/>
      <c r="C166" s="35" t="s">
        <v>16</v>
      </c>
      <c r="D166" s="36">
        <f>D163+D160+D157</f>
        <v>5165053.05</v>
      </c>
      <c r="E166" s="36">
        <f>E163+E160+E157</f>
        <v>260238.39</v>
      </c>
      <c r="F166" s="36">
        <f>D166+E166</f>
        <v>5425291.4399999995</v>
      </c>
      <c r="G166" s="36">
        <f>G163+G160+G157</f>
        <v>901642.66999999993</v>
      </c>
      <c r="H166" s="36">
        <v>0</v>
      </c>
      <c r="I166" s="36">
        <f>I163+I160+I157</f>
        <v>0</v>
      </c>
      <c r="J166" s="36">
        <f>J163+J160+J157</f>
        <v>0</v>
      </c>
      <c r="K166" s="36">
        <f t="shared" si="65"/>
        <v>6326934.1099999994</v>
      </c>
      <c r="L166" s="36">
        <f>L163+L160+L157</f>
        <v>343739</v>
      </c>
    </row>
    <row r="167" spans="1:13">
      <c r="A167" s="145"/>
      <c r="B167" s="98"/>
      <c r="C167" s="37" t="s">
        <v>17</v>
      </c>
      <c r="D167" s="36">
        <f>D164+D161+D158</f>
        <v>5133169.0999999996</v>
      </c>
      <c r="E167" s="36">
        <f>E164+E161+E158</f>
        <v>260238.39</v>
      </c>
      <c r="F167" s="36">
        <f>F164+F161+F158</f>
        <v>5393407.4900000002</v>
      </c>
      <c r="G167" s="36">
        <f>G164+G161+G158</f>
        <v>883527.95</v>
      </c>
      <c r="H167" s="36">
        <f>H164+H161+H158</f>
        <v>0</v>
      </c>
      <c r="I167" s="36">
        <f>I164+I161+I158</f>
        <v>0</v>
      </c>
      <c r="J167" s="36">
        <f>J164+J161+J158</f>
        <v>0</v>
      </c>
      <c r="K167" s="36">
        <f>K164+K161+K158</f>
        <v>6276935.4399999995</v>
      </c>
      <c r="L167" s="36">
        <f>L164+L161+L158</f>
        <v>343739</v>
      </c>
    </row>
    <row r="168" spans="1:13">
      <c r="A168" s="145"/>
      <c r="B168" s="138" t="s">
        <v>29</v>
      </c>
      <c r="C168" s="35" t="s">
        <v>15</v>
      </c>
      <c r="D168" s="36">
        <f>D150+D165</f>
        <v>10307742.219999999</v>
      </c>
      <c r="E168" s="36">
        <f>E150+E165</f>
        <v>521462.31999999995</v>
      </c>
      <c r="F168" s="36">
        <f>D168+E168</f>
        <v>10829204.539999999</v>
      </c>
      <c r="G168" s="36">
        <f>G150+G165</f>
        <v>1749625.92</v>
      </c>
      <c r="H168" s="36">
        <f>H150+H165</f>
        <v>0</v>
      </c>
      <c r="I168" s="36">
        <f>I150+I165</f>
        <v>0</v>
      </c>
      <c r="J168" s="36">
        <f>J150+J165</f>
        <v>0</v>
      </c>
      <c r="K168" s="36">
        <f>J168+I168+H168+G168+E168+D168</f>
        <v>12578830.459999999</v>
      </c>
      <c r="L168" s="36">
        <f>L150+L165</f>
        <v>738276</v>
      </c>
      <c r="M168" s="59">
        <f>M150+M165</f>
        <v>11506</v>
      </c>
    </row>
    <row r="169" spans="1:13">
      <c r="A169" s="145"/>
      <c r="B169" s="139"/>
      <c r="C169" s="35" t="s">
        <v>16</v>
      </c>
      <c r="D169" s="36">
        <f t="shared" ref="D169:K169" si="67">D153+D166</f>
        <v>10273050.439999999</v>
      </c>
      <c r="E169" s="36">
        <f t="shared" si="67"/>
        <v>522059.85</v>
      </c>
      <c r="F169" s="36">
        <f t="shared" si="67"/>
        <v>10795110.289999999</v>
      </c>
      <c r="G169" s="36">
        <f t="shared" si="67"/>
        <v>1754594.2799999998</v>
      </c>
      <c r="H169" s="36">
        <f t="shared" si="67"/>
        <v>0</v>
      </c>
      <c r="I169" s="36">
        <f t="shared" si="67"/>
        <v>0</v>
      </c>
      <c r="J169" s="36">
        <f t="shared" si="67"/>
        <v>0</v>
      </c>
      <c r="K169" s="36">
        <f t="shared" si="67"/>
        <v>12549704.57</v>
      </c>
      <c r="L169" s="36">
        <f>L166+L151</f>
        <v>734503</v>
      </c>
    </row>
    <row r="170" spans="1:13">
      <c r="A170" s="145"/>
      <c r="B170" s="139"/>
      <c r="C170" s="37" t="s">
        <v>17</v>
      </c>
      <c r="D170" s="36">
        <f t="shared" ref="D170:K170" si="68">D155+D167</f>
        <v>10241166.489999998</v>
      </c>
      <c r="E170" s="36">
        <f t="shared" si="68"/>
        <v>522059.85000000003</v>
      </c>
      <c r="F170" s="36">
        <f t="shared" si="68"/>
        <v>10763226.34</v>
      </c>
      <c r="G170" s="36">
        <f t="shared" si="68"/>
        <v>1736479.56</v>
      </c>
      <c r="H170" s="36">
        <f t="shared" si="68"/>
        <v>0</v>
      </c>
      <c r="I170" s="36">
        <f t="shared" si="68"/>
        <v>0</v>
      </c>
      <c r="J170" s="36">
        <f t="shared" si="68"/>
        <v>0</v>
      </c>
      <c r="K170" s="36">
        <f t="shared" si="68"/>
        <v>12499705.899999999</v>
      </c>
      <c r="L170" s="36">
        <f>L167+L152</f>
        <v>734503</v>
      </c>
    </row>
    <row r="171" spans="1:13">
      <c r="A171" s="145"/>
      <c r="B171" s="127"/>
      <c r="C171" s="37" t="s">
        <v>45</v>
      </c>
      <c r="D171" s="36">
        <v>10307742.220000001</v>
      </c>
      <c r="E171" s="36">
        <v>521462.32</v>
      </c>
      <c r="F171" s="36">
        <f>D171+E171</f>
        <v>10829204.540000001</v>
      </c>
      <c r="G171" s="36">
        <v>1749625.92</v>
      </c>
      <c r="H171" s="36">
        <v>0</v>
      </c>
      <c r="I171" s="36"/>
      <c r="J171" s="36"/>
      <c r="K171" s="36">
        <f>F171+G171</f>
        <v>12578830.460000001</v>
      </c>
      <c r="L171" s="36">
        <v>738276</v>
      </c>
      <c r="M171" s="60"/>
    </row>
    <row r="172" spans="1:13">
      <c r="A172" s="145"/>
      <c r="B172" s="127"/>
      <c r="C172" s="37" t="s">
        <v>43</v>
      </c>
      <c r="D172" s="36">
        <v>66575.73</v>
      </c>
      <c r="E172" s="36">
        <v>-597.53</v>
      </c>
      <c r="F172" s="36">
        <f>D172+E172</f>
        <v>65978.2</v>
      </c>
      <c r="G172" s="36">
        <v>13146.36</v>
      </c>
      <c r="H172" s="36">
        <v>0</v>
      </c>
      <c r="I172" s="36"/>
      <c r="J172" s="36"/>
      <c r="K172" s="36">
        <f>F172+G172</f>
        <v>79124.56</v>
      </c>
      <c r="L172" s="36">
        <v>3773</v>
      </c>
      <c r="M172" s="60"/>
    </row>
    <row r="173" spans="1:13">
      <c r="A173" s="145"/>
      <c r="B173" s="127"/>
      <c r="C173" s="37" t="s">
        <v>23</v>
      </c>
      <c r="D173" s="36">
        <f>D170+D172</f>
        <v>10307742.219999999</v>
      </c>
      <c r="E173" s="36">
        <f>E170+E172</f>
        <v>521462.32</v>
      </c>
      <c r="F173" s="36">
        <f>D173+E173</f>
        <v>10829204.539999999</v>
      </c>
      <c r="G173" s="36">
        <f t="shared" ref="G173:L173" si="69">G170+G172</f>
        <v>1749625.9200000002</v>
      </c>
      <c r="H173" s="36">
        <f t="shared" si="69"/>
        <v>0</v>
      </c>
      <c r="I173" s="36">
        <f t="shared" si="69"/>
        <v>0</v>
      </c>
      <c r="J173" s="36">
        <f t="shared" si="69"/>
        <v>0</v>
      </c>
      <c r="K173" s="36">
        <f t="shared" si="69"/>
        <v>12578830.459999999</v>
      </c>
      <c r="L173" s="36">
        <f t="shared" si="69"/>
        <v>738276</v>
      </c>
      <c r="M173" s="60"/>
    </row>
    <row r="174" spans="1:13">
      <c r="A174" s="145"/>
      <c r="B174" s="131" t="s">
        <v>30</v>
      </c>
      <c r="C174" s="35" t="s">
        <v>15</v>
      </c>
      <c r="D174" s="36">
        <f>1306939.32+237449.83-33583.17</f>
        <v>1510805.9800000002</v>
      </c>
      <c r="E174" s="36">
        <f>205867.75-76477.93</f>
        <v>129389.82</v>
      </c>
      <c r="F174" s="36">
        <f t="shared" ref="F174:F182" si="70">SUM(D174:E174)</f>
        <v>1640195.8000000003</v>
      </c>
      <c r="G174" s="36">
        <f>352309-39391</f>
        <v>312918</v>
      </c>
      <c r="H174" s="35">
        <v>0</v>
      </c>
      <c r="I174" s="35">
        <v>0</v>
      </c>
      <c r="J174" s="35">
        <v>0</v>
      </c>
      <c r="K174" s="36">
        <f>D174+E174+G174+H174+I174+J174</f>
        <v>1953113.8000000003</v>
      </c>
      <c r="L174" s="36">
        <v>112475</v>
      </c>
    </row>
    <row r="175" spans="1:13">
      <c r="A175" s="145"/>
      <c r="B175" s="132"/>
      <c r="C175" s="35" t="s">
        <v>16</v>
      </c>
      <c r="D175" s="36">
        <v>1480319.96</v>
      </c>
      <c r="E175" s="36">
        <v>129389.82</v>
      </c>
      <c r="F175" s="36">
        <f t="shared" si="70"/>
        <v>1609709.78</v>
      </c>
      <c r="G175" s="36">
        <v>312918</v>
      </c>
      <c r="H175" s="35">
        <v>0</v>
      </c>
      <c r="I175" s="35">
        <v>0</v>
      </c>
      <c r="J175" s="35">
        <v>0</v>
      </c>
      <c r="K175" s="36">
        <f>D175+E175+G175+H175+I175+J175</f>
        <v>1922627.78</v>
      </c>
      <c r="L175" s="36">
        <v>112475</v>
      </c>
    </row>
    <row r="176" spans="1:13">
      <c r="A176" s="145"/>
      <c r="B176" s="132"/>
      <c r="C176" s="35" t="s">
        <v>17</v>
      </c>
      <c r="D176" s="36">
        <v>1480319.96</v>
      </c>
      <c r="E176" s="36">
        <v>129389.82</v>
      </c>
      <c r="F176" s="36">
        <f t="shared" si="70"/>
        <v>1609709.78</v>
      </c>
      <c r="G176" s="36">
        <v>312918</v>
      </c>
      <c r="H176" s="35">
        <v>0</v>
      </c>
      <c r="I176" s="35">
        <v>0</v>
      </c>
      <c r="J176" s="35">
        <v>0</v>
      </c>
      <c r="K176" s="36">
        <f>D176+E176+G176+H176+I176+J176</f>
        <v>1922627.78</v>
      </c>
      <c r="L176" s="36">
        <v>112475</v>
      </c>
    </row>
    <row r="177" spans="1:12">
      <c r="A177" s="145"/>
      <c r="B177" s="131" t="s">
        <v>31</v>
      </c>
      <c r="C177" s="35" t="s">
        <v>15</v>
      </c>
      <c r="D177" s="36">
        <f>1640913.47-32826.16</f>
        <v>1608087.31</v>
      </c>
      <c r="E177" s="36">
        <f>205867.75-112841.05</f>
        <v>93026.7</v>
      </c>
      <c r="F177" s="36">
        <f t="shared" si="70"/>
        <v>1701114.01</v>
      </c>
      <c r="G177" s="36">
        <f>352309-48728</f>
        <v>303581</v>
      </c>
      <c r="H177" s="35">
        <v>0</v>
      </c>
      <c r="I177" s="35">
        <v>0</v>
      </c>
      <c r="J177" s="35">
        <v>0</v>
      </c>
      <c r="K177" s="36">
        <f>D177+E177+G177+H177+I177+J177</f>
        <v>2004695.01</v>
      </c>
      <c r="L177" s="36">
        <v>117183</v>
      </c>
    </row>
    <row r="178" spans="1:12">
      <c r="A178" s="145"/>
      <c r="B178" s="132"/>
      <c r="C178" s="35" t="s">
        <v>16</v>
      </c>
      <c r="D178" s="36">
        <v>1608087.31</v>
      </c>
      <c r="E178" s="36">
        <v>93026.7</v>
      </c>
      <c r="F178" s="36">
        <f t="shared" si="70"/>
        <v>1701114.01</v>
      </c>
      <c r="G178" s="36">
        <v>303581</v>
      </c>
      <c r="H178" s="35">
        <v>0</v>
      </c>
      <c r="I178" s="35">
        <v>0</v>
      </c>
      <c r="J178" s="35">
        <v>0</v>
      </c>
      <c r="K178" s="36">
        <f>J178+I178+H178+G178+E178+D178</f>
        <v>2004695.01</v>
      </c>
      <c r="L178" s="36">
        <v>117183</v>
      </c>
    </row>
    <row r="179" spans="1:12">
      <c r="A179" s="145"/>
      <c r="B179" s="132"/>
      <c r="C179" s="35" t="s">
        <v>17</v>
      </c>
      <c r="D179" s="36">
        <v>1608087.31</v>
      </c>
      <c r="E179" s="36">
        <v>93026.7</v>
      </c>
      <c r="F179" s="36">
        <f t="shared" si="70"/>
        <v>1701114.01</v>
      </c>
      <c r="G179" s="36">
        <v>303581</v>
      </c>
      <c r="H179" s="35">
        <v>0</v>
      </c>
      <c r="I179" s="35">
        <v>0</v>
      </c>
      <c r="J179" s="35">
        <v>0</v>
      </c>
      <c r="K179" s="36">
        <f>J179+I179+H179+G179+E179+D179</f>
        <v>2004695.01</v>
      </c>
      <c r="L179" s="36">
        <v>117183</v>
      </c>
    </row>
    <row r="180" spans="1:12">
      <c r="A180" s="145"/>
      <c r="B180" s="147" t="s">
        <v>32</v>
      </c>
      <c r="C180" s="35" t="s">
        <v>15</v>
      </c>
      <c r="D180" s="36">
        <f>1306939.32+140925.51</f>
        <v>1447864.83</v>
      </c>
      <c r="E180" s="36">
        <f>205867.75-100000-26165.66</f>
        <v>79702.09</v>
      </c>
      <c r="F180" s="36">
        <f t="shared" si="70"/>
        <v>1527566.9200000002</v>
      </c>
      <c r="G180" s="36">
        <f>352309-20000-30706</f>
        <v>301603</v>
      </c>
      <c r="H180" s="35">
        <v>0</v>
      </c>
      <c r="I180" s="35">
        <v>0</v>
      </c>
      <c r="J180" s="35">
        <v>0</v>
      </c>
      <c r="K180" s="36">
        <f>D180+E180+G180+H180+I180+J180</f>
        <v>1829169.9200000002</v>
      </c>
      <c r="L180" s="36">
        <f>251823.91-148467.91+2079</f>
        <v>105435</v>
      </c>
    </row>
    <row r="181" spans="1:12">
      <c r="A181" s="145"/>
      <c r="B181" s="148"/>
      <c r="C181" s="35" t="s">
        <v>16</v>
      </c>
      <c r="D181" s="36">
        <v>1444369.11</v>
      </c>
      <c r="E181" s="36">
        <v>79695.19</v>
      </c>
      <c r="F181" s="36">
        <f t="shared" si="70"/>
        <v>1524064.3</v>
      </c>
      <c r="G181" s="36">
        <v>300186</v>
      </c>
      <c r="H181" s="35">
        <v>0</v>
      </c>
      <c r="I181" s="35">
        <v>0</v>
      </c>
      <c r="J181" s="35">
        <v>0</v>
      </c>
      <c r="K181" s="36">
        <f>J181+I181+H181+G181+E181+D181</f>
        <v>1824250.3</v>
      </c>
      <c r="L181" s="36">
        <v>103356</v>
      </c>
    </row>
    <row r="182" spans="1:12">
      <c r="A182" s="145"/>
      <c r="B182" s="148"/>
      <c r="C182" s="35" t="s">
        <v>17</v>
      </c>
      <c r="D182" s="36">
        <v>1444369.11</v>
      </c>
      <c r="E182" s="36">
        <v>79695.19</v>
      </c>
      <c r="F182" s="36">
        <f t="shared" si="70"/>
        <v>1524064.3</v>
      </c>
      <c r="G182" s="36">
        <v>300186</v>
      </c>
      <c r="H182" s="35">
        <v>0</v>
      </c>
      <c r="I182" s="35">
        <v>0</v>
      </c>
      <c r="J182" s="35">
        <v>0</v>
      </c>
      <c r="K182" s="36">
        <f>J182+I182+H182+G182+E182+D182</f>
        <v>1824250.3</v>
      </c>
      <c r="L182" s="36">
        <v>103356</v>
      </c>
    </row>
    <row r="183" spans="1:12">
      <c r="A183" s="145"/>
      <c r="B183" s="131" t="s">
        <v>33</v>
      </c>
      <c r="C183" s="35" t="s">
        <v>15</v>
      </c>
      <c r="D183" s="36">
        <f t="shared" ref="D183:L183" si="71">D174+D177+D180</f>
        <v>4566758.12</v>
      </c>
      <c r="E183" s="36">
        <f t="shared" si="71"/>
        <v>302118.61</v>
      </c>
      <c r="F183" s="36">
        <f t="shared" si="71"/>
        <v>4868876.7300000004</v>
      </c>
      <c r="G183" s="36">
        <f t="shared" si="71"/>
        <v>918102</v>
      </c>
      <c r="H183" s="36">
        <f t="shared" si="71"/>
        <v>0</v>
      </c>
      <c r="I183" s="36">
        <f t="shared" si="71"/>
        <v>0</v>
      </c>
      <c r="J183" s="36">
        <f t="shared" si="71"/>
        <v>0</v>
      </c>
      <c r="K183" s="36">
        <f t="shared" si="71"/>
        <v>5786978.7300000004</v>
      </c>
      <c r="L183" s="36">
        <f t="shared" si="71"/>
        <v>335093</v>
      </c>
    </row>
    <row r="184" spans="1:12">
      <c r="A184" s="145"/>
      <c r="B184" s="132"/>
      <c r="C184" s="35" t="s">
        <v>16</v>
      </c>
      <c r="D184" s="36">
        <f t="shared" ref="D184:L184" si="72">D175+D178+D181</f>
        <v>4532776.38</v>
      </c>
      <c r="E184" s="36">
        <f t="shared" si="72"/>
        <v>302111.71000000002</v>
      </c>
      <c r="F184" s="36">
        <f t="shared" si="72"/>
        <v>4834888.09</v>
      </c>
      <c r="G184" s="36">
        <f t="shared" si="72"/>
        <v>916685</v>
      </c>
      <c r="H184" s="36">
        <f t="shared" si="72"/>
        <v>0</v>
      </c>
      <c r="I184" s="36">
        <f t="shared" si="72"/>
        <v>0</v>
      </c>
      <c r="J184" s="36">
        <f t="shared" si="72"/>
        <v>0</v>
      </c>
      <c r="K184" s="36">
        <f t="shared" si="72"/>
        <v>5751573.0899999999</v>
      </c>
      <c r="L184" s="36">
        <f t="shared" si="72"/>
        <v>333014</v>
      </c>
    </row>
    <row r="185" spans="1:12">
      <c r="A185" s="145"/>
      <c r="B185" s="132"/>
      <c r="C185" s="35" t="s">
        <v>17</v>
      </c>
      <c r="D185" s="36">
        <f t="shared" ref="D185:L185" si="73">D176+D179+D182</f>
        <v>4532776.38</v>
      </c>
      <c r="E185" s="36">
        <f t="shared" si="73"/>
        <v>302111.71000000002</v>
      </c>
      <c r="F185" s="36">
        <f t="shared" si="73"/>
        <v>4834888.09</v>
      </c>
      <c r="G185" s="36">
        <f t="shared" si="73"/>
        <v>916685</v>
      </c>
      <c r="H185" s="36">
        <f t="shared" si="73"/>
        <v>0</v>
      </c>
      <c r="I185" s="36">
        <f t="shared" si="73"/>
        <v>0</v>
      </c>
      <c r="J185" s="36">
        <f t="shared" si="73"/>
        <v>0</v>
      </c>
      <c r="K185" s="36">
        <f t="shared" si="73"/>
        <v>5751573.0899999999</v>
      </c>
      <c r="L185" s="36">
        <f t="shared" si="73"/>
        <v>333014</v>
      </c>
    </row>
    <row r="186" spans="1:12">
      <c r="A186" s="145"/>
      <c r="B186" s="132"/>
      <c r="C186" s="35" t="s">
        <v>34</v>
      </c>
      <c r="D186" s="36">
        <f t="shared" ref="D186:L186" si="74">D176+D179+D182</f>
        <v>4532776.38</v>
      </c>
      <c r="E186" s="36">
        <f t="shared" si="74"/>
        <v>302111.71000000002</v>
      </c>
      <c r="F186" s="36">
        <f t="shared" si="74"/>
        <v>4834888.09</v>
      </c>
      <c r="G186" s="36">
        <f t="shared" si="74"/>
        <v>916685</v>
      </c>
      <c r="H186" s="36">
        <f t="shared" si="74"/>
        <v>0</v>
      </c>
      <c r="I186" s="36">
        <f t="shared" si="74"/>
        <v>0</v>
      </c>
      <c r="J186" s="36">
        <f t="shared" si="74"/>
        <v>0</v>
      </c>
      <c r="K186" s="36">
        <f t="shared" si="74"/>
        <v>5751573.0899999999</v>
      </c>
      <c r="L186" s="36">
        <f t="shared" si="74"/>
        <v>333014</v>
      </c>
    </row>
    <row r="187" spans="1:12">
      <c r="A187" s="145"/>
      <c r="B187" s="127"/>
      <c r="C187" s="37" t="s">
        <v>45</v>
      </c>
      <c r="D187" s="36">
        <v>4566758.12</v>
      </c>
      <c r="E187" s="36">
        <v>302118.61</v>
      </c>
      <c r="F187" s="36">
        <f>D187+E187</f>
        <v>4868876.7300000004</v>
      </c>
      <c r="G187" s="36">
        <v>918102</v>
      </c>
      <c r="H187" s="36">
        <v>0</v>
      </c>
      <c r="I187" s="36"/>
      <c r="J187" s="36"/>
      <c r="K187" s="36">
        <f>F187+G187</f>
        <v>5786978.7300000004</v>
      </c>
      <c r="L187" s="36">
        <v>335093</v>
      </c>
    </row>
    <row r="188" spans="1:12">
      <c r="A188" s="145"/>
      <c r="B188" s="133"/>
      <c r="C188" s="37" t="s">
        <v>43</v>
      </c>
      <c r="D188" s="36">
        <v>33981.74</v>
      </c>
      <c r="E188" s="36">
        <v>6.9</v>
      </c>
      <c r="F188" s="36">
        <f>D188+E188</f>
        <v>33988.639999999999</v>
      </c>
      <c r="G188" s="36">
        <v>1417</v>
      </c>
      <c r="H188" s="36">
        <v>0</v>
      </c>
      <c r="I188" s="36"/>
      <c r="J188" s="36"/>
      <c r="K188" s="36">
        <f>F188+G188</f>
        <v>35405.64</v>
      </c>
      <c r="L188" s="36">
        <v>2079</v>
      </c>
    </row>
    <row r="189" spans="1:12">
      <c r="A189" s="145"/>
      <c r="B189" s="133"/>
      <c r="C189" s="37" t="s">
        <v>23</v>
      </c>
      <c r="D189" s="36">
        <f t="shared" ref="D189:L189" si="75">D186+D188</f>
        <v>4566758.12</v>
      </c>
      <c r="E189" s="36">
        <f t="shared" si="75"/>
        <v>302118.61000000004</v>
      </c>
      <c r="F189" s="36">
        <f t="shared" si="75"/>
        <v>4868876.7299999995</v>
      </c>
      <c r="G189" s="36">
        <f t="shared" si="75"/>
        <v>918102</v>
      </c>
      <c r="H189" s="36">
        <f t="shared" si="75"/>
        <v>0</v>
      </c>
      <c r="I189" s="36">
        <f t="shared" si="75"/>
        <v>0</v>
      </c>
      <c r="J189" s="36">
        <f t="shared" si="75"/>
        <v>0</v>
      </c>
      <c r="K189" s="36">
        <f t="shared" si="75"/>
        <v>5786978.7299999995</v>
      </c>
      <c r="L189" s="36">
        <f t="shared" si="75"/>
        <v>335093</v>
      </c>
    </row>
    <row r="190" spans="1:12">
      <c r="A190" s="145"/>
      <c r="B190" s="147" t="s">
        <v>35</v>
      </c>
      <c r="C190" s="35" t="s">
        <v>15</v>
      </c>
      <c r="D190" s="36">
        <f>1306939.32+494204.52</f>
        <v>1801143.84</v>
      </c>
      <c r="E190" s="36">
        <v>205867.75</v>
      </c>
      <c r="F190" s="36">
        <f t="shared" ref="F190:F198" si="76">SUM(D190:E190)</f>
        <v>2007011.59</v>
      </c>
      <c r="G190" s="36">
        <v>352309</v>
      </c>
      <c r="H190" s="35">
        <v>0</v>
      </c>
      <c r="I190" s="35">
        <v>0</v>
      </c>
      <c r="J190" s="35">
        <v>0</v>
      </c>
      <c r="K190" s="36">
        <f t="shared" ref="K190:K198" si="77">D190+E190+G190+H190+I190+J190</f>
        <v>2359320.59</v>
      </c>
      <c r="L190" s="36">
        <v>147071.39000000001</v>
      </c>
    </row>
    <row r="191" spans="1:12">
      <c r="A191" s="145"/>
      <c r="B191" s="148"/>
      <c r="C191" s="35" t="s">
        <v>16</v>
      </c>
      <c r="D191" s="36">
        <v>0</v>
      </c>
      <c r="E191" s="36">
        <v>0</v>
      </c>
      <c r="F191" s="36">
        <f t="shared" si="76"/>
        <v>0</v>
      </c>
      <c r="G191" s="36">
        <v>0</v>
      </c>
      <c r="H191" s="35">
        <v>0</v>
      </c>
      <c r="I191" s="35">
        <v>0</v>
      </c>
      <c r="J191" s="35">
        <v>0</v>
      </c>
      <c r="K191" s="36">
        <f t="shared" si="77"/>
        <v>0</v>
      </c>
      <c r="L191" s="36">
        <v>0</v>
      </c>
    </row>
    <row r="192" spans="1:12">
      <c r="A192" s="145"/>
      <c r="B192" s="148"/>
      <c r="C192" s="35" t="s">
        <v>17</v>
      </c>
      <c r="D192" s="36">
        <v>0</v>
      </c>
      <c r="E192" s="36">
        <v>0</v>
      </c>
      <c r="F192" s="36">
        <f t="shared" si="76"/>
        <v>0</v>
      </c>
      <c r="G192" s="36">
        <v>0</v>
      </c>
      <c r="H192" s="35">
        <v>0</v>
      </c>
      <c r="I192" s="35">
        <v>0</v>
      </c>
      <c r="J192" s="35">
        <v>0</v>
      </c>
      <c r="K192" s="36">
        <f t="shared" si="77"/>
        <v>0</v>
      </c>
      <c r="L192" s="36">
        <v>0</v>
      </c>
    </row>
    <row r="193" spans="1:13">
      <c r="A193" s="145"/>
      <c r="B193" s="131" t="s">
        <v>36</v>
      </c>
      <c r="C193" s="35" t="s">
        <v>15</v>
      </c>
      <c r="D193" s="36">
        <f>15443.9+1291495.42</f>
        <v>1306939.3199999998</v>
      </c>
      <c r="E193" s="36">
        <f>9603.76+131263.98</f>
        <v>140867.74000000002</v>
      </c>
      <c r="F193" s="36">
        <f t="shared" si="76"/>
        <v>1447807.0599999998</v>
      </c>
      <c r="G193" s="36">
        <f>849.22+351459.78</f>
        <v>352309</v>
      </c>
      <c r="H193" s="35">
        <v>0</v>
      </c>
      <c r="I193" s="35">
        <v>0</v>
      </c>
      <c r="J193" s="35">
        <v>0</v>
      </c>
      <c r="K193" s="36">
        <f t="shared" si="77"/>
        <v>1800116.0599999998</v>
      </c>
      <c r="L193" s="36">
        <v>0</v>
      </c>
    </row>
    <row r="194" spans="1:13">
      <c r="A194" s="145"/>
      <c r="B194" s="132"/>
      <c r="C194" s="35" t="s">
        <v>16</v>
      </c>
      <c r="D194" s="36">
        <v>0</v>
      </c>
      <c r="E194" s="36">
        <v>0</v>
      </c>
      <c r="F194" s="36">
        <f t="shared" si="76"/>
        <v>0</v>
      </c>
      <c r="G194" s="36">
        <v>0</v>
      </c>
      <c r="H194" s="35">
        <v>0</v>
      </c>
      <c r="I194" s="35">
        <v>0</v>
      </c>
      <c r="J194" s="35">
        <v>0</v>
      </c>
      <c r="K194" s="36">
        <f t="shared" si="77"/>
        <v>0</v>
      </c>
      <c r="L194" s="36">
        <v>0</v>
      </c>
    </row>
    <row r="195" spans="1:13">
      <c r="A195" s="145"/>
      <c r="B195" s="132"/>
      <c r="C195" s="35" t="s">
        <v>17</v>
      </c>
      <c r="D195" s="36">
        <v>0</v>
      </c>
      <c r="E195" s="36">
        <v>0</v>
      </c>
      <c r="F195" s="36">
        <f t="shared" si="76"/>
        <v>0</v>
      </c>
      <c r="G195" s="36">
        <v>0</v>
      </c>
      <c r="H195" s="35">
        <v>0</v>
      </c>
      <c r="I195" s="35">
        <v>0</v>
      </c>
      <c r="J195" s="35">
        <v>0</v>
      </c>
      <c r="K195" s="36">
        <f t="shared" si="77"/>
        <v>0</v>
      </c>
      <c r="L195" s="36">
        <v>0</v>
      </c>
    </row>
    <row r="196" spans="1:13">
      <c r="A196" s="145"/>
      <c r="B196" s="131" t="s">
        <v>37</v>
      </c>
      <c r="C196" s="35" t="s">
        <v>15</v>
      </c>
      <c r="D196" s="36">
        <v>349418.06</v>
      </c>
      <c r="E196" s="36">
        <v>59290.84</v>
      </c>
      <c r="F196" s="36">
        <f t="shared" si="76"/>
        <v>408708.9</v>
      </c>
      <c r="G196" s="36">
        <f>849.22+25000</f>
        <v>25849.22</v>
      </c>
      <c r="H196" s="35">
        <v>0</v>
      </c>
      <c r="I196" s="35">
        <v>0</v>
      </c>
      <c r="J196" s="35">
        <v>0</v>
      </c>
      <c r="K196" s="36">
        <f t="shared" si="77"/>
        <v>434558.12</v>
      </c>
      <c r="L196" s="36">
        <v>0</v>
      </c>
    </row>
    <row r="197" spans="1:13">
      <c r="A197" s="145"/>
      <c r="B197" s="132"/>
      <c r="C197" s="35" t="s">
        <v>16</v>
      </c>
      <c r="D197" s="36">
        <v>0</v>
      </c>
      <c r="E197" s="36">
        <v>0</v>
      </c>
      <c r="F197" s="36">
        <f t="shared" si="76"/>
        <v>0</v>
      </c>
      <c r="G197" s="36">
        <v>0</v>
      </c>
      <c r="H197" s="35">
        <v>0</v>
      </c>
      <c r="I197" s="35">
        <v>0</v>
      </c>
      <c r="J197" s="35">
        <v>0</v>
      </c>
      <c r="K197" s="36">
        <f t="shared" si="77"/>
        <v>0</v>
      </c>
      <c r="L197" s="36">
        <v>0</v>
      </c>
    </row>
    <row r="198" spans="1:13">
      <c r="A198" s="145"/>
      <c r="B198" s="132"/>
      <c r="C198" s="35" t="s">
        <v>17</v>
      </c>
      <c r="D198" s="36">
        <v>0</v>
      </c>
      <c r="E198" s="36">
        <v>0</v>
      </c>
      <c r="F198" s="36">
        <f t="shared" si="76"/>
        <v>0</v>
      </c>
      <c r="G198" s="36">
        <v>0</v>
      </c>
      <c r="H198" s="35">
        <v>0</v>
      </c>
      <c r="I198" s="35">
        <v>0</v>
      </c>
      <c r="J198" s="35">
        <v>0</v>
      </c>
      <c r="K198" s="36">
        <f t="shared" si="77"/>
        <v>0</v>
      </c>
      <c r="L198" s="36">
        <v>0</v>
      </c>
    </row>
    <row r="199" spans="1:13">
      <c r="A199" s="145"/>
      <c r="B199" s="134" t="s">
        <v>38</v>
      </c>
      <c r="C199" s="35" t="s">
        <v>15</v>
      </c>
      <c r="D199" s="36">
        <f t="shared" ref="D199:L199" si="78">D190+D193+D196</f>
        <v>3457501.22</v>
      </c>
      <c r="E199" s="36">
        <f t="shared" si="78"/>
        <v>406026.32999999996</v>
      </c>
      <c r="F199" s="36">
        <f t="shared" si="78"/>
        <v>3863527.55</v>
      </c>
      <c r="G199" s="36">
        <f t="shared" si="78"/>
        <v>730467.22</v>
      </c>
      <c r="H199" s="36">
        <f t="shared" si="78"/>
        <v>0</v>
      </c>
      <c r="I199" s="36">
        <f t="shared" si="78"/>
        <v>0</v>
      </c>
      <c r="J199" s="36">
        <f t="shared" si="78"/>
        <v>0</v>
      </c>
      <c r="K199" s="36">
        <f t="shared" si="78"/>
        <v>4593994.7699999996</v>
      </c>
      <c r="L199" s="36">
        <f t="shared" si="78"/>
        <v>147071.39000000001</v>
      </c>
    </row>
    <row r="200" spans="1:13">
      <c r="A200" s="145"/>
      <c r="B200" s="135"/>
      <c r="C200" s="35" t="s">
        <v>16</v>
      </c>
      <c r="D200" s="36">
        <f t="shared" ref="D200:L200" si="79">D191+D194+D197</f>
        <v>0</v>
      </c>
      <c r="E200" s="36">
        <f t="shared" si="79"/>
        <v>0</v>
      </c>
      <c r="F200" s="36">
        <f t="shared" si="79"/>
        <v>0</v>
      </c>
      <c r="G200" s="36">
        <f t="shared" si="79"/>
        <v>0</v>
      </c>
      <c r="H200" s="36">
        <f t="shared" si="79"/>
        <v>0</v>
      </c>
      <c r="I200" s="36">
        <f t="shared" si="79"/>
        <v>0</v>
      </c>
      <c r="J200" s="36">
        <f t="shared" si="79"/>
        <v>0</v>
      </c>
      <c r="K200" s="36">
        <f t="shared" si="79"/>
        <v>0</v>
      </c>
      <c r="L200" s="36">
        <f t="shared" si="79"/>
        <v>0</v>
      </c>
    </row>
    <row r="201" spans="1:13">
      <c r="A201" s="145"/>
      <c r="B201" s="135"/>
      <c r="C201" s="35" t="s">
        <v>17</v>
      </c>
      <c r="D201" s="36">
        <f t="shared" ref="D201:L201" si="80">D192+D195+D198</f>
        <v>0</v>
      </c>
      <c r="E201" s="36">
        <f t="shared" si="80"/>
        <v>0</v>
      </c>
      <c r="F201" s="36">
        <f t="shared" si="80"/>
        <v>0</v>
      </c>
      <c r="G201" s="36">
        <f t="shared" si="80"/>
        <v>0</v>
      </c>
      <c r="H201" s="36">
        <f t="shared" si="80"/>
        <v>0</v>
      </c>
      <c r="I201" s="36">
        <f t="shared" si="80"/>
        <v>0</v>
      </c>
      <c r="J201" s="36">
        <f t="shared" si="80"/>
        <v>0</v>
      </c>
      <c r="K201" s="36">
        <f t="shared" si="80"/>
        <v>0</v>
      </c>
      <c r="L201" s="36">
        <f t="shared" si="80"/>
        <v>0</v>
      </c>
    </row>
    <row r="202" spans="1:13">
      <c r="A202" s="145"/>
      <c r="B202" s="149" t="s">
        <v>39</v>
      </c>
      <c r="C202" s="35" t="s">
        <v>15</v>
      </c>
      <c r="D202" s="36">
        <f t="shared" ref="D202:M202" si="81">D183+D199</f>
        <v>8024259.3399999999</v>
      </c>
      <c r="E202" s="36">
        <f t="shared" si="81"/>
        <v>708144.94</v>
      </c>
      <c r="F202" s="36">
        <f t="shared" si="81"/>
        <v>8732404.2800000012</v>
      </c>
      <c r="G202" s="36">
        <f t="shared" si="81"/>
        <v>1648569.22</v>
      </c>
      <c r="H202" s="36">
        <f t="shared" si="81"/>
        <v>0</v>
      </c>
      <c r="I202" s="36">
        <f t="shared" si="81"/>
        <v>0</v>
      </c>
      <c r="J202" s="36">
        <f t="shared" si="81"/>
        <v>0</v>
      </c>
      <c r="K202" s="36">
        <f t="shared" si="81"/>
        <v>10380973.5</v>
      </c>
      <c r="L202" s="36">
        <f t="shared" si="81"/>
        <v>482164.39</v>
      </c>
      <c r="M202" s="59">
        <f t="shared" si="81"/>
        <v>0</v>
      </c>
    </row>
    <row r="203" spans="1:13">
      <c r="A203" s="145"/>
      <c r="B203" s="150"/>
      <c r="C203" s="35" t="s">
        <v>16</v>
      </c>
      <c r="D203" s="36">
        <f>D187</f>
        <v>4566758.12</v>
      </c>
      <c r="E203" s="36">
        <f t="shared" ref="E203:M203" si="82">E187</f>
        <v>302118.61</v>
      </c>
      <c r="F203" s="36">
        <f t="shared" si="82"/>
        <v>4868876.7300000004</v>
      </c>
      <c r="G203" s="36">
        <f t="shared" si="82"/>
        <v>918102</v>
      </c>
      <c r="H203" s="36">
        <f t="shared" si="82"/>
        <v>0</v>
      </c>
      <c r="I203" s="36">
        <f t="shared" si="82"/>
        <v>0</v>
      </c>
      <c r="J203" s="36">
        <f t="shared" si="82"/>
        <v>0</v>
      </c>
      <c r="K203" s="36">
        <f t="shared" si="82"/>
        <v>5786978.7300000004</v>
      </c>
      <c r="L203" s="36">
        <f t="shared" si="82"/>
        <v>335093</v>
      </c>
      <c r="M203" s="36">
        <f t="shared" si="82"/>
        <v>0</v>
      </c>
    </row>
    <row r="204" spans="1:13">
      <c r="A204" s="145"/>
      <c r="B204" s="150"/>
      <c r="C204" s="35" t="s">
        <v>17</v>
      </c>
      <c r="D204" s="36">
        <f t="shared" ref="D204:L204" si="83">D189+D201</f>
        <v>4566758.12</v>
      </c>
      <c r="E204" s="36">
        <f t="shared" si="83"/>
        <v>302118.61000000004</v>
      </c>
      <c r="F204" s="36">
        <f t="shared" si="83"/>
        <v>4868876.7299999995</v>
      </c>
      <c r="G204" s="36">
        <f t="shared" si="83"/>
        <v>918102</v>
      </c>
      <c r="H204" s="36">
        <f t="shared" si="83"/>
        <v>0</v>
      </c>
      <c r="I204" s="36">
        <f t="shared" si="83"/>
        <v>0</v>
      </c>
      <c r="J204" s="36">
        <f t="shared" si="83"/>
        <v>0</v>
      </c>
      <c r="K204" s="36">
        <f t="shared" si="83"/>
        <v>5786978.7299999995</v>
      </c>
      <c r="L204" s="36">
        <f t="shared" si="83"/>
        <v>335093</v>
      </c>
    </row>
    <row r="205" spans="1:13">
      <c r="A205" s="146"/>
      <c r="B205" s="142" t="s">
        <v>40</v>
      </c>
      <c r="C205" s="61" t="s">
        <v>15</v>
      </c>
      <c r="D205" s="62">
        <f t="shared" ref="D205:M205" si="84">D168+D202</f>
        <v>18332001.559999999</v>
      </c>
      <c r="E205" s="62">
        <f t="shared" si="84"/>
        <v>1229607.2599999998</v>
      </c>
      <c r="F205" s="62">
        <f t="shared" si="84"/>
        <v>19561608.82</v>
      </c>
      <c r="G205" s="62">
        <f t="shared" si="84"/>
        <v>3398195.1399999997</v>
      </c>
      <c r="H205" s="62">
        <f t="shared" si="84"/>
        <v>0</v>
      </c>
      <c r="I205" s="62">
        <f t="shared" si="84"/>
        <v>0</v>
      </c>
      <c r="J205" s="62">
        <f t="shared" si="84"/>
        <v>0</v>
      </c>
      <c r="K205" s="62">
        <f t="shared" si="84"/>
        <v>22959803.960000001</v>
      </c>
      <c r="L205" s="62">
        <f t="shared" si="84"/>
        <v>1220440.3900000001</v>
      </c>
      <c r="M205" s="63">
        <f t="shared" si="84"/>
        <v>11506</v>
      </c>
    </row>
    <row r="206" spans="1:13">
      <c r="A206" s="146"/>
      <c r="B206" s="142"/>
      <c r="C206" s="61" t="s">
        <v>16</v>
      </c>
      <c r="D206" s="62">
        <f t="shared" ref="D206:M206" si="85">D171+D203</f>
        <v>14874500.34</v>
      </c>
      <c r="E206" s="62">
        <f t="shared" si="85"/>
        <v>823580.92999999993</v>
      </c>
      <c r="F206" s="62">
        <f t="shared" si="85"/>
        <v>15698081.270000001</v>
      </c>
      <c r="G206" s="62">
        <f t="shared" si="85"/>
        <v>2667727.92</v>
      </c>
      <c r="H206" s="62">
        <f t="shared" si="85"/>
        <v>0</v>
      </c>
      <c r="I206" s="62">
        <f t="shared" si="85"/>
        <v>0</v>
      </c>
      <c r="J206" s="62">
        <f t="shared" si="85"/>
        <v>0</v>
      </c>
      <c r="K206" s="62">
        <f t="shared" si="85"/>
        <v>18365809.190000001</v>
      </c>
      <c r="L206" s="62">
        <f t="shared" si="85"/>
        <v>1073369</v>
      </c>
      <c r="M206" s="63">
        <f t="shared" si="85"/>
        <v>0</v>
      </c>
    </row>
    <row r="207" spans="1:13">
      <c r="A207" s="146"/>
      <c r="B207" s="142"/>
      <c r="C207" s="61" t="s">
        <v>41</v>
      </c>
      <c r="D207" s="62">
        <f t="shared" ref="D207:M207" si="86">D171+D187</f>
        <v>14874500.34</v>
      </c>
      <c r="E207" s="62">
        <f t="shared" si="86"/>
        <v>823580.92999999993</v>
      </c>
      <c r="F207" s="62">
        <f t="shared" si="86"/>
        <v>15698081.270000001</v>
      </c>
      <c r="G207" s="62">
        <f t="shared" si="86"/>
        <v>2667727.92</v>
      </c>
      <c r="H207" s="62">
        <f t="shared" si="86"/>
        <v>0</v>
      </c>
      <c r="I207" s="62">
        <f t="shared" si="86"/>
        <v>0</v>
      </c>
      <c r="J207" s="62">
        <f t="shared" si="86"/>
        <v>0</v>
      </c>
      <c r="K207" s="62">
        <f t="shared" si="86"/>
        <v>18365809.190000001</v>
      </c>
      <c r="L207" s="62">
        <f t="shared" si="86"/>
        <v>1073369</v>
      </c>
      <c r="M207" s="63">
        <f t="shared" si="86"/>
        <v>0</v>
      </c>
    </row>
    <row r="208" spans="1:13">
      <c r="A208" s="146"/>
      <c r="B208" s="142"/>
      <c r="C208" s="64" t="s">
        <v>17</v>
      </c>
      <c r="D208" s="62">
        <f t="shared" ref="D208:M208" si="87">D173+D204</f>
        <v>14874500.34</v>
      </c>
      <c r="E208" s="62">
        <f t="shared" si="87"/>
        <v>823580.93</v>
      </c>
      <c r="F208" s="62">
        <f t="shared" si="87"/>
        <v>15698081.27</v>
      </c>
      <c r="G208" s="62">
        <f t="shared" si="87"/>
        <v>2667727.92</v>
      </c>
      <c r="H208" s="62">
        <f t="shared" si="87"/>
        <v>0</v>
      </c>
      <c r="I208" s="62">
        <f t="shared" si="87"/>
        <v>0</v>
      </c>
      <c r="J208" s="62">
        <f t="shared" si="87"/>
        <v>0</v>
      </c>
      <c r="K208" s="62">
        <f t="shared" si="87"/>
        <v>18365809.189999998</v>
      </c>
      <c r="L208" s="62">
        <f t="shared" si="87"/>
        <v>1073369</v>
      </c>
      <c r="M208" s="63">
        <f t="shared" si="87"/>
        <v>0</v>
      </c>
    </row>
    <row r="209" spans="1:13">
      <c r="A209" s="123" t="s">
        <v>46</v>
      </c>
      <c r="B209" s="127" t="s">
        <v>14</v>
      </c>
      <c r="C209" s="32" t="s">
        <v>15</v>
      </c>
      <c r="D209" s="33">
        <f>11439.1+6863.46</f>
        <v>18302.560000000001</v>
      </c>
      <c r="E209" s="33">
        <v>589808.27</v>
      </c>
      <c r="F209" s="33">
        <f t="shared" ref="F209:F217" si="88">D209+E209</f>
        <v>608110.83000000007</v>
      </c>
      <c r="G209" s="33">
        <v>0</v>
      </c>
      <c r="H209" s="33">
        <v>0</v>
      </c>
      <c r="I209" s="33">
        <v>0</v>
      </c>
      <c r="J209" s="33">
        <v>0</v>
      </c>
      <c r="K209" s="33">
        <f t="shared" ref="K209:K217" si="89">J209+I209+H209+G209+E209+D209</f>
        <v>608110.83000000007</v>
      </c>
      <c r="L209" s="33">
        <f>103974-13004</f>
        <v>90970</v>
      </c>
    </row>
    <row r="210" spans="1:13">
      <c r="A210" s="124"/>
      <c r="B210" s="127"/>
      <c r="C210" s="35" t="s">
        <v>16</v>
      </c>
      <c r="D210" s="36">
        <v>21381.599999999999</v>
      </c>
      <c r="E210" s="36">
        <v>657590.69999999995</v>
      </c>
      <c r="F210" s="36">
        <f t="shared" si="88"/>
        <v>678972.29999999993</v>
      </c>
      <c r="G210" s="36">
        <v>0</v>
      </c>
      <c r="H210" s="36">
        <v>0</v>
      </c>
      <c r="I210" s="36">
        <v>0</v>
      </c>
      <c r="J210" s="36">
        <v>0</v>
      </c>
      <c r="K210" s="36">
        <f t="shared" si="89"/>
        <v>678972.29999999993</v>
      </c>
      <c r="L210" s="36">
        <v>90970</v>
      </c>
    </row>
    <row r="211" spans="1:13">
      <c r="A211" s="124"/>
      <c r="B211" s="127"/>
      <c r="C211" s="37" t="s">
        <v>17</v>
      </c>
      <c r="D211" s="36">
        <v>16224.18</v>
      </c>
      <c r="E211" s="36">
        <v>589705.64</v>
      </c>
      <c r="F211" s="36">
        <f t="shared" si="88"/>
        <v>605929.82000000007</v>
      </c>
      <c r="G211" s="36">
        <v>0</v>
      </c>
      <c r="H211" s="36">
        <v>0</v>
      </c>
      <c r="I211" s="36">
        <v>0</v>
      </c>
      <c r="J211" s="36">
        <v>0</v>
      </c>
      <c r="K211" s="36">
        <f t="shared" si="89"/>
        <v>605929.82000000007</v>
      </c>
      <c r="L211" s="36">
        <v>90970</v>
      </c>
    </row>
    <row r="212" spans="1:13">
      <c r="A212" s="124"/>
      <c r="B212" s="128" t="s">
        <v>18</v>
      </c>
      <c r="C212" s="35" t="s">
        <v>15</v>
      </c>
      <c r="D212" s="36">
        <f>11439.1+6863.46</f>
        <v>18302.560000000001</v>
      </c>
      <c r="E212" s="36">
        <v>589808.27</v>
      </c>
      <c r="F212" s="36">
        <f t="shared" si="88"/>
        <v>608110.83000000007</v>
      </c>
      <c r="G212" s="36">
        <v>0</v>
      </c>
      <c r="H212" s="36">
        <v>0</v>
      </c>
      <c r="I212" s="36">
        <v>0</v>
      </c>
      <c r="J212" s="36">
        <v>0</v>
      </c>
      <c r="K212" s="36">
        <f t="shared" si="89"/>
        <v>608110.83000000007</v>
      </c>
      <c r="L212" s="36">
        <v>91179</v>
      </c>
    </row>
    <row r="213" spans="1:13">
      <c r="A213" s="124"/>
      <c r="B213" s="127"/>
      <c r="C213" s="35" t="s">
        <v>16</v>
      </c>
      <c r="D213" s="36">
        <v>31476.87</v>
      </c>
      <c r="E213" s="36">
        <v>590438.74</v>
      </c>
      <c r="F213" s="36">
        <f t="shared" si="88"/>
        <v>621915.61</v>
      </c>
      <c r="G213" s="36">
        <v>0</v>
      </c>
      <c r="H213" s="36">
        <v>0</v>
      </c>
      <c r="I213" s="36">
        <v>0</v>
      </c>
      <c r="J213" s="36">
        <v>0</v>
      </c>
      <c r="K213" s="36">
        <f t="shared" si="89"/>
        <v>621915.61</v>
      </c>
      <c r="L213" s="36">
        <v>91179</v>
      </c>
    </row>
    <row r="214" spans="1:13">
      <c r="A214" s="124"/>
      <c r="B214" s="127"/>
      <c r="C214" s="37" t="s">
        <v>17</v>
      </c>
      <c r="D214" s="36">
        <v>17758.400000000001</v>
      </c>
      <c r="E214" s="36">
        <v>589705.64</v>
      </c>
      <c r="F214" s="36">
        <f t="shared" si="88"/>
        <v>607464.04</v>
      </c>
      <c r="G214" s="36">
        <v>0</v>
      </c>
      <c r="H214" s="36">
        <v>0</v>
      </c>
      <c r="I214" s="36">
        <v>0</v>
      </c>
      <c r="J214" s="36">
        <v>0</v>
      </c>
      <c r="K214" s="36">
        <f t="shared" si="89"/>
        <v>607464.04</v>
      </c>
      <c r="L214" s="36">
        <v>91179</v>
      </c>
      <c r="M214" s="38"/>
    </row>
    <row r="215" spans="1:13">
      <c r="A215" s="124"/>
      <c r="B215" s="128" t="s">
        <v>19</v>
      </c>
      <c r="C215" s="35" t="s">
        <v>15</v>
      </c>
      <c r="D215" s="36">
        <f>11439.1+6863.46</f>
        <v>18302.560000000001</v>
      </c>
      <c r="E215" s="36">
        <f>589808.27-14.65</f>
        <v>589793.62</v>
      </c>
      <c r="F215" s="36">
        <f t="shared" si="88"/>
        <v>608096.18000000005</v>
      </c>
      <c r="G215" s="36">
        <v>0</v>
      </c>
      <c r="H215" s="36">
        <v>0</v>
      </c>
      <c r="I215" s="36">
        <v>0</v>
      </c>
      <c r="J215" s="36">
        <v>0</v>
      </c>
      <c r="K215" s="36">
        <f t="shared" si="89"/>
        <v>608096.18000000005</v>
      </c>
      <c r="L215" s="36">
        <v>90794</v>
      </c>
    </row>
    <row r="216" spans="1:13">
      <c r="A216" s="124"/>
      <c r="B216" s="127"/>
      <c r="C216" s="35" t="s">
        <v>16</v>
      </c>
      <c r="D216" s="36">
        <v>32635.439999999999</v>
      </c>
      <c r="E216" s="36">
        <v>652898.86</v>
      </c>
      <c r="F216" s="36">
        <f t="shared" si="88"/>
        <v>685534.29999999993</v>
      </c>
      <c r="G216" s="36">
        <v>0</v>
      </c>
      <c r="H216" s="36">
        <v>0</v>
      </c>
      <c r="I216" s="36">
        <v>0</v>
      </c>
      <c r="J216" s="36">
        <v>0</v>
      </c>
      <c r="K216" s="36">
        <f t="shared" si="89"/>
        <v>685534.29999999993</v>
      </c>
      <c r="L216" s="36">
        <v>90794</v>
      </c>
    </row>
    <row r="217" spans="1:13">
      <c r="A217" s="124"/>
      <c r="B217" s="127"/>
      <c r="C217" s="37" t="s">
        <v>17</v>
      </c>
      <c r="D217" s="36">
        <v>17716.64</v>
      </c>
      <c r="E217" s="36">
        <v>589705.64</v>
      </c>
      <c r="F217" s="36">
        <f t="shared" si="88"/>
        <v>607422.28</v>
      </c>
      <c r="G217" s="36">
        <v>0</v>
      </c>
      <c r="H217" s="36">
        <v>0</v>
      </c>
      <c r="I217" s="36">
        <v>0</v>
      </c>
      <c r="J217" s="36">
        <v>0</v>
      </c>
      <c r="K217" s="36">
        <f t="shared" si="89"/>
        <v>607422.28</v>
      </c>
      <c r="L217" s="36">
        <v>90794</v>
      </c>
    </row>
    <row r="218" spans="1:13">
      <c r="A218" s="124"/>
      <c r="B218" s="98" t="s">
        <v>20</v>
      </c>
      <c r="C218" s="35" t="s">
        <v>15</v>
      </c>
      <c r="D218" s="36">
        <f t="shared" ref="D218:K220" si="90">D215+D212+D209</f>
        <v>54907.680000000008</v>
      </c>
      <c r="E218" s="36">
        <f t="shared" si="90"/>
        <v>1769410.1600000001</v>
      </c>
      <c r="F218" s="36">
        <f t="shared" si="90"/>
        <v>1824317.8400000003</v>
      </c>
      <c r="G218" s="36">
        <f t="shared" si="90"/>
        <v>0</v>
      </c>
      <c r="H218" s="36">
        <f t="shared" si="90"/>
        <v>0</v>
      </c>
      <c r="I218" s="36">
        <f t="shared" si="90"/>
        <v>0</v>
      </c>
      <c r="J218" s="36">
        <f t="shared" si="90"/>
        <v>0</v>
      </c>
      <c r="K218" s="36">
        <f t="shared" si="90"/>
        <v>1824317.8400000003</v>
      </c>
      <c r="L218" s="36">
        <f>L215+L212+L209+913</f>
        <v>273856</v>
      </c>
    </row>
    <row r="219" spans="1:13">
      <c r="A219" s="124"/>
      <c r="B219" s="98"/>
      <c r="C219" s="35" t="s">
        <v>16</v>
      </c>
      <c r="D219" s="36">
        <f t="shared" si="90"/>
        <v>85493.91</v>
      </c>
      <c r="E219" s="36">
        <f t="shared" si="90"/>
        <v>1900928.3</v>
      </c>
      <c r="F219" s="36">
        <f t="shared" si="90"/>
        <v>1986422.21</v>
      </c>
      <c r="G219" s="36">
        <f t="shared" si="90"/>
        <v>0</v>
      </c>
      <c r="H219" s="36">
        <f t="shared" si="90"/>
        <v>0</v>
      </c>
      <c r="I219" s="36">
        <f t="shared" si="90"/>
        <v>0</v>
      </c>
      <c r="J219" s="36">
        <f t="shared" si="90"/>
        <v>0</v>
      </c>
      <c r="K219" s="36">
        <f t="shared" si="90"/>
        <v>1986422.21</v>
      </c>
      <c r="L219" s="36">
        <f>L216+L213+L210</f>
        <v>272943</v>
      </c>
    </row>
    <row r="220" spans="1:13">
      <c r="A220" s="124"/>
      <c r="B220" s="98"/>
      <c r="C220" s="37" t="s">
        <v>17</v>
      </c>
      <c r="D220" s="36">
        <f t="shared" si="90"/>
        <v>51699.22</v>
      </c>
      <c r="E220" s="36">
        <f t="shared" si="90"/>
        <v>1769116.92</v>
      </c>
      <c r="F220" s="36">
        <f t="shared" si="90"/>
        <v>1820816.1400000001</v>
      </c>
      <c r="G220" s="36">
        <f t="shared" si="90"/>
        <v>0</v>
      </c>
      <c r="H220" s="36">
        <f t="shared" si="90"/>
        <v>0</v>
      </c>
      <c r="I220" s="36">
        <f t="shared" si="90"/>
        <v>0</v>
      </c>
      <c r="J220" s="36">
        <f t="shared" si="90"/>
        <v>0</v>
      </c>
      <c r="K220" s="36">
        <f t="shared" si="90"/>
        <v>1820816.1400000001</v>
      </c>
      <c r="L220" s="36">
        <f>L217+L214+L211</f>
        <v>272943</v>
      </c>
    </row>
    <row r="221" spans="1:13">
      <c r="A221" s="124"/>
      <c r="B221" s="98"/>
      <c r="C221" s="37" t="s">
        <v>47</v>
      </c>
      <c r="D221" s="36">
        <v>85493.91</v>
      </c>
      <c r="E221" s="36">
        <v>1900928.3</v>
      </c>
      <c r="F221" s="36">
        <f t="shared" ref="F221:F230" si="91">D221+E221</f>
        <v>1986422.21</v>
      </c>
      <c r="G221" s="36">
        <v>0</v>
      </c>
      <c r="H221" s="36">
        <v>0</v>
      </c>
      <c r="I221" s="36"/>
      <c r="J221" s="36"/>
      <c r="K221" s="36">
        <f>F221</f>
        <v>1986422.21</v>
      </c>
      <c r="L221" s="36">
        <f>L220+913</f>
        <v>273856</v>
      </c>
    </row>
    <row r="222" spans="1:13">
      <c r="A222" s="124"/>
      <c r="B222" s="98"/>
      <c r="C222" s="20" t="s">
        <v>43</v>
      </c>
      <c r="D222" s="19">
        <v>2078.0500000000002</v>
      </c>
      <c r="E222" s="19">
        <v>293.24</v>
      </c>
      <c r="F222" s="19">
        <f t="shared" si="91"/>
        <v>2371.29</v>
      </c>
      <c r="G222" s="19">
        <v>0</v>
      </c>
      <c r="H222" s="19">
        <v>0</v>
      </c>
      <c r="I222" s="19"/>
      <c r="J222" s="19"/>
      <c r="K222" s="19">
        <f>F222</f>
        <v>2371.29</v>
      </c>
      <c r="L222" s="19">
        <f>913</f>
        <v>913</v>
      </c>
    </row>
    <row r="223" spans="1:13">
      <c r="A223" s="124"/>
      <c r="B223" s="98"/>
      <c r="C223" s="20" t="s">
        <v>23</v>
      </c>
      <c r="D223" s="19">
        <f>D220+D222</f>
        <v>53777.270000000004</v>
      </c>
      <c r="E223" s="19">
        <f>E220+E222</f>
        <v>1769410.16</v>
      </c>
      <c r="F223" s="19">
        <f t="shared" si="91"/>
        <v>1823187.43</v>
      </c>
      <c r="G223" s="19">
        <v>0</v>
      </c>
      <c r="H223" s="19">
        <v>0</v>
      </c>
      <c r="I223" s="19"/>
      <c r="J223" s="19"/>
      <c r="K223" s="19">
        <f>F223</f>
        <v>1823187.43</v>
      </c>
      <c r="L223" s="19">
        <f>L220+L222</f>
        <v>273856</v>
      </c>
    </row>
    <row r="224" spans="1:13">
      <c r="A224" s="125"/>
      <c r="B224" s="129" t="s">
        <v>24</v>
      </c>
      <c r="C224" s="35" t="s">
        <v>15</v>
      </c>
      <c r="D224" s="36">
        <f>11439.1+6863.46</f>
        <v>18302.560000000001</v>
      </c>
      <c r="E224" s="36">
        <v>589808.27</v>
      </c>
      <c r="F224" s="36">
        <f t="shared" si="91"/>
        <v>608110.83000000007</v>
      </c>
      <c r="G224" s="36">
        <v>0</v>
      </c>
      <c r="H224" s="36">
        <v>0</v>
      </c>
      <c r="I224" s="36">
        <v>0</v>
      </c>
      <c r="J224" s="36">
        <v>0</v>
      </c>
      <c r="K224" s="36">
        <f t="shared" ref="K224:K234" si="92">J224+I224+H224+G224+E224+D224</f>
        <v>608110.83000000007</v>
      </c>
      <c r="L224" s="36">
        <f>103665.57-12431.57</f>
        <v>91234</v>
      </c>
    </row>
    <row r="225" spans="1:12">
      <c r="A225" s="125"/>
      <c r="B225" s="130"/>
      <c r="C225" s="35" t="s">
        <v>16</v>
      </c>
      <c r="D225" s="36">
        <v>22414.9</v>
      </c>
      <c r="E225" s="36">
        <v>643515.18000000005</v>
      </c>
      <c r="F225" s="36">
        <f t="shared" si="91"/>
        <v>665930.08000000007</v>
      </c>
      <c r="G225" s="36">
        <v>0</v>
      </c>
      <c r="H225" s="36">
        <v>0</v>
      </c>
      <c r="I225" s="36">
        <v>0</v>
      </c>
      <c r="J225" s="36">
        <v>0</v>
      </c>
      <c r="K225" s="36">
        <f t="shared" si="92"/>
        <v>665930.08000000007</v>
      </c>
      <c r="L225" s="36">
        <v>91234</v>
      </c>
    </row>
    <row r="226" spans="1:12">
      <c r="A226" s="125"/>
      <c r="B226" s="130"/>
      <c r="C226" s="20" t="s">
        <v>17</v>
      </c>
      <c r="D226" s="36">
        <v>16954.59</v>
      </c>
      <c r="E226" s="36">
        <v>589705.64</v>
      </c>
      <c r="F226" s="36">
        <f t="shared" si="91"/>
        <v>606660.23</v>
      </c>
      <c r="G226" s="36">
        <v>0</v>
      </c>
      <c r="H226" s="36">
        <v>0</v>
      </c>
      <c r="I226" s="36">
        <v>0</v>
      </c>
      <c r="J226" s="36">
        <v>0</v>
      </c>
      <c r="K226" s="36">
        <f t="shared" si="92"/>
        <v>606660.23</v>
      </c>
      <c r="L226" s="36">
        <v>91234</v>
      </c>
    </row>
    <row r="227" spans="1:12">
      <c r="A227" s="125"/>
      <c r="B227" s="129" t="s">
        <v>25</v>
      </c>
      <c r="C227" s="35" t="s">
        <v>15</v>
      </c>
      <c r="D227" s="36">
        <f>11439.1+6863.46</f>
        <v>18302.560000000001</v>
      </c>
      <c r="E227" s="36">
        <v>589808.27</v>
      </c>
      <c r="F227" s="36">
        <f t="shared" si="91"/>
        <v>608110.83000000007</v>
      </c>
      <c r="G227" s="36">
        <v>0</v>
      </c>
      <c r="H227" s="36">
        <v>0</v>
      </c>
      <c r="I227" s="36">
        <v>0</v>
      </c>
      <c r="J227" s="36">
        <v>0</v>
      </c>
      <c r="K227" s="36">
        <f t="shared" si="92"/>
        <v>608110.83000000007</v>
      </c>
      <c r="L227" s="36">
        <f>104418.28-12249.28</f>
        <v>92169</v>
      </c>
    </row>
    <row r="228" spans="1:12">
      <c r="A228" s="125"/>
      <c r="B228" s="130"/>
      <c r="C228" s="35" t="s">
        <v>16</v>
      </c>
      <c r="D228" s="36">
        <v>34368.83</v>
      </c>
      <c r="E228" s="36">
        <v>657150.84</v>
      </c>
      <c r="F228" s="36">
        <f t="shared" si="91"/>
        <v>691519.66999999993</v>
      </c>
      <c r="G228" s="65">
        <v>0</v>
      </c>
      <c r="H228" s="36">
        <v>0</v>
      </c>
      <c r="I228" s="36">
        <v>0</v>
      </c>
      <c r="J228" s="36">
        <v>0</v>
      </c>
      <c r="K228" s="36">
        <f t="shared" si="92"/>
        <v>691519.66999999993</v>
      </c>
      <c r="L228" s="44">
        <v>92169</v>
      </c>
    </row>
    <row r="229" spans="1:12">
      <c r="A229" s="125"/>
      <c r="B229" s="130"/>
      <c r="C229" s="20" t="s">
        <v>17</v>
      </c>
      <c r="D229" s="36">
        <v>18228.66</v>
      </c>
      <c r="E229" s="36">
        <v>589705.64</v>
      </c>
      <c r="F229" s="36">
        <f t="shared" si="91"/>
        <v>607934.30000000005</v>
      </c>
      <c r="G229" s="36">
        <v>0</v>
      </c>
      <c r="H229" s="36">
        <v>0</v>
      </c>
      <c r="I229" s="36">
        <v>0</v>
      </c>
      <c r="J229" s="36">
        <v>0</v>
      </c>
      <c r="K229" s="36">
        <f t="shared" si="92"/>
        <v>607934.30000000005</v>
      </c>
      <c r="L229" s="36">
        <v>92169</v>
      </c>
    </row>
    <row r="230" spans="1:12">
      <c r="A230" s="125"/>
      <c r="B230" s="136" t="s">
        <v>26</v>
      </c>
      <c r="C230" s="18" t="s">
        <v>15</v>
      </c>
      <c r="D230" s="36">
        <f>11439.1+6863.46-113.16-60</f>
        <v>18129.400000000001</v>
      </c>
      <c r="E230" s="36">
        <f>589808.27-14.64-0.01</f>
        <v>589793.62</v>
      </c>
      <c r="F230" s="36">
        <f t="shared" si="91"/>
        <v>607923.02</v>
      </c>
      <c r="G230" s="19">
        <v>0</v>
      </c>
      <c r="H230" s="19">
        <v>0</v>
      </c>
      <c r="I230" s="19">
        <v>0</v>
      </c>
      <c r="J230" s="19">
        <v>0</v>
      </c>
      <c r="K230" s="19">
        <f t="shared" si="92"/>
        <v>607923.02</v>
      </c>
      <c r="L230" s="19">
        <f>91498</f>
        <v>91498</v>
      </c>
    </row>
    <row r="231" spans="1:12">
      <c r="A231" s="125"/>
      <c r="B231" s="137"/>
      <c r="C231" s="18" t="s">
        <v>16</v>
      </c>
      <c r="D231" s="19">
        <v>32875.870000000003</v>
      </c>
      <c r="E231" s="19">
        <v>632665.30000000005</v>
      </c>
      <c r="F231" s="19">
        <f>SUM(D231:E231)</f>
        <v>665541.17000000004</v>
      </c>
      <c r="G231" s="19">
        <v>0</v>
      </c>
      <c r="H231" s="19">
        <v>0</v>
      </c>
      <c r="I231" s="19">
        <v>0</v>
      </c>
      <c r="J231" s="19">
        <v>0</v>
      </c>
      <c r="K231" s="19">
        <f t="shared" si="92"/>
        <v>665541.17000000004</v>
      </c>
      <c r="L231" s="19">
        <f>91498</f>
        <v>91498</v>
      </c>
    </row>
    <row r="232" spans="1:12">
      <c r="A232" s="125"/>
      <c r="B232" s="137"/>
      <c r="C232" s="20" t="s">
        <v>17</v>
      </c>
      <c r="D232" s="19">
        <v>18197.169999999998</v>
      </c>
      <c r="E232" s="19">
        <v>589705.64</v>
      </c>
      <c r="F232" s="19">
        <f>SUM(D232:E232)</f>
        <v>607902.81000000006</v>
      </c>
      <c r="G232" s="19">
        <v>0</v>
      </c>
      <c r="H232" s="19">
        <v>0</v>
      </c>
      <c r="I232" s="19">
        <v>0</v>
      </c>
      <c r="J232" s="19">
        <v>0</v>
      </c>
      <c r="K232" s="19">
        <f t="shared" si="92"/>
        <v>607902.81000000006</v>
      </c>
      <c r="L232" s="19">
        <f>91498</f>
        <v>91498</v>
      </c>
    </row>
    <row r="233" spans="1:12">
      <c r="A233" s="125"/>
      <c r="B233" s="98" t="s">
        <v>27</v>
      </c>
      <c r="C233" s="35" t="s">
        <v>15</v>
      </c>
      <c r="D233" s="36">
        <f t="shared" ref="D233:J233" si="93">D230+D227+D224</f>
        <v>54734.520000000004</v>
      </c>
      <c r="E233" s="36">
        <f t="shared" si="93"/>
        <v>1769410.1600000001</v>
      </c>
      <c r="F233" s="36">
        <f t="shared" si="93"/>
        <v>1824144.6800000002</v>
      </c>
      <c r="G233" s="36">
        <f t="shared" si="93"/>
        <v>0</v>
      </c>
      <c r="H233" s="36">
        <f t="shared" si="93"/>
        <v>0</v>
      </c>
      <c r="I233" s="36">
        <f t="shared" si="93"/>
        <v>0</v>
      </c>
      <c r="J233" s="36">
        <f t="shared" si="93"/>
        <v>0</v>
      </c>
      <c r="K233" s="36">
        <f t="shared" si="92"/>
        <v>1824144.6800000002</v>
      </c>
      <c r="L233" s="36">
        <f>L230+L227+L224</f>
        <v>274901</v>
      </c>
    </row>
    <row r="234" spans="1:12">
      <c r="A234" s="125"/>
      <c r="B234" s="98"/>
      <c r="C234" s="35" t="s">
        <v>16</v>
      </c>
      <c r="D234" s="36">
        <f>D231+D228+D225</f>
        <v>89659.6</v>
      </c>
      <c r="E234" s="36">
        <f>E231+E228+E225</f>
        <v>1933331.3200000003</v>
      </c>
      <c r="F234" s="36">
        <f>D234+E234</f>
        <v>2022990.9200000004</v>
      </c>
      <c r="G234" s="36">
        <f>G231+G228+G225</f>
        <v>0</v>
      </c>
      <c r="H234" s="36">
        <v>0</v>
      </c>
      <c r="I234" s="36">
        <f>I231+I228+I225</f>
        <v>0</v>
      </c>
      <c r="J234" s="36">
        <f>J231+J228+J225</f>
        <v>0</v>
      </c>
      <c r="K234" s="36">
        <f t="shared" si="92"/>
        <v>2022990.9200000004</v>
      </c>
      <c r="L234" s="36">
        <f>L231+L228+L225</f>
        <v>274901</v>
      </c>
    </row>
    <row r="235" spans="1:12">
      <c r="A235" s="125"/>
      <c r="B235" s="98"/>
      <c r="C235" s="20" t="s">
        <v>17</v>
      </c>
      <c r="D235" s="36">
        <f>D232+D229+D226</f>
        <v>53380.42</v>
      </c>
      <c r="E235" s="36">
        <f>E232+E229+E226</f>
        <v>1769116.92</v>
      </c>
      <c r="F235" s="36">
        <f>F232+F229+F226</f>
        <v>1822497.34</v>
      </c>
      <c r="G235" s="36">
        <f>G232+G229+G226</f>
        <v>0</v>
      </c>
      <c r="H235" s="36">
        <f>H232+H229+H226</f>
        <v>0</v>
      </c>
      <c r="I235" s="36">
        <f>I232+I229+I226</f>
        <v>0</v>
      </c>
      <c r="J235" s="36">
        <f>J232+J229+J226</f>
        <v>0</v>
      </c>
      <c r="K235" s="36">
        <f>K232+K229+K226</f>
        <v>1822497.34</v>
      </c>
      <c r="L235" s="36">
        <f>L232+L229+L226</f>
        <v>274901</v>
      </c>
    </row>
    <row r="236" spans="1:12">
      <c r="A236" s="125"/>
      <c r="B236" s="138" t="s">
        <v>29</v>
      </c>
      <c r="C236" s="35" t="s">
        <v>15</v>
      </c>
      <c r="D236" s="36">
        <f>D218+D233</f>
        <v>109642.20000000001</v>
      </c>
      <c r="E236" s="36">
        <f>E218+E233</f>
        <v>3538820.3200000003</v>
      </c>
      <c r="F236" s="36">
        <f t="shared" ref="F236:F241" si="94">D236+E236</f>
        <v>3648462.5200000005</v>
      </c>
      <c r="G236" s="36">
        <f>G218+G233</f>
        <v>0</v>
      </c>
      <c r="H236" s="36">
        <f>H218+H233</f>
        <v>0</v>
      </c>
      <c r="I236" s="36">
        <f>I218+I233</f>
        <v>0</v>
      </c>
      <c r="J236" s="36">
        <f>J218+J233</f>
        <v>0</v>
      </c>
      <c r="K236" s="36">
        <f>J236+I236+H236+G236+E236+D236</f>
        <v>3648462.5200000005</v>
      </c>
      <c r="L236" s="36">
        <f>L218+L233-858</f>
        <v>547899</v>
      </c>
    </row>
    <row r="237" spans="1:12">
      <c r="A237" s="125"/>
      <c r="B237" s="139"/>
      <c r="C237" s="35" t="s">
        <v>16</v>
      </c>
      <c r="D237" s="36">
        <f>D219+D234</f>
        <v>175153.51</v>
      </c>
      <c r="E237" s="36">
        <f>E219+E234</f>
        <v>3834259.62</v>
      </c>
      <c r="F237" s="36">
        <f t="shared" si="94"/>
        <v>4009413.13</v>
      </c>
      <c r="G237" s="36">
        <f t="shared" ref="G237:J238" si="95">G234+G219</f>
        <v>0</v>
      </c>
      <c r="H237" s="36">
        <f t="shared" si="95"/>
        <v>0</v>
      </c>
      <c r="I237" s="36">
        <f t="shared" si="95"/>
        <v>0</v>
      </c>
      <c r="J237" s="36">
        <f t="shared" si="95"/>
        <v>0</v>
      </c>
      <c r="K237" s="36">
        <f>J237+I237+H237+G237+E237+D237</f>
        <v>4009413.13</v>
      </c>
      <c r="L237" s="36">
        <f>L221+L234</f>
        <v>548757</v>
      </c>
    </row>
    <row r="238" spans="1:12">
      <c r="A238" s="125"/>
      <c r="B238" s="139"/>
      <c r="C238" s="20" t="s">
        <v>17</v>
      </c>
      <c r="D238" s="36">
        <f>D223+D235</f>
        <v>107157.69</v>
      </c>
      <c r="E238" s="36">
        <f>E223+E235</f>
        <v>3538527.08</v>
      </c>
      <c r="F238" s="36">
        <f t="shared" si="94"/>
        <v>3645684.77</v>
      </c>
      <c r="G238" s="36">
        <f t="shared" si="95"/>
        <v>0</v>
      </c>
      <c r="H238" s="36">
        <f t="shared" si="95"/>
        <v>0</v>
      </c>
      <c r="I238" s="36">
        <f t="shared" si="95"/>
        <v>0</v>
      </c>
      <c r="J238" s="36">
        <f t="shared" si="95"/>
        <v>0</v>
      </c>
      <c r="K238" s="36">
        <f>J238+I238+H238+G238+E238+D238</f>
        <v>3645684.77</v>
      </c>
      <c r="L238" s="36">
        <f>L235+L223</f>
        <v>548757</v>
      </c>
    </row>
    <row r="239" spans="1:12">
      <c r="A239" s="125"/>
      <c r="B239" s="127"/>
      <c r="C239" s="20" t="s">
        <v>47</v>
      </c>
      <c r="D239" s="36">
        <v>175153.52</v>
      </c>
      <c r="E239" s="36">
        <v>3834259.62</v>
      </c>
      <c r="F239" s="36">
        <f t="shared" si="94"/>
        <v>4009413.14</v>
      </c>
      <c r="G239" s="36">
        <v>0</v>
      </c>
      <c r="H239" s="36">
        <v>0</v>
      </c>
      <c r="I239" s="36"/>
      <c r="J239" s="36"/>
      <c r="K239" s="36">
        <f>F239</f>
        <v>4009413.14</v>
      </c>
      <c r="L239" s="36">
        <v>547899</v>
      </c>
    </row>
    <row r="240" spans="1:12">
      <c r="A240" s="125"/>
      <c r="B240" s="127"/>
      <c r="C240" s="20" t="s">
        <v>43</v>
      </c>
      <c r="D240" s="36">
        <v>2484.5100000000002</v>
      </c>
      <c r="E240" s="36">
        <v>293.24</v>
      </c>
      <c r="F240" s="36">
        <f t="shared" si="94"/>
        <v>2777.75</v>
      </c>
      <c r="G240" s="36">
        <v>0</v>
      </c>
      <c r="H240" s="36">
        <v>0</v>
      </c>
      <c r="I240" s="36"/>
      <c r="J240" s="36"/>
      <c r="K240" s="36">
        <f>F240</f>
        <v>2777.75</v>
      </c>
      <c r="L240" s="36">
        <v>-858</v>
      </c>
    </row>
    <row r="241" spans="1:12">
      <c r="A241" s="125"/>
      <c r="B241" s="127"/>
      <c r="C241" s="20" t="s">
        <v>23</v>
      </c>
      <c r="D241" s="36">
        <f>D238+D240</f>
        <v>109642.2</v>
      </c>
      <c r="E241" s="36">
        <f>E238+E240</f>
        <v>3538820.3200000003</v>
      </c>
      <c r="F241" s="36">
        <f t="shared" si="94"/>
        <v>3648462.5200000005</v>
      </c>
      <c r="G241" s="36">
        <f>G238+G240</f>
        <v>0</v>
      </c>
      <c r="H241" s="36">
        <f>H238+H240</f>
        <v>0</v>
      </c>
      <c r="I241" s="36">
        <f>I238+I240</f>
        <v>0</v>
      </c>
      <c r="J241" s="36">
        <f>J238+J240</f>
        <v>0</v>
      </c>
      <c r="K241" s="36">
        <f>F241</f>
        <v>3648462.5200000005</v>
      </c>
      <c r="L241" s="36">
        <f>L238+L240</f>
        <v>547899</v>
      </c>
    </row>
    <row r="242" spans="1:12">
      <c r="A242" s="125"/>
      <c r="B242" s="131" t="s">
        <v>30</v>
      </c>
      <c r="C242" s="35" t="s">
        <v>15</v>
      </c>
      <c r="D242" s="36">
        <v>38519.279999999999</v>
      </c>
      <c r="E242" s="36">
        <v>589848.5</v>
      </c>
      <c r="F242" s="36">
        <f t="shared" ref="F242:F250" si="96">SUM(D242:E242)</f>
        <v>628367.78</v>
      </c>
      <c r="G242" s="36">
        <v>0</v>
      </c>
      <c r="H242" s="35">
        <v>0</v>
      </c>
      <c r="I242" s="35">
        <v>0</v>
      </c>
      <c r="J242" s="35">
        <v>0</v>
      </c>
      <c r="K242" s="36">
        <f>D242+E242+G242+H242+I242+J242</f>
        <v>628367.78</v>
      </c>
      <c r="L242" s="36">
        <v>92312</v>
      </c>
    </row>
    <row r="243" spans="1:12">
      <c r="A243" s="125"/>
      <c r="B243" s="132"/>
      <c r="C243" s="35" t="s">
        <v>16</v>
      </c>
      <c r="D243" s="36">
        <v>47836.76</v>
      </c>
      <c r="E243" s="36">
        <v>653236.65</v>
      </c>
      <c r="F243" s="36">
        <f t="shared" si="96"/>
        <v>701073.41</v>
      </c>
      <c r="G243" s="36">
        <v>0</v>
      </c>
      <c r="H243" s="35">
        <v>0</v>
      </c>
      <c r="I243" s="35">
        <v>0</v>
      </c>
      <c r="J243" s="35">
        <v>0</v>
      </c>
      <c r="K243" s="36">
        <f>D243+E243+G243+H243+I243+J243</f>
        <v>701073.41</v>
      </c>
      <c r="L243" s="36">
        <v>92312</v>
      </c>
    </row>
    <row r="244" spans="1:12">
      <c r="A244" s="125"/>
      <c r="B244" s="132"/>
      <c r="C244" s="35" t="s">
        <v>17</v>
      </c>
      <c r="D244" s="36">
        <v>37260.959999999999</v>
      </c>
      <c r="E244" s="36">
        <v>589745.86</v>
      </c>
      <c r="F244" s="36">
        <f t="shared" si="96"/>
        <v>627006.81999999995</v>
      </c>
      <c r="G244" s="36">
        <v>0</v>
      </c>
      <c r="H244" s="35">
        <v>0</v>
      </c>
      <c r="I244" s="35">
        <v>0</v>
      </c>
      <c r="J244" s="35">
        <v>0</v>
      </c>
      <c r="K244" s="36">
        <f>D244+E244+G244+H244+I244+J244</f>
        <v>627006.81999999995</v>
      </c>
      <c r="L244" s="36">
        <v>92312</v>
      </c>
    </row>
    <row r="245" spans="1:12">
      <c r="A245" s="125"/>
      <c r="B245" s="131" t="s">
        <v>31</v>
      </c>
      <c r="C245" s="35" t="s">
        <v>15</v>
      </c>
      <c r="D245" s="36">
        <v>62593.83</v>
      </c>
      <c r="E245" s="36">
        <v>589848.5</v>
      </c>
      <c r="F245" s="36">
        <f t="shared" si="96"/>
        <v>652442.32999999996</v>
      </c>
      <c r="G245" s="36">
        <v>0</v>
      </c>
      <c r="H245" s="35">
        <v>0</v>
      </c>
      <c r="I245" s="35">
        <v>0</v>
      </c>
      <c r="J245" s="35">
        <v>0</v>
      </c>
      <c r="K245" s="36">
        <f t="shared" ref="K245:K250" si="97">J245+I245+H245+G245+E245+D245</f>
        <v>652442.32999999996</v>
      </c>
      <c r="L245" s="36">
        <v>94336</v>
      </c>
    </row>
    <row r="246" spans="1:12">
      <c r="A246" s="125"/>
      <c r="B246" s="132"/>
      <c r="C246" s="35" t="s">
        <v>16</v>
      </c>
      <c r="D246" s="36">
        <v>55624.99</v>
      </c>
      <c r="E246" s="36">
        <v>640773.1</v>
      </c>
      <c r="F246" s="36">
        <f t="shared" si="96"/>
        <v>696398.09</v>
      </c>
      <c r="G246" s="36">
        <v>0</v>
      </c>
      <c r="H246" s="35">
        <v>0</v>
      </c>
      <c r="I246" s="35">
        <v>0</v>
      </c>
      <c r="J246" s="35">
        <v>0</v>
      </c>
      <c r="K246" s="36">
        <f t="shared" si="97"/>
        <v>696398.09</v>
      </c>
      <c r="L246" s="36">
        <v>94336</v>
      </c>
    </row>
    <row r="247" spans="1:12">
      <c r="A247" s="125"/>
      <c r="B247" s="132"/>
      <c r="C247" s="35" t="s">
        <v>17</v>
      </c>
      <c r="D247" s="36">
        <v>55624.99</v>
      </c>
      <c r="E247" s="36">
        <v>589745.86</v>
      </c>
      <c r="F247" s="36">
        <f t="shared" si="96"/>
        <v>645370.85</v>
      </c>
      <c r="G247" s="36">
        <v>0</v>
      </c>
      <c r="H247" s="35">
        <v>0</v>
      </c>
      <c r="I247" s="35">
        <v>0</v>
      </c>
      <c r="J247" s="35">
        <v>0</v>
      </c>
      <c r="K247" s="36">
        <f t="shared" si="97"/>
        <v>645370.85</v>
      </c>
      <c r="L247" s="36">
        <v>94336</v>
      </c>
    </row>
    <row r="248" spans="1:12">
      <c r="A248" s="125"/>
      <c r="B248" s="131" t="s">
        <v>32</v>
      </c>
      <c r="C248" s="35" t="s">
        <v>15</v>
      </c>
      <c r="D248" s="36">
        <f>38519.28+24074.55-287.47</f>
        <v>62306.36</v>
      </c>
      <c r="E248" s="36">
        <f>589848.5-14.66</f>
        <v>589833.84</v>
      </c>
      <c r="F248" s="36">
        <f t="shared" si="96"/>
        <v>652140.19999999995</v>
      </c>
      <c r="G248" s="36">
        <v>0</v>
      </c>
      <c r="H248" s="35">
        <v>0</v>
      </c>
      <c r="I248" s="35">
        <v>0</v>
      </c>
      <c r="J248" s="35">
        <v>0</v>
      </c>
      <c r="K248" s="36">
        <f t="shared" si="97"/>
        <v>652140.19999999995</v>
      </c>
      <c r="L248" s="36">
        <f>123615.1-29653.1+44</f>
        <v>94006</v>
      </c>
    </row>
    <row r="249" spans="1:12">
      <c r="A249" s="125"/>
      <c r="B249" s="132"/>
      <c r="C249" s="35" t="s">
        <v>16</v>
      </c>
      <c r="D249" s="36">
        <v>59957.72</v>
      </c>
      <c r="E249" s="36">
        <v>630655.63</v>
      </c>
      <c r="F249" s="36">
        <f t="shared" si="96"/>
        <v>690613.35</v>
      </c>
      <c r="G249" s="36">
        <v>0</v>
      </c>
      <c r="H249" s="35">
        <v>0</v>
      </c>
      <c r="I249" s="35">
        <v>0</v>
      </c>
      <c r="J249" s="35">
        <v>0</v>
      </c>
      <c r="K249" s="36">
        <f t="shared" si="97"/>
        <v>690613.35</v>
      </c>
      <c r="L249" s="36">
        <v>93962</v>
      </c>
    </row>
    <row r="250" spans="1:12">
      <c r="A250" s="125"/>
      <c r="B250" s="132"/>
      <c r="C250" s="35" t="s">
        <v>17</v>
      </c>
      <c r="D250" s="36">
        <v>59957.72</v>
      </c>
      <c r="E250" s="36">
        <v>589745.86</v>
      </c>
      <c r="F250" s="36">
        <f t="shared" si="96"/>
        <v>649703.57999999996</v>
      </c>
      <c r="G250" s="36">
        <v>0</v>
      </c>
      <c r="H250" s="35">
        <v>0</v>
      </c>
      <c r="I250" s="35">
        <v>0</v>
      </c>
      <c r="J250" s="35">
        <v>0</v>
      </c>
      <c r="K250" s="36">
        <f t="shared" si="97"/>
        <v>649703.57999999996</v>
      </c>
      <c r="L250" s="36">
        <v>93962</v>
      </c>
    </row>
    <row r="251" spans="1:12">
      <c r="A251" s="125"/>
      <c r="B251" s="131" t="s">
        <v>33</v>
      </c>
      <c r="C251" s="35" t="s">
        <v>15</v>
      </c>
      <c r="D251" s="36">
        <f t="shared" ref="D251:L251" si="98">D242+D245+D248</f>
        <v>163419.47</v>
      </c>
      <c r="E251" s="36">
        <f t="shared" si="98"/>
        <v>1769530.8399999999</v>
      </c>
      <c r="F251" s="36">
        <f t="shared" si="98"/>
        <v>1932950.3099999998</v>
      </c>
      <c r="G251" s="36">
        <f t="shared" si="98"/>
        <v>0</v>
      </c>
      <c r="H251" s="36">
        <f t="shared" si="98"/>
        <v>0</v>
      </c>
      <c r="I251" s="36">
        <f t="shared" si="98"/>
        <v>0</v>
      </c>
      <c r="J251" s="36">
        <f t="shared" si="98"/>
        <v>0</v>
      </c>
      <c r="K251" s="36">
        <f t="shared" si="98"/>
        <v>1932950.3099999998</v>
      </c>
      <c r="L251" s="36">
        <f t="shared" si="98"/>
        <v>280654</v>
      </c>
    </row>
    <row r="252" spans="1:12">
      <c r="A252" s="125"/>
      <c r="B252" s="132"/>
      <c r="C252" s="35" t="s">
        <v>16</v>
      </c>
      <c r="D252" s="36">
        <f t="shared" ref="D252:L252" si="99">D243+D246+D249</f>
        <v>163419.47</v>
      </c>
      <c r="E252" s="36">
        <f t="shared" si="99"/>
        <v>1924665.38</v>
      </c>
      <c r="F252" s="36">
        <f t="shared" si="99"/>
        <v>2088084.85</v>
      </c>
      <c r="G252" s="36">
        <f t="shared" si="99"/>
        <v>0</v>
      </c>
      <c r="H252" s="36">
        <f t="shared" si="99"/>
        <v>0</v>
      </c>
      <c r="I252" s="36">
        <f t="shared" si="99"/>
        <v>0</v>
      </c>
      <c r="J252" s="36">
        <f t="shared" si="99"/>
        <v>0</v>
      </c>
      <c r="K252" s="36">
        <f t="shared" si="99"/>
        <v>2088084.85</v>
      </c>
      <c r="L252" s="36">
        <f t="shared" si="99"/>
        <v>280610</v>
      </c>
    </row>
    <row r="253" spans="1:12">
      <c r="A253" s="125"/>
      <c r="B253" s="132"/>
      <c r="C253" s="35" t="s">
        <v>17</v>
      </c>
      <c r="D253" s="36">
        <f t="shared" ref="D253:L253" si="100">D244+D247+D250</f>
        <v>152843.66999999998</v>
      </c>
      <c r="E253" s="36">
        <f t="shared" si="100"/>
        <v>1769237.58</v>
      </c>
      <c r="F253" s="36">
        <f t="shared" si="100"/>
        <v>1922081.25</v>
      </c>
      <c r="G253" s="36">
        <f t="shared" si="100"/>
        <v>0</v>
      </c>
      <c r="H253" s="36">
        <f t="shared" si="100"/>
        <v>0</v>
      </c>
      <c r="I253" s="36">
        <f t="shared" si="100"/>
        <v>0</v>
      </c>
      <c r="J253" s="36">
        <f t="shared" si="100"/>
        <v>0</v>
      </c>
      <c r="K253" s="36">
        <f t="shared" si="100"/>
        <v>1922081.25</v>
      </c>
      <c r="L253" s="36">
        <f t="shared" si="100"/>
        <v>280610</v>
      </c>
    </row>
    <row r="254" spans="1:12">
      <c r="A254" s="125"/>
      <c r="B254" s="132"/>
      <c r="C254" s="35" t="s">
        <v>34</v>
      </c>
      <c r="D254" s="36">
        <f t="shared" ref="D254:L254" si="101">D244+D247+D250</f>
        <v>152843.66999999998</v>
      </c>
      <c r="E254" s="36">
        <f t="shared" si="101"/>
        <v>1769237.58</v>
      </c>
      <c r="F254" s="36">
        <f t="shared" si="101"/>
        <v>1922081.25</v>
      </c>
      <c r="G254" s="36">
        <f t="shared" si="101"/>
        <v>0</v>
      </c>
      <c r="H254" s="36">
        <f t="shared" si="101"/>
        <v>0</v>
      </c>
      <c r="I254" s="36">
        <f t="shared" si="101"/>
        <v>0</v>
      </c>
      <c r="J254" s="36">
        <f t="shared" si="101"/>
        <v>0</v>
      </c>
      <c r="K254" s="36">
        <f t="shared" si="101"/>
        <v>1922081.25</v>
      </c>
      <c r="L254" s="36">
        <f t="shared" si="101"/>
        <v>280610</v>
      </c>
    </row>
    <row r="255" spans="1:12">
      <c r="A255" s="125"/>
      <c r="B255" s="133"/>
      <c r="C255" s="37" t="s">
        <v>47</v>
      </c>
      <c r="D255" s="36">
        <v>163419.47</v>
      </c>
      <c r="E255" s="36">
        <v>1924665.38</v>
      </c>
      <c r="F255" s="36">
        <f>D255+E255</f>
        <v>2088084.8499999999</v>
      </c>
      <c r="G255" s="36">
        <v>0</v>
      </c>
      <c r="H255" s="36"/>
      <c r="I255" s="36"/>
      <c r="J255" s="36"/>
      <c r="K255" s="36">
        <f>F255+G255</f>
        <v>2088084.8499999999</v>
      </c>
      <c r="L255" s="36">
        <v>280654</v>
      </c>
    </row>
    <row r="256" spans="1:12">
      <c r="A256" s="125"/>
      <c r="B256" s="133"/>
      <c r="C256" s="20" t="s">
        <v>43</v>
      </c>
      <c r="D256" s="36">
        <v>10575.8</v>
      </c>
      <c r="E256" s="36">
        <v>293.26</v>
      </c>
      <c r="F256" s="36">
        <f>D256+E256</f>
        <v>10869.06</v>
      </c>
      <c r="G256" s="36">
        <v>0</v>
      </c>
      <c r="H256" s="36"/>
      <c r="I256" s="36"/>
      <c r="J256" s="36"/>
      <c r="K256" s="36">
        <f>F256+G256</f>
        <v>10869.06</v>
      </c>
      <c r="L256" s="36">
        <v>44</v>
      </c>
    </row>
    <row r="257" spans="1:12">
      <c r="A257" s="125"/>
      <c r="B257" s="133"/>
      <c r="C257" s="20" t="s">
        <v>23</v>
      </c>
      <c r="D257" s="36">
        <f t="shared" ref="D257:L257" si="102">D254+D256</f>
        <v>163419.46999999997</v>
      </c>
      <c r="E257" s="36">
        <f t="shared" si="102"/>
        <v>1769530.84</v>
      </c>
      <c r="F257" s="36">
        <f t="shared" si="102"/>
        <v>1932950.31</v>
      </c>
      <c r="G257" s="36">
        <f t="shared" si="102"/>
        <v>0</v>
      </c>
      <c r="H257" s="36">
        <f t="shared" si="102"/>
        <v>0</v>
      </c>
      <c r="I257" s="36">
        <f t="shared" si="102"/>
        <v>0</v>
      </c>
      <c r="J257" s="36">
        <f t="shared" si="102"/>
        <v>0</v>
      </c>
      <c r="K257" s="36">
        <f t="shared" si="102"/>
        <v>1932950.31</v>
      </c>
      <c r="L257" s="36">
        <f t="shared" si="102"/>
        <v>280654</v>
      </c>
    </row>
    <row r="258" spans="1:12">
      <c r="A258" s="125"/>
      <c r="B258" s="131" t="s">
        <v>35</v>
      </c>
      <c r="C258" s="35" t="s">
        <v>15</v>
      </c>
      <c r="D258" s="36">
        <f>38519.28+24074.55</f>
        <v>62593.83</v>
      </c>
      <c r="E258" s="36">
        <v>589848.5</v>
      </c>
      <c r="F258" s="36">
        <f t="shared" ref="F258:F266" si="103">SUM(D258:E258)</f>
        <v>652442.32999999996</v>
      </c>
      <c r="G258" s="36">
        <v>0</v>
      </c>
      <c r="H258" s="35">
        <v>0</v>
      </c>
      <c r="I258" s="35">
        <v>0</v>
      </c>
      <c r="J258" s="35">
        <v>0</v>
      </c>
      <c r="K258" s="36">
        <f t="shared" ref="K258:K266" si="104">D258+E258+G258+H258+I258+J258</f>
        <v>652442.32999999996</v>
      </c>
      <c r="L258" s="36">
        <v>94407.19</v>
      </c>
    </row>
    <row r="259" spans="1:12">
      <c r="A259" s="125"/>
      <c r="B259" s="132"/>
      <c r="C259" s="35" t="s">
        <v>16</v>
      </c>
      <c r="D259" s="36">
        <v>0</v>
      </c>
      <c r="E259" s="36">
        <v>0</v>
      </c>
      <c r="F259" s="36">
        <f t="shared" si="103"/>
        <v>0</v>
      </c>
      <c r="G259" s="36">
        <v>0</v>
      </c>
      <c r="H259" s="35">
        <v>0</v>
      </c>
      <c r="I259" s="35">
        <v>0</v>
      </c>
      <c r="J259" s="35">
        <v>0</v>
      </c>
      <c r="K259" s="36">
        <f t="shared" si="104"/>
        <v>0</v>
      </c>
      <c r="L259" s="36">
        <v>0</v>
      </c>
    </row>
    <row r="260" spans="1:12">
      <c r="A260" s="125"/>
      <c r="B260" s="132"/>
      <c r="C260" s="35" t="s">
        <v>17</v>
      </c>
      <c r="D260" s="36">
        <v>0</v>
      </c>
      <c r="E260" s="36">
        <v>0</v>
      </c>
      <c r="F260" s="36">
        <f t="shared" si="103"/>
        <v>0</v>
      </c>
      <c r="G260" s="36">
        <v>0</v>
      </c>
      <c r="H260" s="35">
        <v>0</v>
      </c>
      <c r="I260" s="35">
        <v>0</v>
      </c>
      <c r="J260" s="35">
        <v>0</v>
      </c>
      <c r="K260" s="36">
        <f t="shared" si="104"/>
        <v>0</v>
      </c>
      <c r="L260" s="36">
        <v>0</v>
      </c>
    </row>
    <row r="261" spans="1:12">
      <c r="A261" s="125"/>
      <c r="B261" s="131" t="s">
        <v>36</v>
      </c>
      <c r="C261" s="35" t="s">
        <v>15</v>
      </c>
      <c r="D261" s="36">
        <v>38519.279999999999</v>
      </c>
      <c r="E261" s="36">
        <v>589848.5</v>
      </c>
      <c r="F261" s="36">
        <f t="shared" si="103"/>
        <v>628367.78</v>
      </c>
      <c r="G261" s="36">
        <v>0</v>
      </c>
      <c r="H261" s="35">
        <v>0</v>
      </c>
      <c r="I261" s="35">
        <v>0</v>
      </c>
      <c r="J261" s="35">
        <v>0</v>
      </c>
      <c r="K261" s="36">
        <f t="shared" si="104"/>
        <v>628367.78</v>
      </c>
      <c r="L261" s="36">
        <v>0</v>
      </c>
    </row>
    <row r="262" spans="1:12">
      <c r="A262" s="125"/>
      <c r="B262" s="132"/>
      <c r="C262" s="35" t="s">
        <v>16</v>
      </c>
      <c r="D262" s="36">
        <v>0</v>
      </c>
      <c r="E262" s="36">
        <v>0</v>
      </c>
      <c r="F262" s="36">
        <f t="shared" si="103"/>
        <v>0</v>
      </c>
      <c r="G262" s="36">
        <v>0</v>
      </c>
      <c r="H262" s="35">
        <v>0</v>
      </c>
      <c r="I262" s="35">
        <v>0</v>
      </c>
      <c r="J262" s="35">
        <v>0</v>
      </c>
      <c r="K262" s="36">
        <f t="shared" si="104"/>
        <v>0</v>
      </c>
      <c r="L262" s="36">
        <v>0</v>
      </c>
    </row>
    <row r="263" spans="1:12">
      <c r="A263" s="125"/>
      <c r="B263" s="132"/>
      <c r="C263" s="35" t="s">
        <v>17</v>
      </c>
      <c r="D263" s="36">
        <v>0</v>
      </c>
      <c r="E263" s="36">
        <v>0</v>
      </c>
      <c r="F263" s="36">
        <f t="shared" si="103"/>
        <v>0</v>
      </c>
      <c r="G263" s="36">
        <v>0</v>
      </c>
      <c r="H263" s="35">
        <v>0</v>
      </c>
      <c r="I263" s="35">
        <v>0</v>
      </c>
      <c r="J263" s="35">
        <v>0</v>
      </c>
      <c r="K263" s="36">
        <f t="shared" si="104"/>
        <v>0</v>
      </c>
      <c r="L263" s="36">
        <v>0</v>
      </c>
    </row>
    <row r="264" spans="1:12">
      <c r="A264" s="125"/>
      <c r="B264" s="131" t="s">
        <v>37</v>
      </c>
      <c r="C264" s="35" t="s">
        <v>15</v>
      </c>
      <c r="D264" s="36">
        <f>2407.46+36111.83</f>
        <v>38519.29</v>
      </c>
      <c r="E264" s="36">
        <f>53622.59+536225.91</f>
        <v>589848.5</v>
      </c>
      <c r="F264" s="36">
        <f t="shared" si="103"/>
        <v>628367.79</v>
      </c>
      <c r="G264" s="36">
        <v>0</v>
      </c>
      <c r="H264" s="35">
        <v>0</v>
      </c>
      <c r="I264" s="35">
        <v>0</v>
      </c>
      <c r="J264" s="35">
        <v>0</v>
      </c>
      <c r="K264" s="36">
        <f t="shared" si="104"/>
        <v>628367.79</v>
      </c>
      <c r="L264" s="36">
        <v>0</v>
      </c>
    </row>
    <row r="265" spans="1:12">
      <c r="A265" s="125"/>
      <c r="B265" s="132"/>
      <c r="C265" s="35" t="s">
        <v>16</v>
      </c>
      <c r="D265" s="36">
        <v>0</v>
      </c>
      <c r="E265" s="36">
        <v>0</v>
      </c>
      <c r="F265" s="36">
        <f t="shared" si="103"/>
        <v>0</v>
      </c>
      <c r="G265" s="36">
        <v>0</v>
      </c>
      <c r="H265" s="35">
        <v>0</v>
      </c>
      <c r="I265" s="35">
        <v>0</v>
      </c>
      <c r="J265" s="35">
        <v>0</v>
      </c>
      <c r="K265" s="36">
        <f t="shared" si="104"/>
        <v>0</v>
      </c>
      <c r="L265" s="36">
        <v>0</v>
      </c>
    </row>
    <row r="266" spans="1:12">
      <c r="A266" s="125"/>
      <c r="B266" s="132"/>
      <c r="C266" s="35" t="s">
        <v>17</v>
      </c>
      <c r="D266" s="36">
        <v>0</v>
      </c>
      <c r="E266" s="36">
        <v>0</v>
      </c>
      <c r="F266" s="36">
        <f t="shared" si="103"/>
        <v>0</v>
      </c>
      <c r="G266" s="36">
        <v>0</v>
      </c>
      <c r="H266" s="35">
        <v>0</v>
      </c>
      <c r="I266" s="35">
        <v>0</v>
      </c>
      <c r="J266" s="35">
        <v>0</v>
      </c>
      <c r="K266" s="36">
        <f t="shared" si="104"/>
        <v>0</v>
      </c>
      <c r="L266" s="36">
        <v>0</v>
      </c>
    </row>
    <row r="267" spans="1:12">
      <c r="A267" s="125"/>
      <c r="B267" s="134" t="s">
        <v>38</v>
      </c>
      <c r="C267" s="35" t="s">
        <v>15</v>
      </c>
      <c r="D267" s="36">
        <f t="shared" ref="D267:L267" si="105">D258+D261+D264</f>
        <v>139632.4</v>
      </c>
      <c r="E267" s="36">
        <f t="shared" si="105"/>
        <v>1769545.5</v>
      </c>
      <c r="F267" s="36">
        <f t="shared" si="105"/>
        <v>1909177.9</v>
      </c>
      <c r="G267" s="36">
        <f t="shared" si="105"/>
        <v>0</v>
      </c>
      <c r="H267" s="36">
        <f t="shared" si="105"/>
        <v>0</v>
      </c>
      <c r="I267" s="36">
        <f t="shared" si="105"/>
        <v>0</v>
      </c>
      <c r="J267" s="36">
        <f t="shared" si="105"/>
        <v>0</v>
      </c>
      <c r="K267" s="36">
        <f t="shared" si="105"/>
        <v>1909177.9</v>
      </c>
      <c r="L267" s="36">
        <f t="shared" si="105"/>
        <v>94407.19</v>
      </c>
    </row>
    <row r="268" spans="1:12">
      <c r="A268" s="125"/>
      <c r="B268" s="135"/>
      <c r="C268" s="35" t="s">
        <v>16</v>
      </c>
      <c r="D268" s="36">
        <f t="shared" ref="D268:L268" si="106">D259+D262+D265</f>
        <v>0</v>
      </c>
      <c r="E268" s="36">
        <f t="shared" si="106"/>
        <v>0</v>
      </c>
      <c r="F268" s="36">
        <f t="shared" si="106"/>
        <v>0</v>
      </c>
      <c r="G268" s="36">
        <f t="shared" si="106"/>
        <v>0</v>
      </c>
      <c r="H268" s="36">
        <f t="shared" si="106"/>
        <v>0</v>
      </c>
      <c r="I268" s="36">
        <f t="shared" si="106"/>
        <v>0</v>
      </c>
      <c r="J268" s="36">
        <f t="shared" si="106"/>
        <v>0</v>
      </c>
      <c r="K268" s="36">
        <f t="shared" si="106"/>
        <v>0</v>
      </c>
      <c r="L268" s="36">
        <f t="shared" si="106"/>
        <v>0</v>
      </c>
    </row>
    <row r="269" spans="1:12">
      <c r="A269" s="125"/>
      <c r="B269" s="135"/>
      <c r="C269" s="35" t="s">
        <v>17</v>
      </c>
      <c r="D269" s="36">
        <f t="shared" ref="D269:L269" si="107">D260+D263+D266</f>
        <v>0</v>
      </c>
      <c r="E269" s="36">
        <f t="shared" si="107"/>
        <v>0</v>
      </c>
      <c r="F269" s="36">
        <f t="shared" si="107"/>
        <v>0</v>
      </c>
      <c r="G269" s="36">
        <f t="shared" si="107"/>
        <v>0</v>
      </c>
      <c r="H269" s="36">
        <f t="shared" si="107"/>
        <v>0</v>
      </c>
      <c r="I269" s="36">
        <f t="shared" si="107"/>
        <v>0</v>
      </c>
      <c r="J269" s="36">
        <f t="shared" si="107"/>
        <v>0</v>
      </c>
      <c r="K269" s="36">
        <f t="shared" si="107"/>
        <v>0</v>
      </c>
      <c r="L269" s="36">
        <f t="shared" si="107"/>
        <v>0</v>
      </c>
    </row>
    <row r="270" spans="1:12">
      <c r="A270" s="125"/>
      <c r="B270" s="134" t="s">
        <v>39</v>
      </c>
      <c r="C270" s="35" t="s">
        <v>15</v>
      </c>
      <c r="D270" s="36">
        <f t="shared" ref="D270:L270" si="108">D251+D267</f>
        <v>303051.87</v>
      </c>
      <c r="E270" s="36">
        <f t="shared" si="108"/>
        <v>3539076.34</v>
      </c>
      <c r="F270" s="36">
        <f t="shared" si="108"/>
        <v>3842128.21</v>
      </c>
      <c r="G270" s="36">
        <f t="shared" si="108"/>
        <v>0</v>
      </c>
      <c r="H270" s="36">
        <f t="shared" si="108"/>
        <v>0</v>
      </c>
      <c r="I270" s="36">
        <f t="shared" si="108"/>
        <v>0</v>
      </c>
      <c r="J270" s="36">
        <f t="shared" si="108"/>
        <v>0</v>
      </c>
      <c r="K270" s="36">
        <f t="shared" si="108"/>
        <v>3842128.21</v>
      </c>
      <c r="L270" s="36">
        <f t="shared" si="108"/>
        <v>375061.19</v>
      </c>
    </row>
    <row r="271" spans="1:12">
      <c r="A271" s="125"/>
      <c r="B271" s="135"/>
      <c r="C271" s="35" t="s">
        <v>16</v>
      </c>
      <c r="D271" s="36">
        <f t="shared" ref="D271:L271" si="109">D252+D268</f>
        <v>163419.47</v>
      </c>
      <c r="E271" s="36">
        <f t="shared" si="109"/>
        <v>1924665.38</v>
      </c>
      <c r="F271" s="36">
        <f t="shared" si="109"/>
        <v>2088084.85</v>
      </c>
      <c r="G271" s="36">
        <f t="shared" si="109"/>
        <v>0</v>
      </c>
      <c r="H271" s="36">
        <f t="shared" si="109"/>
        <v>0</v>
      </c>
      <c r="I271" s="36">
        <f t="shared" si="109"/>
        <v>0</v>
      </c>
      <c r="J271" s="36">
        <f t="shared" si="109"/>
        <v>0</v>
      </c>
      <c r="K271" s="36">
        <f t="shared" si="109"/>
        <v>2088084.85</v>
      </c>
      <c r="L271" s="36">
        <f t="shared" si="109"/>
        <v>280610</v>
      </c>
    </row>
    <row r="272" spans="1:12">
      <c r="A272" s="125"/>
      <c r="B272" s="135"/>
      <c r="C272" s="35" t="s">
        <v>41</v>
      </c>
      <c r="D272" s="36">
        <f>D255</f>
        <v>163419.47</v>
      </c>
      <c r="E272" s="36">
        <f t="shared" ref="E272:K272" si="110">E255</f>
        <v>1924665.38</v>
      </c>
      <c r="F272" s="36">
        <f t="shared" si="110"/>
        <v>2088084.8499999999</v>
      </c>
      <c r="G272" s="36">
        <f t="shared" si="110"/>
        <v>0</v>
      </c>
      <c r="H272" s="36">
        <f t="shared" si="110"/>
        <v>0</v>
      </c>
      <c r="I272" s="36">
        <f t="shared" si="110"/>
        <v>0</v>
      </c>
      <c r="J272" s="36">
        <f t="shared" si="110"/>
        <v>0</v>
      </c>
      <c r="K272" s="36">
        <f t="shared" si="110"/>
        <v>2088084.8499999999</v>
      </c>
      <c r="L272" s="36">
        <f>L255</f>
        <v>280654</v>
      </c>
    </row>
    <row r="273" spans="1:13">
      <c r="A273" s="125"/>
      <c r="B273" s="135"/>
      <c r="C273" s="35" t="s">
        <v>17</v>
      </c>
      <c r="D273" s="36">
        <f>D257+D269</f>
        <v>163419.46999999997</v>
      </c>
      <c r="E273" s="36">
        <f t="shared" ref="E273:L273" si="111">E253+E269</f>
        <v>1769237.58</v>
      </c>
      <c r="F273" s="36">
        <f t="shared" si="111"/>
        <v>1922081.25</v>
      </c>
      <c r="G273" s="36">
        <f t="shared" si="111"/>
        <v>0</v>
      </c>
      <c r="H273" s="36">
        <f t="shared" si="111"/>
        <v>0</v>
      </c>
      <c r="I273" s="36">
        <f t="shared" si="111"/>
        <v>0</v>
      </c>
      <c r="J273" s="36">
        <f t="shared" si="111"/>
        <v>0</v>
      </c>
      <c r="K273" s="36">
        <f t="shared" si="111"/>
        <v>1922081.25</v>
      </c>
      <c r="L273" s="36">
        <f t="shared" si="111"/>
        <v>280610</v>
      </c>
    </row>
    <row r="274" spans="1:13">
      <c r="A274" s="141"/>
      <c r="B274" s="142" t="s">
        <v>40</v>
      </c>
      <c r="C274" s="61" t="s">
        <v>15</v>
      </c>
      <c r="D274" s="62">
        <f t="shared" ref="D274:L274" si="112">D236+D270</f>
        <v>412694.07</v>
      </c>
      <c r="E274" s="62">
        <f t="shared" si="112"/>
        <v>7077896.6600000001</v>
      </c>
      <c r="F274" s="62">
        <f t="shared" si="112"/>
        <v>7490590.7300000004</v>
      </c>
      <c r="G274" s="62">
        <f t="shared" si="112"/>
        <v>0</v>
      </c>
      <c r="H274" s="62">
        <f t="shared" si="112"/>
        <v>0</v>
      </c>
      <c r="I274" s="62">
        <f t="shared" si="112"/>
        <v>0</v>
      </c>
      <c r="J274" s="62">
        <f t="shared" si="112"/>
        <v>0</v>
      </c>
      <c r="K274" s="62">
        <f t="shared" si="112"/>
        <v>7490590.7300000004</v>
      </c>
      <c r="L274" s="62">
        <f t="shared" si="112"/>
        <v>922960.19</v>
      </c>
    </row>
    <row r="275" spans="1:13">
      <c r="A275" s="141"/>
      <c r="B275" s="142"/>
      <c r="C275" s="61" t="s">
        <v>48</v>
      </c>
      <c r="D275" s="62">
        <f t="shared" ref="D275:K275" si="113">D239+D271</f>
        <v>338572.99</v>
      </c>
      <c r="E275" s="62">
        <f t="shared" si="113"/>
        <v>5758925</v>
      </c>
      <c r="F275" s="62">
        <f t="shared" si="113"/>
        <v>6097497.9900000002</v>
      </c>
      <c r="G275" s="62">
        <f t="shared" si="113"/>
        <v>0</v>
      </c>
      <c r="H275" s="62">
        <f t="shared" si="113"/>
        <v>0</v>
      </c>
      <c r="I275" s="62">
        <f t="shared" si="113"/>
        <v>0</v>
      </c>
      <c r="J275" s="62">
        <f t="shared" si="113"/>
        <v>0</v>
      </c>
      <c r="K275" s="62">
        <f t="shared" si="113"/>
        <v>6097497.9900000002</v>
      </c>
      <c r="L275" s="62">
        <f>L237+L271</f>
        <v>829367</v>
      </c>
    </row>
    <row r="276" spans="1:13">
      <c r="A276" s="141"/>
      <c r="B276" s="142"/>
      <c r="C276" s="61" t="s">
        <v>49</v>
      </c>
      <c r="D276" s="62">
        <f t="shared" ref="D276:L276" si="114">D239+D255</f>
        <v>338572.99</v>
      </c>
      <c r="E276" s="62">
        <f t="shared" si="114"/>
        <v>5758925</v>
      </c>
      <c r="F276" s="62">
        <f t="shared" si="114"/>
        <v>6097497.9900000002</v>
      </c>
      <c r="G276" s="62">
        <f t="shared" si="114"/>
        <v>0</v>
      </c>
      <c r="H276" s="62">
        <f t="shared" si="114"/>
        <v>0</v>
      </c>
      <c r="I276" s="62">
        <f t="shared" si="114"/>
        <v>0</v>
      </c>
      <c r="J276" s="62">
        <f t="shared" si="114"/>
        <v>0</v>
      </c>
      <c r="K276" s="62">
        <f t="shared" si="114"/>
        <v>6097497.9900000002</v>
      </c>
      <c r="L276" s="62">
        <f t="shared" si="114"/>
        <v>828553</v>
      </c>
    </row>
    <row r="277" spans="1:13">
      <c r="A277" s="141"/>
      <c r="B277" s="142"/>
      <c r="C277" s="64" t="s">
        <v>17</v>
      </c>
      <c r="D277" s="62">
        <f t="shared" ref="D277:L277" si="115">D241+D257</f>
        <v>273061.67</v>
      </c>
      <c r="E277" s="62">
        <f t="shared" si="115"/>
        <v>5308351.16</v>
      </c>
      <c r="F277" s="62">
        <f t="shared" si="115"/>
        <v>5581412.8300000001</v>
      </c>
      <c r="G277" s="62">
        <f t="shared" si="115"/>
        <v>0</v>
      </c>
      <c r="H277" s="62">
        <f t="shared" si="115"/>
        <v>0</v>
      </c>
      <c r="I277" s="62">
        <f t="shared" si="115"/>
        <v>0</v>
      </c>
      <c r="J277" s="62">
        <f t="shared" si="115"/>
        <v>0</v>
      </c>
      <c r="K277" s="62">
        <f t="shared" si="115"/>
        <v>5581412.8300000001</v>
      </c>
      <c r="L277" s="62">
        <f t="shared" si="115"/>
        <v>828553</v>
      </c>
      <c r="M277" s="38"/>
    </row>
    <row r="278" spans="1:13">
      <c r="A278" s="123" t="s">
        <v>50</v>
      </c>
      <c r="B278" s="127" t="s">
        <v>14</v>
      </c>
      <c r="C278" s="32" t="s">
        <v>15</v>
      </c>
      <c r="D278" s="33">
        <v>0</v>
      </c>
      <c r="E278" s="33">
        <v>0</v>
      </c>
      <c r="F278" s="33">
        <f t="shared" ref="F278:F286" si="116">D278+E278</f>
        <v>0</v>
      </c>
      <c r="G278" s="33">
        <f>100248.07-10664.27</f>
        <v>89583.8</v>
      </c>
      <c r="H278" s="33">
        <v>0</v>
      </c>
      <c r="I278" s="33">
        <v>0</v>
      </c>
      <c r="J278" s="33">
        <v>0</v>
      </c>
      <c r="K278" s="33">
        <f t="shared" ref="K278:K286" si="117">J278+I278+H278+G278+E278+D278</f>
        <v>89583.8</v>
      </c>
      <c r="L278" s="33">
        <v>0</v>
      </c>
    </row>
    <row r="279" spans="1:13">
      <c r="A279" s="124"/>
      <c r="B279" s="127"/>
      <c r="C279" s="35" t="s">
        <v>16</v>
      </c>
      <c r="D279" s="36">
        <v>0</v>
      </c>
      <c r="E279" s="36">
        <v>0</v>
      </c>
      <c r="F279" s="36">
        <f t="shared" si="116"/>
        <v>0</v>
      </c>
      <c r="G279" s="36">
        <v>87931.85</v>
      </c>
      <c r="H279" s="36">
        <v>0</v>
      </c>
      <c r="I279" s="36">
        <v>0</v>
      </c>
      <c r="J279" s="36">
        <v>0</v>
      </c>
      <c r="K279" s="36">
        <f t="shared" si="117"/>
        <v>87931.85</v>
      </c>
      <c r="L279" s="36">
        <v>0</v>
      </c>
    </row>
    <row r="280" spans="1:13">
      <c r="A280" s="124"/>
      <c r="B280" s="127"/>
      <c r="C280" s="37" t="s">
        <v>17</v>
      </c>
      <c r="D280" s="36">
        <v>0</v>
      </c>
      <c r="E280" s="36">
        <v>0</v>
      </c>
      <c r="F280" s="36">
        <f t="shared" si="116"/>
        <v>0</v>
      </c>
      <c r="G280" s="36">
        <v>87931.85</v>
      </c>
      <c r="H280" s="36">
        <v>0</v>
      </c>
      <c r="I280" s="36">
        <v>0</v>
      </c>
      <c r="J280" s="36">
        <v>0</v>
      </c>
      <c r="K280" s="36">
        <f t="shared" si="117"/>
        <v>87931.85</v>
      </c>
      <c r="L280" s="36">
        <v>0</v>
      </c>
    </row>
    <row r="281" spans="1:13">
      <c r="A281" s="124"/>
      <c r="B281" s="128" t="s">
        <v>18</v>
      </c>
      <c r="C281" s="35" t="s">
        <v>15</v>
      </c>
      <c r="D281" s="36">
        <v>0</v>
      </c>
      <c r="E281" s="36">
        <v>0</v>
      </c>
      <c r="F281" s="36">
        <f t="shared" si="116"/>
        <v>0</v>
      </c>
      <c r="G281" s="36">
        <v>100248.07</v>
      </c>
      <c r="H281" s="36">
        <v>0</v>
      </c>
      <c r="I281" s="36">
        <v>0</v>
      </c>
      <c r="J281" s="36">
        <v>0</v>
      </c>
      <c r="K281" s="36">
        <f t="shared" si="117"/>
        <v>100248.07</v>
      </c>
      <c r="L281" s="36">
        <v>0</v>
      </c>
    </row>
    <row r="282" spans="1:13">
      <c r="A282" s="124"/>
      <c r="B282" s="127"/>
      <c r="C282" s="35" t="s">
        <v>16</v>
      </c>
      <c r="D282" s="36">
        <v>0</v>
      </c>
      <c r="E282" s="36">
        <v>0</v>
      </c>
      <c r="F282" s="36">
        <f t="shared" si="116"/>
        <v>0</v>
      </c>
      <c r="G282" s="36">
        <v>96904.24</v>
      </c>
      <c r="H282" s="36">
        <v>0</v>
      </c>
      <c r="I282" s="36">
        <v>0</v>
      </c>
      <c r="J282" s="36">
        <v>0</v>
      </c>
      <c r="K282" s="36">
        <f t="shared" si="117"/>
        <v>96904.24</v>
      </c>
      <c r="L282" s="36">
        <v>0</v>
      </c>
    </row>
    <row r="283" spans="1:13">
      <c r="A283" s="124"/>
      <c r="B283" s="127"/>
      <c r="C283" s="37" t="s">
        <v>17</v>
      </c>
      <c r="D283" s="36">
        <v>0</v>
      </c>
      <c r="E283" s="36">
        <v>0</v>
      </c>
      <c r="F283" s="36">
        <f t="shared" si="116"/>
        <v>0</v>
      </c>
      <c r="G283" s="36">
        <v>96904.24</v>
      </c>
      <c r="H283" s="36">
        <v>0</v>
      </c>
      <c r="I283" s="36">
        <v>0</v>
      </c>
      <c r="J283" s="36">
        <v>0</v>
      </c>
      <c r="K283" s="36">
        <f t="shared" si="117"/>
        <v>96904.24</v>
      </c>
      <c r="L283" s="36">
        <v>0</v>
      </c>
    </row>
    <row r="284" spans="1:13">
      <c r="A284" s="124"/>
      <c r="B284" s="128" t="s">
        <v>19</v>
      </c>
      <c r="C284" s="35" t="s">
        <v>15</v>
      </c>
      <c r="D284" s="36">
        <v>0</v>
      </c>
      <c r="E284" s="36">
        <v>0</v>
      </c>
      <c r="F284" s="36">
        <f t="shared" si="116"/>
        <v>0</v>
      </c>
      <c r="G284" s="33">
        <v>100248.07</v>
      </c>
      <c r="H284" s="36">
        <v>0</v>
      </c>
      <c r="I284" s="36">
        <v>0</v>
      </c>
      <c r="J284" s="36">
        <v>0</v>
      </c>
      <c r="K284" s="36">
        <f t="shared" si="117"/>
        <v>100248.07</v>
      </c>
      <c r="L284" s="36">
        <v>0</v>
      </c>
    </row>
    <row r="285" spans="1:13">
      <c r="A285" s="124"/>
      <c r="B285" s="127"/>
      <c r="C285" s="35" t="s">
        <v>16</v>
      </c>
      <c r="D285" s="36">
        <v>0</v>
      </c>
      <c r="E285" s="36">
        <v>0</v>
      </c>
      <c r="F285" s="36">
        <f t="shared" si="116"/>
        <v>0</v>
      </c>
      <c r="G285" s="36">
        <v>103984.63</v>
      </c>
      <c r="H285" s="36">
        <v>0</v>
      </c>
      <c r="I285" s="36">
        <v>0</v>
      </c>
      <c r="J285" s="36">
        <v>0</v>
      </c>
      <c r="K285" s="36">
        <f t="shared" si="117"/>
        <v>103984.63</v>
      </c>
      <c r="L285" s="36">
        <v>0</v>
      </c>
    </row>
    <row r="286" spans="1:13">
      <c r="A286" s="124"/>
      <c r="B286" s="127"/>
      <c r="C286" s="37" t="s">
        <v>17</v>
      </c>
      <c r="D286" s="36">
        <v>0</v>
      </c>
      <c r="E286" s="36">
        <v>0</v>
      </c>
      <c r="F286" s="36">
        <f t="shared" si="116"/>
        <v>0</v>
      </c>
      <c r="G286" s="36">
        <v>99990.83</v>
      </c>
      <c r="H286" s="36">
        <v>0</v>
      </c>
      <c r="I286" s="36">
        <v>0</v>
      </c>
      <c r="J286" s="36">
        <v>0</v>
      </c>
      <c r="K286" s="36">
        <f t="shared" si="117"/>
        <v>99990.83</v>
      </c>
      <c r="L286" s="36">
        <v>0</v>
      </c>
    </row>
    <row r="287" spans="1:13">
      <c r="A287" s="124"/>
      <c r="B287" s="98" t="s">
        <v>20</v>
      </c>
      <c r="C287" s="35" t="s">
        <v>15</v>
      </c>
      <c r="D287" s="36">
        <f t="shared" ref="D287:L287" si="118">D284+D281+D278</f>
        <v>0</v>
      </c>
      <c r="E287" s="36">
        <f t="shared" si="118"/>
        <v>0</v>
      </c>
      <c r="F287" s="36">
        <f t="shared" si="118"/>
        <v>0</v>
      </c>
      <c r="G287" s="36">
        <f t="shared" si="118"/>
        <v>290079.94</v>
      </c>
      <c r="H287" s="36">
        <f t="shared" si="118"/>
        <v>0</v>
      </c>
      <c r="I287" s="36">
        <f t="shared" si="118"/>
        <v>0</v>
      </c>
      <c r="J287" s="36">
        <f t="shared" si="118"/>
        <v>0</v>
      </c>
      <c r="K287" s="36">
        <f t="shared" si="118"/>
        <v>290079.94</v>
      </c>
      <c r="L287" s="36">
        <f t="shared" si="118"/>
        <v>0</v>
      </c>
    </row>
    <row r="288" spans="1:13">
      <c r="A288" s="124"/>
      <c r="B288" s="98"/>
      <c r="C288" s="35" t="s">
        <v>16</v>
      </c>
      <c r="D288" s="36">
        <f t="shared" ref="D288:L288" si="119">D285+D282+D279</f>
        <v>0</v>
      </c>
      <c r="E288" s="36">
        <f t="shared" si="119"/>
        <v>0</v>
      </c>
      <c r="F288" s="36">
        <f t="shared" si="119"/>
        <v>0</v>
      </c>
      <c r="G288" s="36">
        <f t="shared" si="119"/>
        <v>288820.71999999997</v>
      </c>
      <c r="H288" s="36">
        <f t="shared" si="119"/>
        <v>0</v>
      </c>
      <c r="I288" s="36">
        <f t="shared" si="119"/>
        <v>0</v>
      </c>
      <c r="J288" s="36">
        <f t="shared" si="119"/>
        <v>0</v>
      </c>
      <c r="K288" s="36">
        <f t="shared" si="119"/>
        <v>288820.71999999997</v>
      </c>
      <c r="L288" s="36">
        <f t="shared" si="119"/>
        <v>0</v>
      </c>
    </row>
    <row r="289" spans="1:12">
      <c r="A289" s="124"/>
      <c r="B289" s="98"/>
      <c r="C289" s="37" t="s">
        <v>17</v>
      </c>
      <c r="D289" s="36">
        <f t="shared" ref="D289:L289" si="120">D286+D283+D280</f>
        <v>0</v>
      </c>
      <c r="E289" s="36">
        <f t="shared" si="120"/>
        <v>0</v>
      </c>
      <c r="F289" s="36">
        <f t="shared" si="120"/>
        <v>0</v>
      </c>
      <c r="G289" s="36">
        <f t="shared" si="120"/>
        <v>284826.92000000004</v>
      </c>
      <c r="H289" s="36">
        <f t="shared" si="120"/>
        <v>0</v>
      </c>
      <c r="I289" s="36">
        <f t="shared" si="120"/>
        <v>0</v>
      </c>
      <c r="J289" s="36">
        <f t="shared" si="120"/>
        <v>0</v>
      </c>
      <c r="K289" s="36">
        <f t="shared" si="120"/>
        <v>284826.92000000004</v>
      </c>
      <c r="L289" s="36">
        <f t="shared" si="120"/>
        <v>0</v>
      </c>
    </row>
    <row r="290" spans="1:12">
      <c r="A290" s="124"/>
      <c r="B290" s="98"/>
      <c r="C290" s="37" t="s">
        <v>49</v>
      </c>
      <c r="D290" s="36">
        <v>0</v>
      </c>
      <c r="E290" s="36">
        <v>0</v>
      </c>
      <c r="F290" s="36">
        <v>0</v>
      </c>
      <c r="G290" s="36">
        <v>290079.94</v>
      </c>
      <c r="H290" s="36">
        <v>0</v>
      </c>
      <c r="I290" s="36"/>
      <c r="J290" s="36"/>
      <c r="K290" s="36">
        <f>G290</f>
        <v>290079.94</v>
      </c>
      <c r="L290" s="36">
        <v>0</v>
      </c>
    </row>
    <row r="291" spans="1:12">
      <c r="A291" s="124"/>
      <c r="B291" s="98"/>
      <c r="C291" s="37" t="s">
        <v>43</v>
      </c>
      <c r="D291" s="36">
        <v>0</v>
      </c>
      <c r="E291" s="36">
        <v>0</v>
      </c>
      <c r="F291" s="36">
        <v>0</v>
      </c>
      <c r="G291" s="36">
        <v>5253.02</v>
      </c>
      <c r="H291" s="36">
        <v>0</v>
      </c>
      <c r="I291" s="36"/>
      <c r="J291" s="36"/>
      <c r="K291" s="36">
        <f>G291</f>
        <v>5253.02</v>
      </c>
      <c r="L291" s="36">
        <v>0</v>
      </c>
    </row>
    <row r="292" spans="1:12">
      <c r="A292" s="124"/>
      <c r="B292" s="98"/>
      <c r="C292" s="37" t="s">
        <v>23</v>
      </c>
      <c r="D292" s="36">
        <v>0</v>
      </c>
      <c r="E292" s="36">
        <v>0</v>
      </c>
      <c r="F292" s="36">
        <v>0</v>
      </c>
      <c r="G292" s="36">
        <f>G289+G291</f>
        <v>290079.94000000006</v>
      </c>
      <c r="H292" s="36">
        <v>0</v>
      </c>
      <c r="I292" s="36"/>
      <c r="J292" s="36"/>
      <c r="K292" s="36">
        <f>G292</f>
        <v>290079.94000000006</v>
      </c>
      <c r="L292" s="36">
        <v>0</v>
      </c>
    </row>
    <row r="293" spans="1:12">
      <c r="A293" s="125"/>
      <c r="B293" s="129" t="s">
        <v>24</v>
      </c>
      <c r="C293" s="35" t="s">
        <v>15</v>
      </c>
      <c r="D293" s="36">
        <v>0</v>
      </c>
      <c r="E293" s="36">
        <v>0</v>
      </c>
      <c r="F293" s="36">
        <f t="shared" ref="F293:F298" si="121">D293+E293</f>
        <v>0</v>
      </c>
      <c r="G293" s="33">
        <f>100248.07-42993.86</f>
        <v>57254.210000000006</v>
      </c>
      <c r="H293" s="36">
        <v>0</v>
      </c>
      <c r="I293" s="36">
        <v>0</v>
      </c>
      <c r="J293" s="36">
        <v>0</v>
      </c>
      <c r="K293" s="36">
        <f t="shared" ref="K293:K307" si="122">J293+I293+H293+G293+E293+D293</f>
        <v>57254.210000000006</v>
      </c>
      <c r="L293" s="36">
        <v>0</v>
      </c>
    </row>
    <row r="294" spans="1:12">
      <c r="A294" s="125"/>
      <c r="B294" s="130"/>
      <c r="C294" s="35" t="s">
        <v>16</v>
      </c>
      <c r="D294" s="36">
        <v>0</v>
      </c>
      <c r="E294" s="36">
        <v>0</v>
      </c>
      <c r="F294" s="36">
        <f t="shared" si="121"/>
        <v>0</v>
      </c>
      <c r="G294" s="36">
        <v>57254.21</v>
      </c>
      <c r="H294" s="36">
        <v>0</v>
      </c>
      <c r="I294" s="36">
        <v>0</v>
      </c>
      <c r="J294" s="36">
        <v>0</v>
      </c>
      <c r="K294" s="36">
        <f t="shared" si="122"/>
        <v>57254.21</v>
      </c>
      <c r="L294" s="36">
        <v>0</v>
      </c>
    </row>
    <row r="295" spans="1:12">
      <c r="A295" s="125"/>
      <c r="B295" s="130"/>
      <c r="C295" s="37" t="s">
        <v>17</v>
      </c>
      <c r="D295" s="36">
        <v>0</v>
      </c>
      <c r="E295" s="36">
        <v>0</v>
      </c>
      <c r="F295" s="36">
        <f t="shared" si="121"/>
        <v>0</v>
      </c>
      <c r="G295" s="36">
        <v>57254.21</v>
      </c>
      <c r="H295" s="36">
        <v>0</v>
      </c>
      <c r="I295" s="36">
        <v>0</v>
      </c>
      <c r="J295" s="36">
        <v>0</v>
      </c>
      <c r="K295" s="36">
        <f t="shared" si="122"/>
        <v>57254.21</v>
      </c>
      <c r="L295" s="36">
        <v>0</v>
      </c>
    </row>
    <row r="296" spans="1:12">
      <c r="A296" s="125"/>
      <c r="B296" s="129" t="s">
        <v>25</v>
      </c>
      <c r="C296" s="35" t="s">
        <v>15</v>
      </c>
      <c r="D296" s="36">
        <v>0</v>
      </c>
      <c r="E296" s="36">
        <v>0</v>
      </c>
      <c r="F296" s="36">
        <f t="shared" si="121"/>
        <v>0</v>
      </c>
      <c r="G296" s="33">
        <f>100248.07</f>
        <v>100248.07</v>
      </c>
      <c r="H296" s="36">
        <v>0</v>
      </c>
      <c r="I296" s="36">
        <v>0</v>
      </c>
      <c r="J296" s="36">
        <v>0</v>
      </c>
      <c r="K296" s="36">
        <f t="shared" si="122"/>
        <v>100248.07</v>
      </c>
      <c r="L296" s="36">
        <v>0</v>
      </c>
    </row>
    <row r="297" spans="1:12">
      <c r="A297" s="125"/>
      <c r="B297" s="130"/>
      <c r="C297" s="35" t="s">
        <v>16</v>
      </c>
      <c r="D297" s="36">
        <v>0</v>
      </c>
      <c r="E297" s="36">
        <v>0</v>
      </c>
      <c r="F297" s="36">
        <f t="shared" si="121"/>
        <v>0</v>
      </c>
      <c r="G297" s="43">
        <v>99271.26</v>
      </c>
      <c r="H297" s="36">
        <v>0</v>
      </c>
      <c r="I297" s="36">
        <v>0</v>
      </c>
      <c r="J297" s="36">
        <v>0</v>
      </c>
      <c r="K297" s="36">
        <f t="shared" si="122"/>
        <v>99271.26</v>
      </c>
      <c r="L297" s="36">
        <v>0</v>
      </c>
    </row>
    <row r="298" spans="1:12">
      <c r="A298" s="125"/>
      <c r="B298" s="130"/>
      <c r="C298" s="37" t="s">
        <v>17</v>
      </c>
      <c r="D298" s="36">
        <v>0</v>
      </c>
      <c r="E298" s="36">
        <v>0</v>
      </c>
      <c r="F298" s="36">
        <f t="shared" si="121"/>
        <v>0</v>
      </c>
      <c r="G298" s="36">
        <v>99271.26</v>
      </c>
      <c r="H298" s="36">
        <v>0</v>
      </c>
      <c r="I298" s="36">
        <v>0</v>
      </c>
      <c r="J298" s="36">
        <v>0</v>
      </c>
      <c r="K298" s="36">
        <f t="shared" si="122"/>
        <v>99271.26</v>
      </c>
      <c r="L298" s="36">
        <v>0</v>
      </c>
    </row>
    <row r="299" spans="1:12">
      <c r="A299" s="125"/>
      <c r="B299" s="136" t="s">
        <v>26</v>
      </c>
      <c r="C299" s="35" t="s">
        <v>15</v>
      </c>
      <c r="D299" s="36">
        <v>0</v>
      </c>
      <c r="E299" s="36">
        <v>0</v>
      </c>
      <c r="F299" s="36">
        <f>SUM(D299:E299)</f>
        <v>0</v>
      </c>
      <c r="G299" s="33">
        <f>100248.07-5683.15</f>
        <v>94564.920000000013</v>
      </c>
      <c r="H299" s="36">
        <v>0</v>
      </c>
      <c r="I299" s="36">
        <v>0</v>
      </c>
      <c r="J299" s="36">
        <v>0</v>
      </c>
      <c r="K299" s="36">
        <f t="shared" si="122"/>
        <v>94564.920000000013</v>
      </c>
      <c r="L299" s="36">
        <v>0</v>
      </c>
    </row>
    <row r="300" spans="1:12">
      <c r="A300" s="125"/>
      <c r="B300" s="137"/>
      <c r="C300" s="35" t="s">
        <v>16</v>
      </c>
      <c r="D300" s="36">
        <v>0</v>
      </c>
      <c r="E300" s="36">
        <v>0</v>
      </c>
      <c r="F300" s="36">
        <f>SUM(D300:E300)</f>
        <v>0</v>
      </c>
      <c r="G300" s="36">
        <f>95965.26</f>
        <v>95965.26</v>
      </c>
      <c r="H300" s="36">
        <v>0</v>
      </c>
      <c r="I300" s="36">
        <v>0</v>
      </c>
      <c r="J300" s="36">
        <v>0</v>
      </c>
      <c r="K300" s="36">
        <f t="shared" si="122"/>
        <v>95965.26</v>
      </c>
      <c r="L300" s="36">
        <v>0</v>
      </c>
    </row>
    <row r="301" spans="1:12">
      <c r="A301" s="125"/>
      <c r="B301" s="137"/>
      <c r="C301" s="37" t="s">
        <v>17</v>
      </c>
      <c r="D301" s="36">
        <v>0</v>
      </c>
      <c r="E301" s="36">
        <v>0</v>
      </c>
      <c r="F301" s="36">
        <f>SUM(D301:E301)</f>
        <v>0</v>
      </c>
      <c r="G301" s="36">
        <v>95965.26</v>
      </c>
      <c r="H301" s="36">
        <v>0</v>
      </c>
      <c r="I301" s="36">
        <v>0</v>
      </c>
      <c r="J301" s="36">
        <v>0</v>
      </c>
      <c r="K301" s="36">
        <f t="shared" si="122"/>
        <v>95965.26</v>
      </c>
      <c r="L301" s="36">
        <v>0</v>
      </c>
    </row>
    <row r="302" spans="1:12">
      <c r="A302" s="125"/>
      <c r="B302" s="98" t="s">
        <v>27</v>
      </c>
      <c r="C302" s="35" t="s">
        <v>15</v>
      </c>
      <c r="D302" s="36">
        <f t="shared" ref="D302:J302" si="123">D299+D296+D293</f>
        <v>0</v>
      </c>
      <c r="E302" s="36">
        <f t="shared" si="123"/>
        <v>0</v>
      </c>
      <c r="F302" s="36">
        <f t="shared" si="123"/>
        <v>0</v>
      </c>
      <c r="G302" s="36">
        <f t="shared" si="123"/>
        <v>252067.20000000001</v>
      </c>
      <c r="H302" s="36">
        <f t="shared" si="123"/>
        <v>0</v>
      </c>
      <c r="I302" s="36">
        <f t="shared" si="123"/>
        <v>0</v>
      </c>
      <c r="J302" s="36">
        <f t="shared" si="123"/>
        <v>0</v>
      </c>
      <c r="K302" s="36">
        <f t="shared" si="122"/>
        <v>252067.20000000001</v>
      </c>
      <c r="L302" s="36">
        <f>L299+L296+L293</f>
        <v>0</v>
      </c>
    </row>
    <row r="303" spans="1:12">
      <c r="A303" s="125"/>
      <c r="B303" s="98"/>
      <c r="C303" s="35" t="s">
        <v>16</v>
      </c>
      <c r="D303" s="36">
        <f>D300+D297+D294</f>
        <v>0</v>
      </c>
      <c r="E303" s="36">
        <f>E300+E297+E294</f>
        <v>0</v>
      </c>
      <c r="F303" s="36">
        <f>D303+E303</f>
        <v>0</v>
      </c>
      <c r="G303" s="36">
        <f>G300+G297+G294</f>
        <v>252490.72999999998</v>
      </c>
      <c r="H303" s="36">
        <v>0</v>
      </c>
      <c r="I303" s="36">
        <f>I300+I297+I294</f>
        <v>0</v>
      </c>
      <c r="J303" s="36">
        <f>J300+J297+J294</f>
        <v>0</v>
      </c>
      <c r="K303" s="36">
        <f t="shared" si="122"/>
        <v>252490.72999999998</v>
      </c>
      <c r="L303" s="36">
        <f>L300+L297+L294</f>
        <v>0</v>
      </c>
    </row>
    <row r="304" spans="1:12">
      <c r="A304" s="125"/>
      <c r="B304" s="98"/>
      <c r="C304" s="37" t="s">
        <v>17</v>
      </c>
      <c r="D304" s="36">
        <f>D301+D298+D295</f>
        <v>0</v>
      </c>
      <c r="E304" s="36">
        <f>E301+E298+E295</f>
        <v>0</v>
      </c>
      <c r="F304" s="36">
        <f>D304+E304</f>
        <v>0</v>
      </c>
      <c r="G304" s="36">
        <f>G301+G298+G295</f>
        <v>252490.72999999998</v>
      </c>
      <c r="H304" s="36">
        <f>H301+H298+H295</f>
        <v>0</v>
      </c>
      <c r="I304" s="36">
        <f>I301+I298+I295</f>
        <v>0</v>
      </c>
      <c r="J304" s="36">
        <f>J301+J298+J295</f>
        <v>0</v>
      </c>
      <c r="K304" s="36">
        <f t="shared" si="122"/>
        <v>252490.72999999998</v>
      </c>
      <c r="L304" s="36">
        <f>L301+L298+L295</f>
        <v>0</v>
      </c>
    </row>
    <row r="305" spans="1:12">
      <c r="A305" s="125"/>
      <c r="B305" s="138" t="s">
        <v>29</v>
      </c>
      <c r="C305" s="35" t="s">
        <v>15</v>
      </c>
      <c r="D305" s="36">
        <f t="shared" ref="D305:E307" si="124">D287+D302</f>
        <v>0</v>
      </c>
      <c r="E305" s="36">
        <f t="shared" si="124"/>
        <v>0</v>
      </c>
      <c r="F305" s="36">
        <f>D305+E305</f>
        <v>0</v>
      </c>
      <c r="G305" s="36">
        <f>G287+G302</f>
        <v>542147.14</v>
      </c>
      <c r="H305" s="36">
        <f>H287+H302</f>
        <v>0</v>
      </c>
      <c r="I305" s="36">
        <f>I287+I302</f>
        <v>0</v>
      </c>
      <c r="J305" s="36">
        <f>J287+J302</f>
        <v>0</v>
      </c>
      <c r="K305" s="36">
        <f t="shared" si="122"/>
        <v>542147.14</v>
      </c>
      <c r="L305" s="36">
        <f>L287+L302</f>
        <v>0</v>
      </c>
    </row>
    <row r="306" spans="1:12">
      <c r="A306" s="125"/>
      <c r="B306" s="139"/>
      <c r="C306" s="35" t="s">
        <v>16</v>
      </c>
      <c r="D306" s="36">
        <f t="shared" si="124"/>
        <v>0</v>
      </c>
      <c r="E306" s="36">
        <f t="shared" si="124"/>
        <v>0</v>
      </c>
      <c r="F306" s="36">
        <f>D306+E306</f>
        <v>0</v>
      </c>
      <c r="G306" s="36">
        <f>G290+G303</f>
        <v>542570.66999999993</v>
      </c>
      <c r="H306" s="36">
        <f t="shared" ref="H306:J307" si="125">H303+H288</f>
        <v>0</v>
      </c>
      <c r="I306" s="36">
        <f t="shared" si="125"/>
        <v>0</v>
      </c>
      <c r="J306" s="36">
        <f t="shared" si="125"/>
        <v>0</v>
      </c>
      <c r="K306" s="36">
        <f t="shared" si="122"/>
        <v>542570.66999999993</v>
      </c>
      <c r="L306" s="36">
        <f>L303+L288</f>
        <v>0</v>
      </c>
    </row>
    <row r="307" spans="1:12">
      <c r="A307" s="125"/>
      <c r="B307" s="139"/>
      <c r="C307" s="37" t="s">
        <v>17</v>
      </c>
      <c r="D307" s="36">
        <f t="shared" si="124"/>
        <v>0</v>
      </c>
      <c r="E307" s="36">
        <f t="shared" si="124"/>
        <v>0</v>
      </c>
      <c r="F307" s="36">
        <f>D307+E307</f>
        <v>0</v>
      </c>
      <c r="G307" s="36">
        <f>G292+G304</f>
        <v>542570.67000000004</v>
      </c>
      <c r="H307" s="36">
        <f t="shared" si="125"/>
        <v>0</v>
      </c>
      <c r="I307" s="36">
        <f t="shared" si="125"/>
        <v>0</v>
      </c>
      <c r="J307" s="36">
        <f t="shared" si="125"/>
        <v>0</v>
      </c>
      <c r="K307" s="36">
        <f t="shared" si="122"/>
        <v>542570.67000000004</v>
      </c>
      <c r="L307" s="36">
        <f>L304+L289</f>
        <v>0</v>
      </c>
    </row>
    <row r="308" spans="1:12">
      <c r="A308" s="125"/>
      <c r="B308" s="127"/>
      <c r="C308" s="37" t="s">
        <v>49</v>
      </c>
      <c r="D308" s="36">
        <v>0</v>
      </c>
      <c r="E308" s="36">
        <v>0</v>
      </c>
      <c r="F308" s="36">
        <v>0</v>
      </c>
      <c r="G308" s="36">
        <v>542147.14</v>
      </c>
      <c r="H308" s="36">
        <v>0</v>
      </c>
      <c r="I308" s="36"/>
      <c r="J308" s="36"/>
      <c r="K308" s="36">
        <f>G308</f>
        <v>542147.14</v>
      </c>
      <c r="L308" s="36">
        <v>0</v>
      </c>
    </row>
    <row r="309" spans="1:12">
      <c r="A309" s="125"/>
      <c r="B309" s="127"/>
      <c r="C309" s="37" t="s">
        <v>43</v>
      </c>
      <c r="D309" s="36">
        <v>0</v>
      </c>
      <c r="E309" s="36">
        <v>0</v>
      </c>
      <c r="F309" s="36">
        <v>0</v>
      </c>
      <c r="G309" s="36">
        <v>-423.53</v>
      </c>
      <c r="H309" s="36">
        <v>0</v>
      </c>
      <c r="I309" s="36"/>
      <c r="J309" s="36"/>
      <c r="K309" s="36">
        <f>G309</f>
        <v>-423.53</v>
      </c>
      <c r="L309" s="36">
        <v>0</v>
      </c>
    </row>
    <row r="310" spans="1:12">
      <c r="A310" s="125"/>
      <c r="B310" s="127"/>
      <c r="C310" s="37" t="s">
        <v>23</v>
      </c>
      <c r="D310" s="36">
        <v>0</v>
      </c>
      <c r="E310" s="36">
        <v>0</v>
      </c>
      <c r="F310" s="36">
        <v>0</v>
      </c>
      <c r="G310" s="36">
        <f>G309+G307</f>
        <v>542147.14</v>
      </c>
      <c r="H310" s="36">
        <v>0</v>
      </c>
      <c r="I310" s="36"/>
      <c r="J310" s="36"/>
      <c r="K310" s="36">
        <f>G310</f>
        <v>542147.14</v>
      </c>
      <c r="L310" s="36">
        <v>0</v>
      </c>
    </row>
    <row r="311" spans="1:12">
      <c r="A311" s="125"/>
      <c r="B311" s="131" t="s">
        <v>30</v>
      </c>
      <c r="C311" s="35" t="s">
        <v>15</v>
      </c>
      <c r="D311" s="36">
        <v>0</v>
      </c>
      <c r="E311" s="36">
        <v>0</v>
      </c>
      <c r="F311" s="36">
        <f t="shared" ref="F311:F319" si="126">SUM(D311:E311)</f>
        <v>0</v>
      </c>
      <c r="G311" s="36">
        <f>109533-16463</f>
        <v>93070</v>
      </c>
      <c r="H311" s="35">
        <v>0</v>
      </c>
      <c r="I311" s="35">
        <v>0</v>
      </c>
      <c r="J311" s="35">
        <v>0</v>
      </c>
      <c r="K311" s="36">
        <f>D311+E311+G311+H311+I311+J311</f>
        <v>93070</v>
      </c>
      <c r="L311" s="36">
        <v>0</v>
      </c>
    </row>
    <row r="312" spans="1:12">
      <c r="A312" s="125"/>
      <c r="B312" s="132"/>
      <c r="C312" s="35" t="s">
        <v>16</v>
      </c>
      <c r="D312" s="36">
        <v>0</v>
      </c>
      <c r="E312" s="36">
        <v>0</v>
      </c>
      <c r="F312" s="36">
        <f t="shared" si="126"/>
        <v>0</v>
      </c>
      <c r="G312" s="36">
        <v>93070</v>
      </c>
      <c r="H312" s="35">
        <v>0</v>
      </c>
      <c r="I312" s="35">
        <v>0</v>
      </c>
      <c r="J312" s="35">
        <v>0</v>
      </c>
      <c r="K312" s="36">
        <f>D312+E312+G312+H312+I312+J312</f>
        <v>93070</v>
      </c>
      <c r="L312" s="36">
        <v>0</v>
      </c>
    </row>
    <row r="313" spans="1:12">
      <c r="A313" s="125"/>
      <c r="B313" s="132"/>
      <c r="C313" s="35" t="s">
        <v>17</v>
      </c>
      <c r="D313" s="36">
        <v>0</v>
      </c>
      <c r="E313" s="36">
        <f>E295+E307</f>
        <v>0</v>
      </c>
      <c r="F313" s="36">
        <f t="shared" si="126"/>
        <v>0</v>
      </c>
      <c r="G313" s="36">
        <v>93070</v>
      </c>
      <c r="H313" s="35">
        <v>0</v>
      </c>
      <c r="I313" s="35">
        <v>0</v>
      </c>
      <c r="J313" s="35">
        <v>0</v>
      </c>
      <c r="K313" s="36">
        <f>D313+E313+G313+H313+I313+J313</f>
        <v>93070</v>
      </c>
      <c r="L313" s="36">
        <v>0</v>
      </c>
    </row>
    <row r="314" spans="1:12">
      <c r="A314" s="125"/>
      <c r="B314" s="131" t="s">
        <v>31</v>
      </c>
      <c r="C314" s="35" t="s">
        <v>15</v>
      </c>
      <c r="D314" s="36">
        <v>0</v>
      </c>
      <c r="E314" s="36">
        <f>E298+E313</f>
        <v>0</v>
      </c>
      <c r="F314" s="36">
        <f t="shared" si="126"/>
        <v>0</v>
      </c>
      <c r="G314" s="36">
        <f>109533-21094</f>
        <v>88439</v>
      </c>
      <c r="H314" s="35">
        <v>0</v>
      </c>
      <c r="I314" s="35">
        <v>0</v>
      </c>
      <c r="J314" s="35">
        <v>0</v>
      </c>
      <c r="K314" s="36">
        <f t="shared" ref="K314:K319" si="127">J314+I314+H314+G314+E314+D314</f>
        <v>88439</v>
      </c>
      <c r="L314" s="36">
        <v>0</v>
      </c>
    </row>
    <row r="315" spans="1:12">
      <c r="A315" s="125"/>
      <c r="B315" s="132"/>
      <c r="C315" s="35" t="s">
        <v>16</v>
      </c>
      <c r="D315" s="36">
        <v>0</v>
      </c>
      <c r="E315" s="36">
        <v>0</v>
      </c>
      <c r="F315" s="36">
        <f t="shared" si="126"/>
        <v>0</v>
      </c>
      <c r="G315" s="36">
        <v>88439</v>
      </c>
      <c r="H315" s="35">
        <v>0</v>
      </c>
      <c r="I315" s="35">
        <v>0</v>
      </c>
      <c r="J315" s="35">
        <v>0</v>
      </c>
      <c r="K315" s="36">
        <f t="shared" si="127"/>
        <v>88439</v>
      </c>
      <c r="L315" s="36">
        <v>0</v>
      </c>
    </row>
    <row r="316" spans="1:12">
      <c r="A316" s="125"/>
      <c r="B316" s="132"/>
      <c r="C316" s="35" t="s">
        <v>17</v>
      </c>
      <c r="D316" s="36">
        <v>0</v>
      </c>
      <c r="E316" s="36">
        <v>0</v>
      </c>
      <c r="F316" s="36">
        <f t="shared" si="126"/>
        <v>0</v>
      </c>
      <c r="G316" s="36">
        <v>88439</v>
      </c>
      <c r="H316" s="35">
        <v>0</v>
      </c>
      <c r="I316" s="35">
        <v>0</v>
      </c>
      <c r="J316" s="35">
        <v>0</v>
      </c>
      <c r="K316" s="36">
        <f t="shared" si="127"/>
        <v>88439</v>
      </c>
      <c r="L316" s="36">
        <v>0</v>
      </c>
    </row>
    <row r="317" spans="1:12">
      <c r="A317" s="125"/>
      <c r="B317" s="131" t="s">
        <v>32</v>
      </c>
      <c r="C317" s="35" t="s">
        <v>15</v>
      </c>
      <c r="D317" s="36">
        <v>0</v>
      </c>
      <c r="E317" s="36">
        <f>E302+E316</f>
        <v>0</v>
      </c>
      <c r="F317" s="36">
        <f t="shared" si="126"/>
        <v>0</v>
      </c>
      <c r="G317" s="36">
        <f>109533-14147</f>
        <v>95386</v>
      </c>
      <c r="H317" s="35">
        <v>0</v>
      </c>
      <c r="I317" s="35">
        <v>0</v>
      </c>
      <c r="J317" s="35">
        <v>0</v>
      </c>
      <c r="K317" s="36">
        <f t="shared" si="127"/>
        <v>95386</v>
      </c>
      <c r="L317" s="36">
        <v>0</v>
      </c>
    </row>
    <row r="318" spans="1:12">
      <c r="A318" s="125"/>
      <c r="B318" s="132"/>
      <c r="C318" s="35" t="s">
        <v>16</v>
      </c>
      <c r="D318" s="36">
        <v>0</v>
      </c>
      <c r="E318" s="36">
        <v>0</v>
      </c>
      <c r="F318" s="36">
        <f t="shared" si="126"/>
        <v>0</v>
      </c>
      <c r="G318" s="36">
        <v>91834</v>
      </c>
      <c r="H318" s="35">
        <v>0</v>
      </c>
      <c r="I318" s="35">
        <v>0</v>
      </c>
      <c r="J318" s="35">
        <v>0</v>
      </c>
      <c r="K318" s="36">
        <f t="shared" si="127"/>
        <v>91834</v>
      </c>
      <c r="L318" s="36">
        <v>0</v>
      </c>
    </row>
    <row r="319" spans="1:12">
      <c r="A319" s="125"/>
      <c r="B319" s="132"/>
      <c r="C319" s="35" t="s">
        <v>17</v>
      </c>
      <c r="D319" s="36">
        <v>0</v>
      </c>
      <c r="E319" s="36">
        <v>0</v>
      </c>
      <c r="F319" s="36">
        <f t="shared" si="126"/>
        <v>0</v>
      </c>
      <c r="G319" s="36">
        <v>91834</v>
      </c>
      <c r="H319" s="35">
        <v>0</v>
      </c>
      <c r="I319" s="35">
        <v>0</v>
      </c>
      <c r="J319" s="35">
        <v>0</v>
      </c>
      <c r="K319" s="36">
        <f t="shared" si="127"/>
        <v>91834</v>
      </c>
      <c r="L319" s="36">
        <v>0</v>
      </c>
    </row>
    <row r="320" spans="1:12">
      <c r="A320" s="125"/>
      <c r="B320" s="131" t="s">
        <v>33</v>
      </c>
      <c r="C320" s="35" t="s">
        <v>15</v>
      </c>
      <c r="D320" s="36">
        <f t="shared" ref="D320:L320" si="128">D311+D314+D317</f>
        <v>0</v>
      </c>
      <c r="E320" s="36">
        <f t="shared" si="128"/>
        <v>0</v>
      </c>
      <c r="F320" s="36">
        <f t="shared" si="128"/>
        <v>0</v>
      </c>
      <c r="G320" s="36">
        <f t="shared" si="128"/>
        <v>276895</v>
      </c>
      <c r="H320" s="36">
        <f t="shared" si="128"/>
        <v>0</v>
      </c>
      <c r="I320" s="36">
        <f t="shared" si="128"/>
        <v>0</v>
      </c>
      <c r="J320" s="36">
        <f t="shared" si="128"/>
        <v>0</v>
      </c>
      <c r="K320" s="36">
        <f t="shared" si="128"/>
        <v>276895</v>
      </c>
      <c r="L320" s="36">
        <f t="shared" si="128"/>
        <v>0</v>
      </c>
    </row>
    <row r="321" spans="1:12">
      <c r="A321" s="125"/>
      <c r="B321" s="132"/>
      <c r="C321" s="35" t="s">
        <v>16</v>
      </c>
      <c r="D321" s="36">
        <f t="shared" ref="D321:L321" si="129">D312+D315+D318</f>
        <v>0</v>
      </c>
      <c r="E321" s="36">
        <f t="shared" si="129"/>
        <v>0</v>
      </c>
      <c r="F321" s="36">
        <f t="shared" si="129"/>
        <v>0</v>
      </c>
      <c r="G321" s="36">
        <f t="shared" si="129"/>
        <v>273343</v>
      </c>
      <c r="H321" s="36">
        <f t="shared" si="129"/>
        <v>0</v>
      </c>
      <c r="I321" s="36">
        <f t="shared" si="129"/>
        <v>0</v>
      </c>
      <c r="J321" s="36">
        <f t="shared" si="129"/>
        <v>0</v>
      </c>
      <c r="K321" s="36">
        <f t="shared" si="129"/>
        <v>273343</v>
      </c>
      <c r="L321" s="36">
        <f t="shared" si="129"/>
        <v>0</v>
      </c>
    </row>
    <row r="322" spans="1:12">
      <c r="A322" s="125"/>
      <c r="B322" s="132"/>
      <c r="C322" s="35" t="s">
        <v>17</v>
      </c>
      <c r="D322" s="36">
        <f t="shared" ref="D322:L322" si="130">D313+D316+D319</f>
        <v>0</v>
      </c>
      <c r="E322" s="36">
        <f t="shared" si="130"/>
        <v>0</v>
      </c>
      <c r="F322" s="36">
        <f t="shared" si="130"/>
        <v>0</v>
      </c>
      <c r="G322" s="36">
        <f t="shared" si="130"/>
        <v>273343</v>
      </c>
      <c r="H322" s="36">
        <f t="shared" si="130"/>
        <v>0</v>
      </c>
      <c r="I322" s="36">
        <f t="shared" si="130"/>
        <v>0</v>
      </c>
      <c r="J322" s="36">
        <f t="shared" si="130"/>
        <v>0</v>
      </c>
      <c r="K322" s="36">
        <f t="shared" si="130"/>
        <v>273343</v>
      </c>
      <c r="L322" s="36">
        <f t="shared" si="130"/>
        <v>0</v>
      </c>
    </row>
    <row r="323" spans="1:12">
      <c r="A323" s="125"/>
      <c r="B323" s="133"/>
      <c r="C323" s="37" t="s">
        <v>49</v>
      </c>
      <c r="D323" s="36">
        <v>0</v>
      </c>
      <c r="E323" s="36">
        <v>0</v>
      </c>
      <c r="F323" s="36">
        <v>0</v>
      </c>
      <c r="G323" s="36">
        <v>276895</v>
      </c>
      <c r="H323" s="36"/>
      <c r="I323" s="36"/>
      <c r="J323" s="36"/>
      <c r="K323" s="36">
        <f>G323</f>
        <v>276895</v>
      </c>
      <c r="L323" s="36">
        <v>0</v>
      </c>
    </row>
    <row r="324" spans="1:12">
      <c r="A324" s="125"/>
      <c r="B324" s="133"/>
      <c r="C324" s="37" t="s">
        <v>43</v>
      </c>
      <c r="D324" s="36">
        <v>0</v>
      </c>
      <c r="E324" s="36">
        <v>0</v>
      </c>
      <c r="F324" s="36"/>
      <c r="G324" s="36">
        <v>3552</v>
      </c>
      <c r="H324" s="36"/>
      <c r="I324" s="36"/>
      <c r="J324" s="36"/>
      <c r="K324" s="36">
        <f>G324</f>
        <v>3552</v>
      </c>
      <c r="L324" s="36">
        <v>0</v>
      </c>
    </row>
    <row r="325" spans="1:12">
      <c r="A325" s="125"/>
      <c r="B325" s="133"/>
      <c r="C325" s="37" t="s">
        <v>23</v>
      </c>
      <c r="D325" s="36">
        <v>0</v>
      </c>
      <c r="E325" s="36">
        <v>0</v>
      </c>
      <c r="F325" s="36"/>
      <c r="G325" s="36">
        <f>G324+G322</f>
        <v>276895</v>
      </c>
      <c r="H325" s="36"/>
      <c r="I325" s="36"/>
      <c r="J325" s="36"/>
      <c r="K325" s="36">
        <f>G325</f>
        <v>276895</v>
      </c>
      <c r="L325" s="36">
        <v>0</v>
      </c>
    </row>
    <row r="326" spans="1:12">
      <c r="A326" s="125"/>
      <c r="B326" s="131" t="s">
        <v>35</v>
      </c>
      <c r="C326" s="35" t="s">
        <v>15</v>
      </c>
      <c r="D326" s="36">
        <v>0</v>
      </c>
      <c r="E326" s="36">
        <v>0</v>
      </c>
      <c r="F326" s="36">
        <f t="shared" ref="F326:F334" si="131">SUM(D326:E326)</f>
        <v>0</v>
      </c>
      <c r="G326" s="36">
        <v>109533</v>
      </c>
      <c r="H326" s="35">
        <v>0</v>
      </c>
      <c r="I326" s="35">
        <v>0</v>
      </c>
      <c r="J326" s="35">
        <v>0</v>
      </c>
      <c r="K326" s="36">
        <f t="shared" ref="K326:K334" si="132">D326+E326+G326+H326+I326+J326</f>
        <v>109533</v>
      </c>
      <c r="L326" s="36">
        <v>0</v>
      </c>
    </row>
    <row r="327" spans="1:12">
      <c r="A327" s="125"/>
      <c r="B327" s="132"/>
      <c r="C327" s="35" t="s">
        <v>16</v>
      </c>
      <c r="D327" s="36">
        <v>0</v>
      </c>
      <c r="E327" s="36">
        <v>0</v>
      </c>
      <c r="F327" s="36">
        <f t="shared" si="131"/>
        <v>0</v>
      </c>
      <c r="G327" s="36">
        <v>0</v>
      </c>
      <c r="H327" s="35">
        <v>0</v>
      </c>
      <c r="I327" s="35">
        <v>0</v>
      </c>
      <c r="J327" s="35">
        <v>0</v>
      </c>
      <c r="K327" s="36">
        <f t="shared" si="132"/>
        <v>0</v>
      </c>
      <c r="L327" s="36">
        <v>0</v>
      </c>
    </row>
    <row r="328" spans="1:12">
      <c r="A328" s="125"/>
      <c r="B328" s="132"/>
      <c r="C328" s="35" t="s">
        <v>17</v>
      </c>
      <c r="D328" s="36">
        <v>0</v>
      </c>
      <c r="E328" s="36">
        <v>0</v>
      </c>
      <c r="F328" s="36">
        <f t="shared" si="131"/>
        <v>0</v>
      </c>
      <c r="G328" s="36">
        <v>0</v>
      </c>
      <c r="H328" s="35">
        <v>0</v>
      </c>
      <c r="I328" s="35">
        <v>0</v>
      </c>
      <c r="J328" s="35">
        <v>0</v>
      </c>
      <c r="K328" s="36">
        <f t="shared" si="132"/>
        <v>0</v>
      </c>
      <c r="L328" s="36">
        <v>0</v>
      </c>
    </row>
    <row r="329" spans="1:12">
      <c r="A329" s="125"/>
      <c r="B329" s="131" t="s">
        <v>36</v>
      </c>
      <c r="C329" s="35" t="s">
        <v>15</v>
      </c>
      <c r="D329" s="36">
        <v>0</v>
      </c>
      <c r="E329" s="36">
        <v>0</v>
      </c>
      <c r="F329" s="36">
        <f t="shared" si="131"/>
        <v>0</v>
      </c>
      <c r="G329" s="36">
        <v>109533</v>
      </c>
      <c r="H329" s="35">
        <v>0</v>
      </c>
      <c r="I329" s="35">
        <v>0</v>
      </c>
      <c r="J329" s="35">
        <v>0</v>
      </c>
      <c r="K329" s="36">
        <f t="shared" si="132"/>
        <v>109533</v>
      </c>
      <c r="L329" s="36">
        <v>0</v>
      </c>
    </row>
    <row r="330" spans="1:12">
      <c r="A330" s="125"/>
      <c r="B330" s="132"/>
      <c r="C330" s="35" t="s">
        <v>16</v>
      </c>
      <c r="D330" s="36">
        <v>0</v>
      </c>
      <c r="E330" s="36">
        <v>0</v>
      </c>
      <c r="F330" s="36">
        <f t="shared" si="131"/>
        <v>0</v>
      </c>
      <c r="G330" s="36">
        <v>0</v>
      </c>
      <c r="H330" s="35">
        <v>0</v>
      </c>
      <c r="I330" s="35">
        <v>0</v>
      </c>
      <c r="J330" s="35">
        <v>0</v>
      </c>
      <c r="K330" s="36">
        <f t="shared" si="132"/>
        <v>0</v>
      </c>
      <c r="L330" s="36">
        <v>0</v>
      </c>
    </row>
    <row r="331" spans="1:12">
      <c r="A331" s="125"/>
      <c r="B331" s="132"/>
      <c r="C331" s="35" t="s">
        <v>17</v>
      </c>
      <c r="D331" s="36">
        <v>0</v>
      </c>
      <c r="E331" s="36">
        <v>0</v>
      </c>
      <c r="F331" s="36">
        <f t="shared" si="131"/>
        <v>0</v>
      </c>
      <c r="G331" s="36">
        <v>0</v>
      </c>
      <c r="H331" s="35">
        <v>0</v>
      </c>
      <c r="I331" s="35">
        <v>0</v>
      </c>
      <c r="J331" s="35">
        <v>0</v>
      </c>
      <c r="K331" s="36">
        <f t="shared" si="132"/>
        <v>0</v>
      </c>
      <c r="L331" s="36">
        <v>0</v>
      </c>
    </row>
    <row r="332" spans="1:12">
      <c r="A332" s="125"/>
      <c r="B332" s="131" t="s">
        <v>37</v>
      </c>
      <c r="C332" s="35" t="s">
        <v>15</v>
      </c>
      <c r="D332" s="36">
        <v>0</v>
      </c>
      <c r="E332" s="36">
        <v>0</v>
      </c>
      <c r="F332" s="36">
        <f t="shared" si="131"/>
        <v>0</v>
      </c>
      <c r="G332" s="36">
        <f>452+84449</f>
        <v>84901</v>
      </c>
      <c r="H332" s="35">
        <v>0</v>
      </c>
      <c r="I332" s="35">
        <v>0</v>
      </c>
      <c r="J332" s="35">
        <v>0</v>
      </c>
      <c r="K332" s="36">
        <f t="shared" si="132"/>
        <v>84901</v>
      </c>
      <c r="L332" s="36">
        <v>0</v>
      </c>
    </row>
    <row r="333" spans="1:12">
      <c r="A333" s="125"/>
      <c r="B333" s="132"/>
      <c r="C333" s="35" t="s">
        <v>16</v>
      </c>
      <c r="D333" s="36">
        <v>0</v>
      </c>
      <c r="E333" s="36">
        <v>0</v>
      </c>
      <c r="F333" s="36">
        <f t="shared" si="131"/>
        <v>0</v>
      </c>
      <c r="G333" s="36">
        <v>0</v>
      </c>
      <c r="H333" s="35">
        <v>0</v>
      </c>
      <c r="I333" s="35">
        <v>0</v>
      </c>
      <c r="J333" s="35">
        <v>0</v>
      </c>
      <c r="K333" s="36">
        <f t="shared" si="132"/>
        <v>0</v>
      </c>
      <c r="L333" s="36">
        <v>0</v>
      </c>
    </row>
    <row r="334" spans="1:12">
      <c r="A334" s="125"/>
      <c r="B334" s="132"/>
      <c r="C334" s="35" t="s">
        <v>17</v>
      </c>
      <c r="D334" s="36">
        <v>0</v>
      </c>
      <c r="E334" s="36">
        <v>0</v>
      </c>
      <c r="F334" s="36">
        <f t="shared" si="131"/>
        <v>0</v>
      </c>
      <c r="G334" s="36">
        <v>0</v>
      </c>
      <c r="H334" s="35">
        <v>0</v>
      </c>
      <c r="I334" s="35">
        <v>0</v>
      </c>
      <c r="J334" s="35">
        <v>0</v>
      </c>
      <c r="K334" s="36">
        <f t="shared" si="132"/>
        <v>0</v>
      </c>
      <c r="L334" s="36">
        <v>0</v>
      </c>
    </row>
    <row r="335" spans="1:12">
      <c r="A335" s="125"/>
      <c r="B335" s="134" t="s">
        <v>38</v>
      </c>
      <c r="C335" s="35" t="s">
        <v>15</v>
      </c>
      <c r="D335" s="36">
        <f t="shared" ref="D335:L335" si="133">D326+D329+D332</f>
        <v>0</v>
      </c>
      <c r="E335" s="36">
        <f t="shared" si="133"/>
        <v>0</v>
      </c>
      <c r="F335" s="36">
        <f t="shared" si="133"/>
        <v>0</v>
      </c>
      <c r="G335" s="36">
        <f t="shared" si="133"/>
        <v>303967</v>
      </c>
      <c r="H335" s="36">
        <f t="shared" si="133"/>
        <v>0</v>
      </c>
      <c r="I335" s="36">
        <f t="shared" si="133"/>
        <v>0</v>
      </c>
      <c r="J335" s="36">
        <f t="shared" si="133"/>
        <v>0</v>
      </c>
      <c r="K335" s="36">
        <f t="shared" si="133"/>
        <v>303967</v>
      </c>
      <c r="L335" s="36">
        <f t="shared" si="133"/>
        <v>0</v>
      </c>
    </row>
    <row r="336" spans="1:12">
      <c r="A336" s="125"/>
      <c r="B336" s="135"/>
      <c r="C336" s="35" t="s">
        <v>16</v>
      </c>
      <c r="D336" s="36">
        <f t="shared" ref="D336:L336" si="134">D327+D330+D333</f>
        <v>0</v>
      </c>
      <c r="E336" s="36">
        <f t="shared" si="134"/>
        <v>0</v>
      </c>
      <c r="F336" s="36">
        <f t="shared" si="134"/>
        <v>0</v>
      </c>
      <c r="G336" s="36">
        <f t="shared" si="134"/>
        <v>0</v>
      </c>
      <c r="H336" s="36">
        <f t="shared" si="134"/>
        <v>0</v>
      </c>
      <c r="I336" s="36">
        <f t="shared" si="134"/>
        <v>0</v>
      </c>
      <c r="J336" s="36">
        <f t="shared" si="134"/>
        <v>0</v>
      </c>
      <c r="K336" s="36">
        <f t="shared" si="134"/>
        <v>0</v>
      </c>
      <c r="L336" s="36">
        <f t="shared" si="134"/>
        <v>0</v>
      </c>
    </row>
    <row r="337" spans="1:13">
      <c r="A337" s="125"/>
      <c r="B337" s="135"/>
      <c r="C337" s="35" t="s">
        <v>17</v>
      </c>
      <c r="D337" s="36">
        <f t="shared" ref="D337:L337" si="135">D328+D331+D334</f>
        <v>0</v>
      </c>
      <c r="E337" s="36">
        <f t="shared" si="135"/>
        <v>0</v>
      </c>
      <c r="F337" s="36">
        <f t="shared" si="135"/>
        <v>0</v>
      </c>
      <c r="G337" s="36">
        <f t="shared" si="135"/>
        <v>0</v>
      </c>
      <c r="H337" s="36">
        <f t="shared" si="135"/>
        <v>0</v>
      </c>
      <c r="I337" s="36">
        <f t="shared" si="135"/>
        <v>0</v>
      </c>
      <c r="J337" s="36">
        <f t="shared" si="135"/>
        <v>0</v>
      </c>
      <c r="K337" s="36">
        <f t="shared" si="135"/>
        <v>0</v>
      </c>
      <c r="L337" s="36">
        <f t="shared" si="135"/>
        <v>0</v>
      </c>
    </row>
    <row r="338" spans="1:13">
      <c r="A338" s="125"/>
      <c r="B338" s="117" t="s">
        <v>39</v>
      </c>
      <c r="C338" s="35" t="s">
        <v>15</v>
      </c>
      <c r="D338" s="36">
        <f t="shared" ref="D338:L338" si="136">D320+D335</f>
        <v>0</v>
      </c>
      <c r="E338" s="36">
        <f t="shared" si="136"/>
        <v>0</v>
      </c>
      <c r="F338" s="36">
        <f t="shared" si="136"/>
        <v>0</v>
      </c>
      <c r="G338" s="36">
        <f t="shared" si="136"/>
        <v>580862</v>
      </c>
      <c r="H338" s="36">
        <f t="shared" si="136"/>
        <v>0</v>
      </c>
      <c r="I338" s="36">
        <f t="shared" si="136"/>
        <v>0</v>
      </c>
      <c r="J338" s="36">
        <f t="shared" si="136"/>
        <v>0</v>
      </c>
      <c r="K338" s="36">
        <f t="shared" si="136"/>
        <v>580862</v>
      </c>
      <c r="L338" s="36">
        <f t="shared" si="136"/>
        <v>0</v>
      </c>
    </row>
    <row r="339" spans="1:13">
      <c r="A339" s="125"/>
      <c r="B339" s="118"/>
      <c r="C339" s="35" t="s">
        <v>16</v>
      </c>
      <c r="D339" s="36">
        <f t="shared" ref="D339:F340" si="137">D321+D336</f>
        <v>0</v>
      </c>
      <c r="E339" s="36">
        <f t="shared" si="137"/>
        <v>0</v>
      </c>
      <c r="F339" s="36">
        <f t="shared" si="137"/>
        <v>0</v>
      </c>
      <c r="G339" s="36">
        <f>G323+G336</f>
        <v>276895</v>
      </c>
      <c r="H339" s="36">
        <f t="shared" ref="H339:J340" si="138">H321+H336</f>
        <v>0</v>
      </c>
      <c r="I339" s="36">
        <f t="shared" si="138"/>
        <v>0</v>
      </c>
      <c r="J339" s="36">
        <f t="shared" si="138"/>
        <v>0</v>
      </c>
      <c r="K339" s="36">
        <f>K323</f>
        <v>276895</v>
      </c>
      <c r="L339" s="36">
        <f>L321+L336</f>
        <v>0</v>
      </c>
    </row>
    <row r="340" spans="1:13">
      <c r="A340" s="125"/>
      <c r="B340" s="118"/>
      <c r="C340" s="35" t="s">
        <v>17</v>
      </c>
      <c r="D340" s="36">
        <f t="shared" si="137"/>
        <v>0</v>
      </c>
      <c r="E340" s="36">
        <f t="shared" si="137"/>
        <v>0</v>
      </c>
      <c r="F340" s="36">
        <f t="shared" si="137"/>
        <v>0</v>
      </c>
      <c r="G340" s="36">
        <f>G322+G337</f>
        <v>273343</v>
      </c>
      <c r="H340" s="36">
        <f t="shared" si="138"/>
        <v>0</v>
      </c>
      <c r="I340" s="36">
        <f t="shared" si="138"/>
        <v>0</v>
      </c>
      <c r="J340" s="36">
        <f t="shared" si="138"/>
        <v>0</v>
      </c>
      <c r="K340" s="36">
        <f>K325</f>
        <v>276895</v>
      </c>
      <c r="L340" s="36">
        <f>L322+L337</f>
        <v>0</v>
      </c>
    </row>
    <row r="341" spans="1:13">
      <c r="A341" s="126"/>
      <c r="B341" s="140" t="s">
        <v>40</v>
      </c>
      <c r="C341" s="66" t="s">
        <v>15</v>
      </c>
      <c r="D341" s="67">
        <f t="shared" ref="D341:L341" si="139">D305+D338</f>
        <v>0</v>
      </c>
      <c r="E341" s="67">
        <f t="shared" si="139"/>
        <v>0</v>
      </c>
      <c r="F341" s="67">
        <f t="shared" si="139"/>
        <v>0</v>
      </c>
      <c r="G341" s="67">
        <f t="shared" si="139"/>
        <v>1123009.1400000001</v>
      </c>
      <c r="H341" s="67">
        <f t="shared" si="139"/>
        <v>0</v>
      </c>
      <c r="I341" s="67">
        <f t="shared" si="139"/>
        <v>0</v>
      </c>
      <c r="J341" s="67">
        <f t="shared" si="139"/>
        <v>0</v>
      </c>
      <c r="K341" s="67">
        <f t="shared" si="139"/>
        <v>1123009.1400000001</v>
      </c>
      <c r="L341" s="67">
        <f t="shared" si="139"/>
        <v>0</v>
      </c>
      <c r="M341" s="68"/>
    </row>
    <row r="342" spans="1:13">
      <c r="A342" s="126"/>
      <c r="B342" s="140"/>
      <c r="C342" s="66" t="s">
        <v>48</v>
      </c>
      <c r="D342" s="67">
        <f>D306+D339</f>
        <v>0</v>
      </c>
      <c r="E342" s="67">
        <f>E306+E339</f>
        <v>0</v>
      </c>
      <c r="F342" s="67">
        <f>F306+F339</f>
        <v>0</v>
      </c>
      <c r="G342" s="67">
        <f>G308+G339</f>
        <v>819042.14</v>
      </c>
      <c r="H342" s="67">
        <f>H306+H339</f>
        <v>0</v>
      </c>
      <c r="I342" s="67">
        <f>I306+I339</f>
        <v>0</v>
      </c>
      <c r="J342" s="67">
        <f>J306+J339</f>
        <v>0</v>
      </c>
      <c r="K342" s="67">
        <f>K308+K339</f>
        <v>819042.14</v>
      </c>
      <c r="L342" s="67">
        <f>L306+L339</f>
        <v>0</v>
      </c>
      <c r="M342" s="68"/>
    </row>
    <row r="343" spans="1:13">
      <c r="A343" s="126"/>
      <c r="B343" s="140"/>
      <c r="C343" s="66" t="s">
        <v>51</v>
      </c>
      <c r="D343" s="67">
        <v>0</v>
      </c>
      <c r="E343" s="67">
        <v>0</v>
      </c>
      <c r="F343" s="67">
        <v>0</v>
      </c>
      <c r="G343" s="67">
        <f>G310+G323</f>
        <v>819042.14</v>
      </c>
      <c r="H343" s="67">
        <v>0</v>
      </c>
      <c r="I343" s="67"/>
      <c r="J343" s="67"/>
      <c r="K343" s="67">
        <f>G343</f>
        <v>819042.14</v>
      </c>
      <c r="L343" s="67">
        <v>0</v>
      </c>
      <c r="M343" s="68"/>
    </row>
    <row r="344" spans="1:13">
      <c r="A344" s="126"/>
      <c r="B344" s="140"/>
      <c r="C344" s="69" t="s">
        <v>17</v>
      </c>
      <c r="D344" s="67">
        <f>D307+D340</f>
        <v>0</v>
      </c>
      <c r="E344" s="67">
        <f>E307+E340</f>
        <v>0</v>
      </c>
      <c r="F344" s="67">
        <f>F307+F340</f>
        <v>0</v>
      </c>
      <c r="G344" s="67">
        <f>G325+G310</f>
        <v>819042.14</v>
      </c>
      <c r="H344" s="67">
        <f>H307+H340</f>
        <v>0</v>
      </c>
      <c r="I344" s="67">
        <f>I307+I340</f>
        <v>0</v>
      </c>
      <c r="J344" s="67">
        <f>J307+J340</f>
        <v>0</v>
      </c>
      <c r="K344" s="67">
        <f>K310+K339</f>
        <v>819042.14</v>
      </c>
      <c r="L344" s="67">
        <f>L307+L340</f>
        <v>0</v>
      </c>
      <c r="M344" s="68"/>
    </row>
    <row r="345" spans="1:13">
      <c r="A345" s="106" t="s">
        <v>52</v>
      </c>
      <c r="B345" s="110" t="s">
        <v>14</v>
      </c>
      <c r="C345" s="32" t="s">
        <v>15</v>
      </c>
      <c r="D345" s="33">
        <v>0</v>
      </c>
      <c r="E345" s="33">
        <v>225564.08</v>
      </c>
      <c r="F345" s="33">
        <f t="shared" ref="F345:F353" si="140">D345+E345</f>
        <v>225564.08</v>
      </c>
      <c r="G345" s="33">
        <v>0</v>
      </c>
      <c r="H345" s="33">
        <v>0</v>
      </c>
      <c r="I345" s="33">
        <v>0</v>
      </c>
      <c r="J345" s="33">
        <v>0</v>
      </c>
      <c r="K345" s="33">
        <f t="shared" ref="K345:K353" si="141">J345+I345+H345+G345+E345+D345</f>
        <v>225564.08</v>
      </c>
      <c r="L345" s="33">
        <v>0</v>
      </c>
    </row>
    <row r="346" spans="1:13">
      <c r="A346" s="107"/>
      <c r="B346" s="110"/>
      <c r="C346" s="35" t="s">
        <v>16</v>
      </c>
      <c r="D346" s="36">
        <v>0</v>
      </c>
      <c r="E346" s="33">
        <v>290830.2</v>
      </c>
      <c r="F346" s="36">
        <f t="shared" si="140"/>
        <v>290830.2</v>
      </c>
      <c r="G346" s="36">
        <v>0</v>
      </c>
      <c r="H346" s="36">
        <v>0</v>
      </c>
      <c r="I346" s="36">
        <v>0</v>
      </c>
      <c r="J346" s="36">
        <v>0</v>
      </c>
      <c r="K346" s="36">
        <f t="shared" si="141"/>
        <v>290830.2</v>
      </c>
      <c r="L346" s="36">
        <v>0</v>
      </c>
    </row>
    <row r="347" spans="1:13">
      <c r="A347" s="107"/>
      <c r="B347" s="110"/>
      <c r="C347" s="20" t="s">
        <v>17</v>
      </c>
      <c r="D347" s="19">
        <v>0</v>
      </c>
      <c r="E347" s="33">
        <v>225564.08</v>
      </c>
      <c r="F347" s="19">
        <f t="shared" si="140"/>
        <v>225564.08</v>
      </c>
      <c r="G347" s="19">
        <v>0</v>
      </c>
      <c r="H347" s="19">
        <v>0</v>
      </c>
      <c r="I347" s="19">
        <v>0</v>
      </c>
      <c r="J347" s="19">
        <v>0</v>
      </c>
      <c r="K347" s="19">
        <f t="shared" si="141"/>
        <v>225564.08</v>
      </c>
      <c r="L347" s="19">
        <v>0</v>
      </c>
    </row>
    <row r="348" spans="1:13">
      <c r="A348" s="107"/>
      <c r="B348" s="111" t="s">
        <v>18</v>
      </c>
      <c r="C348" s="35" t="s">
        <v>15</v>
      </c>
      <c r="D348" s="36">
        <v>0</v>
      </c>
      <c r="E348" s="36">
        <v>225564.08</v>
      </c>
      <c r="F348" s="36">
        <f t="shared" si="140"/>
        <v>225564.08</v>
      </c>
      <c r="G348" s="36">
        <v>0</v>
      </c>
      <c r="H348" s="36">
        <v>0</v>
      </c>
      <c r="I348" s="36">
        <v>0</v>
      </c>
      <c r="J348" s="36">
        <v>0</v>
      </c>
      <c r="K348" s="36">
        <f t="shared" si="141"/>
        <v>225564.08</v>
      </c>
      <c r="L348" s="36">
        <v>0</v>
      </c>
    </row>
    <row r="349" spans="1:13">
      <c r="A349" s="107"/>
      <c r="B349" s="110"/>
      <c r="C349" s="35" t="s">
        <v>16</v>
      </c>
      <c r="D349" s="36">
        <v>0</v>
      </c>
      <c r="E349" s="36">
        <v>267618.40000000002</v>
      </c>
      <c r="F349" s="36">
        <f t="shared" si="140"/>
        <v>267618.40000000002</v>
      </c>
      <c r="G349" s="36">
        <v>0</v>
      </c>
      <c r="H349" s="36">
        <v>0</v>
      </c>
      <c r="I349" s="36">
        <v>0</v>
      </c>
      <c r="J349" s="36">
        <v>0</v>
      </c>
      <c r="K349" s="36">
        <f t="shared" si="141"/>
        <v>267618.40000000002</v>
      </c>
      <c r="L349" s="36">
        <v>0</v>
      </c>
    </row>
    <row r="350" spans="1:13">
      <c r="A350" s="107"/>
      <c r="B350" s="110"/>
      <c r="C350" s="20" t="s">
        <v>17</v>
      </c>
      <c r="D350" s="19">
        <v>0</v>
      </c>
      <c r="E350" s="19">
        <v>225564.08</v>
      </c>
      <c r="F350" s="19">
        <f t="shared" si="140"/>
        <v>225564.08</v>
      </c>
      <c r="G350" s="19">
        <v>0</v>
      </c>
      <c r="H350" s="19">
        <v>0</v>
      </c>
      <c r="I350" s="19">
        <v>0</v>
      </c>
      <c r="J350" s="19">
        <v>0</v>
      </c>
      <c r="K350" s="19">
        <f t="shared" si="141"/>
        <v>225564.08</v>
      </c>
      <c r="L350" s="19">
        <v>0</v>
      </c>
    </row>
    <row r="351" spans="1:13">
      <c r="A351" s="107"/>
      <c r="B351" s="111" t="s">
        <v>19</v>
      </c>
      <c r="C351" s="35" t="s">
        <v>15</v>
      </c>
      <c r="D351" s="36">
        <v>0</v>
      </c>
      <c r="E351" s="36">
        <v>225564.08</v>
      </c>
      <c r="F351" s="36">
        <f t="shared" si="140"/>
        <v>225564.08</v>
      </c>
      <c r="G351" s="36">
        <v>0</v>
      </c>
      <c r="H351" s="36">
        <v>0</v>
      </c>
      <c r="I351" s="36">
        <v>0</v>
      </c>
      <c r="J351" s="36">
        <v>0</v>
      </c>
      <c r="K351" s="36">
        <f t="shared" si="141"/>
        <v>225564.08</v>
      </c>
      <c r="L351" s="36">
        <v>0</v>
      </c>
    </row>
    <row r="352" spans="1:13">
      <c r="A352" s="107"/>
      <c r="B352" s="110"/>
      <c r="C352" s="35" t="s">
        <v>16</v>
      </c>
      <c r="D352" s="36">
        <v>0</v>
      </c>
      <c r="E352" s="36">
        <v>294107.15999999997</v>
      </c>
      <c r="F352" s="36">
        <f t="shared" si="140"/>
        <v>294107.15999999997</v>
      </c>
      <c r="G352" s="36">
        <v>0</v>
      </c>
      <c r="H352" s="36">
        <v>0</v>
      </c>
      <c r="I352" s="36">
        <v>0</v>
      </c>
      <c r="J352" s="36">
        <v>0</v>
      </c>
      <c r="K352" s="36">
        <f t="shared" si="141"/>
        <v>294107.15999999997</v>
      </c>
      <c r="L352" s="36">
        <v>0</v>
      </c>
    </row>
    <row r="353" spans="1:12">
      <c r="A353" s="107"/>
      <c r="B353" s="110"/>
      <c r="C353" s="20" t="s">
        <v>17</v>
      </c>
      <c r="D353" s="19">
        <v>0</v>
      </c>
      <c r="E353" s="19">
        <v>225564.08</v>
      </c>
      <c r="F353" s="19">
        <f t="shared" si="140"/>
        <v>225564.08</v>
      </c>
      <c r="G353" s="19">
        <v>0</v>
      </c>
      <c r="H353" s="19">
        <v>0</v>
      </c>
      <c r="I353" s="19">
        <v>0</v>
      </c>
      <c r="J353" s="19">
        <v>0</v>
      </c>
      <c r="K353" s="19">
        <f t="shared" si="141"/>
        <v>225564.08</v>
      </c>
      <c r="L353" s="19">
        <v>0</v>
      </c>
    </row>
    <row r="354" spans="1:12">
      <c r="A354" s="107"/>
      <c r="B354" s="112" t="s">
        <v>20</v>
      </c>
      <c r="C354" s="35" t="s">
        <v>15</v>
      </c>
      <c r="D354" s="36">
        <f t="shared" ref="D354:L354" si="142">D351+D348+D345</f>
        <v>0</v>
      </c>
      <c r="E354" s="36">
        <f t="shared" si="142"/>
        <v>676692.24</v>
      </c>
      <c r="F354" s="36">
        <f t="shared" si="142"/>
        <v>676692.24</v>
      </c>
      <c r="G354" s="36">
        <f t="shared" si="142"/>
        <v>0</v>
      </c>
      <c r="H354" s="36">
        <f t="shared" si="142"/>
        <v>0</v>
      </c>
      <c r="I354" s="36">
        <f t="shared" si="142"/>
        <v>0</v>
      </c>
      <c r="J354" s="36">
        <f t="shared" si="142"/>
        <v>0</v>
      </c>
      <c r="K354" s="36">
        <f t="shared" si="142"/>
        <v>676692.24</v>
      </c>
      <c r="L354" s="36">
        <f t="shared" si="142"/>
        <v>0</v>
      </c>
    </row>
    <row r="355" spans="1:12">
      <c r="A355" s="107"/>
      <c r="B355" s="112"/>
      <c r="C355" s="35" t="s">
        <v>16</v>
      </c>
      <c r="D355" s="36">
        <f t="shared" ref="D355:L355" si="143">D352+D349+D346</f>
        <v>0</v>
      </c>
      <c r="E355" s="36">
        <f t="shared" si="143"/>
        <v>852555.76</v>
      </c>
      <c r="F355" s="36">
        <f t="shared" si="143"/>
        <v>852555.76</v>
      </c>
      <c r="G355" s="36">
        <f t="shared" si="143"/>
        <v>0</v>
      </c>
      <c r="H355" s="36">
        <f t="shared" si="143"/>
        <v>0</v>
      </c>
      <c r="I355" s="36">
        <f t="shared" si="143"/>
        <v>0</v>
      </c>
      <c r="J355" s="36">
        <f t="shared" si="143"/>
        <v>0</v>
      </c>
      <c r="K355" s="36">
        <f t="shared" si="143"/>
        <v>852555.76</v>
      </c>
      <c r="L355" s="36">
        <f t="shared" si="143"/>
        <v>0</v>
      </c>
    </row>
    <row r="356" spans="1:12">
      <c r="A356" s="107"/>
      <c r="B356" s="112"/>
      <c r="C356" s="20" t="s">
        <v>17</v>
      </c>
      <c r="D356" s="36">
        <f t="shared" ref="D356:L356" si="144">D353+D350+D347</f>
        <v>0</v>
      </c>
      <c r="E356" s="36">
        <f t="shared" si="144"/>
        <v>676692.24</v>
      </c>
      <c r="F356" s="36">
        <f t="shared" si="144"/>
        <v>676692.24</v>
      </c>
      <c r="G356" s="36">
        <f t="shared" si="144"/>
        <v>0</v>
      </c>
      <c r="H356" s="36">
        <f t="shared" si="144"/>
        <v>0</v>
      </c>
      <c r="I356" s="36">
        <f t="shared" si="144"/>
        <v>0</v>
      </c>
      <c r="J356" s="36">
        <f t="shared" si="144"/>
        <v>0</v>
      </c>
      <c r="K356" s="36">
        <f t="shared" si="144"/>
        <v>676692.24</v>
      </c>
      <c r="L356" s="36">
        <f t="shared" si="144"/>
        <v>0</v>
      </c>
    </row>
    <row r="357" spans="1:12">
      <c r="A357" s="107"/>
      <c r="B357" s="112"/>
      <c r="C357" s="20" t="s">
        <v>45</v>
      </c>
      <c r="D357" s="36">
        <v>0</v>
      </c>
      <c r="E357" s="36">
        <v>852555.76</v>
      </c>
      <c r="F357" s="36">
        <f t="shared" ref="F357:F365" si="145">D357+E357</f>
        <v>852555.76</v>
      </c>
      <c r="G357" s="36">
        <v>0</v>
      </c>
      <c r="H357" s="36">
        <v>0</v>
      </c>
      <c r="I357" s="36"/>
      <c r="J357" s="36"/>
      <c r="K357" s="36">
        <f>F357</f>
        <v>852555.76</v>
      </c>
      <c r="L357" s="36">
        <v>0</v>
      </c>
    </row>
    <row r="358" spans="1:12">
      <c r="A358" s="107"/>
      <c r="B358" s="112"/>
      <c r="C358" s="20" t="s">
        <v>43</v>
      </c>
      <c r="D358" s="36">
        <v>0</v>
      </c>
      <c r="E358" s="36">
        <v>0</v>
      </c>
      <c r="F358" s="36">
        <f t="shared" si="145"/>
        <v>0</v>
      </c>
      <c r="G358" s="36">
        <v>0</v>
      </c>
      <c r="H358" s="36">
        <v>0</v>
      </c>
      <c r="I358" s="36"/>
      <c r="J358" s="36"/>
      <c r="K358" s="36">
        <f>F358</f>
        <v>0</v>
      </c>
      <c r="L358" s="36">
        <v>0</v>
      </c>
    </row>
    <row r="359" spans="1:12">
      <c r="A359" s="107"/>
      <c r="B359" s="112"/>
      <c r="C359" s="20" t="s">
        <v>23</v>
      </c>
      <c r="D359" s="36">
        <v>0</v>
      </c>
      <c r="E359" s="36">
        <f>E356+E358</f>
        <v>676692.24</v>
      </c>
      <c r="F359" s="36">
        <f t="shared" si="145"/>
        <v>676692.24</v>
      </c>
      <c r="G359" s="36">
        <v>0</v>
      </c>
      <c r="H359" s="36">
        <v>0</v>
      </c>
      <c r="I359" s="36"/>
      <c r="J359" s="36"/>
      <c r="K359" s="36">
        <f>F359</f>
        <v>676692.24</v>
      </c>
      <c r="L359" s="36">
        <v>0</v>
      </c>
    </row>
    <row r="360" spans="1:12">
      <c r="A360" s="108"/>
      <c r="B360" s="113" t="s">
        <v>24</v>
      </c>
      <c r="C360" s="35" t="s">
        <v>15</v>
      </c>
      <c r="D360" s="36">
        <v>0</v>
      </c>
      <c r="E360" s="36">
        <v>225564.08</v>
      </c>
      <c r="F360" s="36">
        <f t="shared" si="145"/>
        <v>225564.08</v>
      </c>
      <c r="G360" s="36">
        <v>0</v>
      </c>
      <c r="H360" s="36">
        <v>0</v>
      </c>
      <c r="I360" s="36">
        <v>0</v>
      </c>
      <c r="J360" s="36">
        <v>0</v>
      </c>
      <c r="K360" s="36">
        <f t="shared" ref="K360:K371" si="146">J360+I360+H360+G360+E360+D360</f>
        <v>225564.08</v>
      </c>
      <c r="L360" s="36">
        <v>0</v>
      </c>
    </row>
    <row r="361" spans="1:12">
      <c r="A361" s="108"/>
      <c r="B361" s="114"/>
      <c r="C361" s="35" t="s">
        <v>16</v>
      </c>
      <c r="D361" s="36">
        <v>0</v>
      </c>
      <c r="E361" s="36">
        <v>283183.96000000002</v>
      </c>
      <c r="F361" s="36">
        <f t="shared" si="145"/>
        <v>283183.96000000002</v>
      </c>
      <c r="G361" s="36">
        <v>0</v>
      </c>
      <c r="H361" s="36">
        <v>0</v>
      </c>
      <c r="I361" s="36">
        <v>0</v>
      </c>
      <c r="J361" s="36">
        <v>0</v>
      </c>
      <c r="K361" s="36">
        <f t="shared" si="146"/>
        <v>283183.96000000002</v>
      </c>
      <c r="L361" s="36">
        <v>0</v>
      </c>
    </row>
    <row r="362" spans="1:12">
      <c r="A362" s="108"/>
      <c r="B362" s="114"/>
      <c r="C362" s="20" t="s">
        <v>17</v>
      </c>
      <c r="D362" s="36">
        <v>0</v>
      </c>
      <c r="E362" s="36">
        <v>225564.08</v>
      </c>
      <c r="F362" s="36">
        <f t="shared" si="145"/>
        <v>225564.08</v>
      </c>
      <c r="G362" s="36">
        <v>0</v>
      </c>
      <c r="H362" s="36">
        <v>0</v>
      </c>
      <c r="I362" s="36">
        <v>0</v>
      </c>
      <c r="J362" s="36">
        <v>0</v>
      </c>
      <c r="K362" s="36">
        <f t="shared" si="146"/>
        <v>225564.08</v>
      </c>
      <c r="L362" s="36">
        <v>0</v>
      </c>
    </row>
    <row r="363" spans="1:12">
      <c r="A363" s="108"/>
      <c r="B363" s="113" t="s">
        <v>25</v>
      </c>
      <c r="C363" s="35" t="s">
        <v>15</v>
      </c>
      <c r="D363" s="36">
        <v>0</v>
      </c>
      <c r="E363" s="36">
        <v>225564.08</v>
      </c>
      <c r="F363" s="36">
        <f t="shared" si="145"/>
        <v>225564.08</v>
      </c>
      <c r="G363" s="36">
        <v>0</v>
      </c>
      <c r="H363" s="36">
        <v>0</v>
      </c>
      <c r="I363" s="36">
        <v>0</v>
      </c>
      <c r="J363" s="36">
        <v>0</v>
      </c>
      <c r="K363" s="36">
        <f t="shared" si="146"/>
        <v>225564.08</v>
      </c>
      <c r="L363" s="36">
        <v>0</v>
      </c>
    </row>
    <row r="364" spans="1:12">
      <c r="A364" s="108"/>
      <c r="B364" s="114"/>
      <c r="C364" s="35" t="s">
        <v>16</v>
      </c>
      <c r="D364" s="36">
        <v>0</v>
      </c>
      <c r="E364" s="36">
        <v>295199.48</v>
      </c>
      <c r="F364" s="36">
        <f t="shared" si="145"/>
        <v>295199.48</v>
      </c>
      <c r="G364" s="65">
        <v>0</v>
      </c>
      <c r="H364" s="36">
        <v>0</v>
      </c>
      <c r="I364" s="36">
        <v>0</v>
      </c>
      <c r="J364" s="36">
        <v>0</v>
      </c>
      <c r="K364" s="36">
        <f t="shared" si="146"/>
        <v>295199.48</v>
      </c>
      <c r="L364" s="70">
        <v>0</v>
      </c>
    </row>
    <row r="365" spans="1:12">
      <c r="A365" s="108"/>
      <c r="B365" s="114"/>
      <c r="C365" s="20" t="s">
        <v>17</v>
      </c>
      <c r="D365" s="36">
        <v>0</v>
      </c>
      <c r="E365" s="36">
        <v>225564.08</v>
      </c>
      <c r="F365" s="36">
        <f t="shared" si="145"/>
        <v>225564.08</v>
      </c>
      <c r="G365" s="36">
        <v>0</v>
      </c>
      <c r="H365" s="36">
        <v>0</v>
      </c>
      <c r="I365" s="36">
        <v>0</v>
      </c>
      <c r="J365" s="36">
        <v>0</v>
      </c>
      <c r="K365" s="36">
        <f t="shared" si="146"/>
        <v>225564.08</v>
      </c>
      <c r="L365" s="36">
        <v>0</v>
      </c>
    </row>
    <row r="366" spans="1:12">
      <c r="A366" s="108"/>
      <c r="B366" s="111" t="s">
        <v>26</v>
      </c>
      <c r="C366" s="18" t="s">
        <v>15</v>
      </c>
      <c r="D366" s="19">
        <v>0</v>
      </c>
      <c r="E366" s="36">
        <v>225564.08</v>
      </c>
      <c r="F366" s="19">
        <f>SUM(D366:E366)</f>
        <v>225564.08</v>
      </c>
      <c r="G366" s="19">
        <v>0</v>
      </c>
      <c r="H366" s="19">
        <v>0</v>
      </c>
      <c r="I366" s="19">
        <v>0</v>
      </c>
      <c r="J366" s="19">
        <v>0</v>
      </c>
      <c r="K366" s="19">
        <f t="shared" si="146"/>
        <v>225564.08</v>
      </c>
      <c r="L366" s="19">
        <v>0</v>
      </c>
    </row>
    <row r="367" spans="1:12">
      <c r="A367" s="108"/>
      <c r="B367" s="110"/>
      <c r="C367" s="18" t="s">
        <v>16</v>
      </c>
      <c r="D367" s="19">
        <v>0</v>
      </c>
      <c r="E367" s="19">
        <v>285641.68</v>
      </c>
      <c r="F367" s="19">
        <f>SUM(D367:E367)</f>
        <v>285641.68</v>
      </c>
      <c r="G367" s="19">
        <v>0</v>
      </c>
      <c r="H367" s="19">
        <v>0</v>
      </c>
      <c r="I367" s="19">
        <v>0</v>
      </c>
      <c r="J367" s="19">
        <v>0</v>
      </c>
      <c r="K367" s="19">
        <f t="shared" si="146"/>
        <v>285641.68</v>
      </c>
      <c r="L367" s="19">
        <v>0</v>
      </c>
    </row>
    <row r="368" spans="1:12">
      <c r="A368" s="108"/>
      <c r="B368" s="110"/>
      <c r="C368" s="20" t="s">
        <v>17</v>
      </c>
      <c r="D368" s="19">
        <v>0</v>
      </c>
      <c r="E368" s="19">
        <v>225564.08</v>
      </c>
      <c r="F368" s="19">
        <f>SUM(D368:E368)</f>
        <v>225564.08</v>
      </c>
      <c r="G368" s="19">
        <v>0</v>
      </c>
      <c r="H368" s="19">
        <v>0</v>
      </c>
      <c r="I368" s="19">
        <v>0</v>
      </c>
      <c r="J368" s="19">
        <v>0</v>
      </c>
      <c r="K368" s="19">
        <f t="shared" si="146"/>
        <v>225564.08</v>
      </c>
      <c r="L368" s="19">
        <v>0</v>
      </c>
    </row>
    <row r="369" spans="1:12">
      <c r="A369" s="108"/>
      <c r="B369" s="112" t="s">
        <v>27</v>
      </c>
      <c r="C369" s="35" t="s">
        <v>15</v>
      </c>
      <c r="D369" s="36">
        <f t="shared" ref="D369:J369" si="147">D366+D363+D360</f>
        <v>0</v>
      </c>
      <c r="E369" s="36">
        <f t="shared" si="147"/>
        <v>676692.24</v>
      </c>
      <c r="F369" s="36">
        <f t="shared" si="147"/>
        <v>676692.24</v>
      </c>
      <c r="G369" s="36">
        <f t="shared" si="147"/>
        <v>0</v>
      </c>
      <c r="H369" s="36">
        <f t="shared" si="147"/>
        <v>0</v>
      </c>
      <c r="I369" s="36">
        <f t="shared" si="147"/>
        <v>0</v>
      </c>
      <c r="J369" s="36">
        <f t="shared" si="147"/>
        <v>0</v>
      </c>
      <c r="K369" s="36">
        <f t="shared" si="146"/>
        <v>676692.24</v>
      </c>
      <c r="L369" s="36">
        <f>L366+L363+L360</f>
        <v>0</v>
      </c>
    </row>
    <row r="370" spans="1:12">
      <c r="A370" s="108"/>
      <c r="B370" s="112"/>
      <c r="C370" s="35" t="s">
        <v>16</v>
      </c>
      <c r="D370" s="36">
        <f>D367+D364+D361</f>
        <v>0</v>
      </c>
      <c r="E370" s="36">
        <f>E367+E364+E361</f>
        <v>864025.11999999988</v>
      </c>
      <c r="F370" s="36">
        <f>D370+E370</f>
        <v>864025.11999999988</v>
      </c>
      <c r="G370" s="36">
        <f>G367+G364+G361</f>
        <v>0</v>
      </c>
      <c r="H370" s="36">
        <v>0</v>
      </c>
      <c r="I370" s="36">
        <f>I367+I364+I361</f>
        <v>0</v>
      </c>
      <c r="J370" s="36">
        <f>J367+J364+J361</f>
        <v>0</v>
      </c>
      <c r="K370" s="36">
        <f t="shared" si="146"/>
        <v>864025.11999999988</v>
      </c>
      <c r="L370" s="36">
        <f>L367+L364+L361</f>
        <v>0</v>
      </c>
    </row>
    <row r="371" spans="1:12">
      <c r="A371" s="108"/>
      <c r="B371" s="112"/>
      <c r="C371" s="20" t="s">
        <v>17</v>
      </c>
      <c r="D371" s="36">
        <f>D368+D365+D362</f>
        <v>0</v>
      </c>
      <c r="E371" s="36">
        <f>E368+E365+E362</f>
        <v>676692.24</v>
      </c>
      <c r="F371" s="36">
        <f>D371+E371</f>
        <v>676692.24</v>
      </c>
      <c r="G371" s="36">
        <f>G368+G365+G362</f>
        <v>0</v>
      </c>
      <c r="H371" s="36">
        <f>H368+H365+H362</f>
        <v>0</v>
      </c>
      <c r="I371" s="36">
        <f>I368+I365+I362</f>
        <v>0</v>
      </c>
      <c r="J371" s="36">
        <f>J368+J365+J362</f>
        <v>0</v>
      </c>
      <c r="K371" s="36">
        <f t="shared" si="146"/>
        <v>676692.24</v>
      </c>
      <c r="L371" s="36">
        <f>L368+L365+L362</f>
        <v>0</v>
      </c>
    </row>
    <row r="372" spans="1:12">
      <c r="A372" s="108"/>
      <c r="B372" s="112"/>
      <c r="C372" s="35" t="s">
        <v>28</v>
      </c>
      <c r="D372" s="35">
        <f>D369-D371</f>
        <v>0</v>
      </c>
      <c r="E372" s="35">
        <f t="shared" ref="E372:L372" si="148">E369-E371</f>
        <v>0</v>
      </c>
      <c r="F372" s="35">
        <f t="shared" si="148"/>
        <v>0</v>
      </c>
      <c r="G372" s="35">
        <f t="shared" si="148"/>
        <v>0</v>
      </c>
      <c r="H372" s="35">
        <f t="shared" si="148"/>
        <v>0</v>
      </c>
      <c r="I372" s="35">
        <f t="shared" si="148"/>
        <v>0</v>
      </c>
      <c r="J372" s="35">
        <f t="shared" si="148"/>
        <v>0</v>
      </c>
      <c r="K372" s="35">
        <f t="shared" si="148"/>
        <v>0</v>
      </c>
      <c r="L372" s="35">
        <f t="shared" si="148"/>
        <v>0</v>
      </c>
    </row>
    <row r="373" spans="1:12">
      <c r="A373" s="108"/>
      <c r="B373" s="121" t="s">
        <v>29</v>
      </c>
      <c r="C373" s="35" t="s">
        <v>15</v>
      </c>
      <c r="D373" s="36">
        <f>D354+D369</f>
        <v>0</v>
      </c>
      <c r="E373" s="36">
        <f>E354+E369</f>
        <v>1353384.48</v>
      </c>
      <c r="F373" s="36">
        <f>D373+E373</f>
        <v>1353384.48</v>
      </c>
      <c r="G373" s="36">
        <f>G354+G369</f>
        <v>0</v>
      </c>
      <c r="H373" s="36">
        <f>H354+H369</f>
        <v>0</v>
      </c>
      <c r="I373" s="36">
        <f>I354+I369</f>
        <v>0</v>
      </c>
      <c r="J373" s="36">
        <f>J354+J369</f>
        <v>0</v>
      </c>
      <c r="K373" s="36">
        <f>J373+I373+H373+G373+E373+D373</f>
        <v>1353384.48</v>
      </c>
      <c r="L373" s="36">
        <f>L354+L369</f>
        <v>0</v>
      </c>
    </row>
    <row r="374" spans="1:12">
      <c r="A374" s="108"/>
      <c r="B374" s="122"/>
      <c r="C374" s="35" t="s">
        <v>16</v>
      </c>
      <c r="D374" s="36">
        <f>D355+D370</f>
        <v>0</v>
      </c>
      <c r="E374" s="36">
        <f>E357+E370</f>
        <v>1716580.88</v>
      </c>
      <c r="F374" s="36">
        <f>D374+E374</f>
        <v>1716580.88</v>
      </c>
      <c r="G374" s="36">
        <f t="shared" ref="G374:J375" si="149">G370+G355</f>
        <v>0</v>
      </c>
      <c r="H374" s="36">
        <f t="shared" si="149"/>
        <v>0</v>
      </c>
      <c r="I374" s="36">
        <f t="shared" si="149"/>
        <v>0</v>
      </c>
      <c r="J374" s="36">
        <f t="shared" si="149"/>
        <v>0</v>
      </c>
      <c r="K374" s="36">
        <f>J374+I374+H374+G374+E374+D374</f>
        <v>1716580.88</v>
      </c>
      <c r="L374" s="36">
        <f>L370+L355</f>
        <v>0</v>
      </c>
    </row>
    <row r="375" spans="1:12">
      <c r="A375" s="108"/>
      <c r="B375" s="122"/>
      <c r="C375" s="20" t="s">
        <v>17</v>
      </c>
      <c r="D375" s="36">
        <f>D356+D371</f>
        <v>0</v>
      </c>
      <c r="E375" s="36">
        <f>E356+E371</f>
        <v>1353384.48</v>
      </c>
      <c r="F375" s="36">
        <f>D375+E375</f>
        <v>1353384.48</v>
      </c>
      <c r="G375" s="36">
        <f t="shared" si="149"/>
        <v>0</v>
      </c>
      <c r="H375" s="36">
        <f t="shared" si="149"/>
        <v>0</v>
      </c>
      <c r="I375" s="36">
        <f t="shared" si="149"/>
        <v>0</v>
      </c>
      <c r="J375" s="36">
        <f t="shared" si="149"/>
        <v>0</v>
      </c>
      <c r="K375" s="36">
        <f>J375+I375+H375+G375+E375+D375</f>
        <v>1353384.48</v>
      </c>
      <c r="L375" s="36">
        <f>L371+L356</f>
        <v>0</v>
      </c>
    </row>
    <row r="376" spans="1:12">
      <c r="A376" s="108"/>
      <c r="B376" s="110"/>
      <c r="C376" s="20" t="s">
        <v>45</v>
      </c>
      <c r="D376" s="36">
        <v>0</v>
      </c>
      <c r="E376" s="36">
        <f>E357+864025.12</f>
        <v>1716580.88</v>
      </c>
      <c r="F376" s="36">
        <f t="shared" ref="F376:K376" si="150">F357+864025.12</f>
        <v>1716580.88</v>
      </c>
      <c r="G376" s="36">
        <v>0</v>
      </c>
      <c r="H376" s="36">
        <v>0</v>
      </c>
      <c r="I376" s="36">
        <f t="shared" si="150"/>
        <v>864025.12</v>
      </c>
      <c r="J376" s="36">
        <f t="shared" si="150"/>
        <v>864025.12</v>
      </c>
      <c r="K376" s="36">
        <f t="shared" si="150"/>
        <v>1716580.88</v>
      </c>
      <c r="L376" s="36">
        <v>0</v>
      </c>
    </row>
    <row r="377" spans="1:12">
      <c r="A377" s="108"/>
      <c r="B377" s="110"/>
      <c r="C377" s="20" t="s">
        <v>43</v>
      </c>
      <c r="D377" s="36">
        <v>0</v>
      </c>
      <c r="E377" s="36">
        <v>0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</row>
    <row r="378" spans="1:12">
      <c r="A378" s="108"/>
      <c r="B378" s="110"/>
      <c r="C378" s="20" t="s">
        <v>23</v>
      </c>
      <c r="D378" s="36">
        <v>0</v>
      </c>
      <c r="E378" s="36">
        <f t="shared" ref="E378:L378" si="151">E377+E375</f>
        <v>1353384.48</v>
      </c>
      <c r="F378" s="36">
        <f t="shared" si="151"/>
        <v>1353384.48</v>
      </c>
      <c r="G378" s="36">
        <f t="shared" si="151"/>
        <v>0</v>
      </c>
      <c r="H378" s="36">
        <f t="shared" si="151"/>
        <v>0</v>
      </c>
      <c r="I378" s="36">
        <f t="shared" si="151"/>
        <v>0</v>
      </c>
      <c r="J378" s="36">
        <f t="shared" si="151"/>
        <v>0</v>
      </c>
      <c r="K378" s="36">
        <f t="shared" si="151"/>
        <v>1353384.48</v>
      </c>
      <c r="L378" s="36">
        <f t="shared" si="151"/>
        <v>0</v>
      </c>
    </row>
    <row r="379" spans="1:12">
      <c r="A379" s="108"/>
      <c r="B379" s="115" t="s">
        <v>30</v>
      </c>
      <c r="C379" s="35" t="s">
        <v>15</v>
      </c>
      <c r="D379" s="36">
        <v>0</v>
      </c>
      <c r="E379" s="36">
        <v>254783.64</v>
      </c>
      <c r="F379" s="36">
        <f t="shared" ref="F379:F387" si="152">SUM(D379:E379)</f>
        <v>254783.64</v>
      </c>
      <c r="G379" s="36">
        <v>0</v>
      </c>
      <c r="H379" s="35">
        <v>0</v>
      </c>
      <c r="I379" s="35">
        <v>0</v>
      </c>
      <c r="J379" s="35">
        <v>0</v>
      </c>
      <c r="K379" s="36">
        <f>D379+E379+G379+H379+I379+J379</f>
        <v>254783.64</v>
      </c>
      <c r="L379" s="36">
        <v>0</v>
      </c>
    </row>
    <row r="380" spans="1:12">
      <c r="A380" s="108"/>
      <c r="B380" s="116"/>
      <c r="C380" s="35" t="s">
        <v>16</v>
      </c>
      <c r="D380" s="36">
        <v>0</v>
      </c>
      <c r="E380" s="36">
        <v>290010.96000000002</v>
      </c>
      <c r="F380" s="36">
        <f t="shared" si="152"/>
        <v>290010.96000000002</v>
      </c>
      <c r="G380" s="36">
        <v>0</v>
      </c>
      <c r="H380" s="35">
        <v>0</v>
      </c>
      <c r="I380" s="35">
        <v>0</v>
      </c>
      <c r="J380" s="35">
        <v>0</v>
      </c>
      <c r="K380" s="36">
        <f>D380+E380+G380+H380+I380+J380</f>
        <v>290010.96000000002</v>
      </c>
      <c r="L380" s="36">
        <v>0</v>
      </c>
    </row>
    <row r="381" spans="1:12">
      <c r="A381" s="108"/>
      <c r="B381" s="116"/>
      <c r="C381" s="35" t="s">
        <v>17</v>
      </c>
      <c r="D381" s="36">
        <v>0</v>
      </c>
      <c r="E381" s="36">
        <v>254783.64</v>
      </c>
      <c r="F381" s="36">
        <f t="shared" si="152"/>
        <v>254783.64</v>
      </c>
      <c r="G381" s="36">
        <v>0</v>
      </c>
      <c r="H381" s="35">
        <v>0</v>
      </c>
      <c r="I381" s="35">
        <v>0</v>
      </c>
      <c r="J381" s="35">
        <v>0</v>
      </c>
      <c r="K381" s="36">
        <f>D381+E381+G381+H381+I381+J381</f>
        <v>254783.64</v>
      </c>
      <c r="L381" s="36">
        <v>0</v>
      </c>
    </row>
    <row r="382" spans="1:12">
      <c r="A382" s="108"/>
      <c r="B382" s="115" t="s">
        <v>31</v>
      </c>
      <c r="C382" s="35" t="s">
        <v>15</v>
      </c>
      <c r="D382" s="36">
        <v>0</v>
      </c>
      <c r="E382" s="36">
        <v>254783.64</v>
      </c>
      <c r="F382" s="36">
        <f t="shared" si="152"/>
        <v>254783.64</v>
      </c>
      <c r="G382" s="36">
        <v>0</v>
      </c>
      <c r="H382" s="35">
        <v>0</v>
      </c>
      <c r="I382" s="35">
        <v>0</v>
      </c>
      <c r="J382" s="35">
        <v>0</v>
      </c>
      <c r="K382" s="36">
        <f t="shared" ref="K382:K387" si="153">J382+I382+H382+G382+E382+D382</f>
        <v>254783.64</v>
      </c>
      <c r="L382" s="36">
        <v>0</v>
      </c>
    </row>
    <row r="383" spans="1:12">
      <c r="A383" s="108"/>
      <c r="B383" s="116"/>
      <c r="C383" s="35" t="s">
        <v>16</v>
      </c>
      <c r="D383" s="36">
        <v>0</v>
      </c>
      <c r="E383" s="36">
        <v>293561</v>
      </c>
      <c r="F383" s="36">
        <f t="shared" si="152"/>
        <v>293561</v>
      </c>
      <c r="G383" s="36">
        <v>0</v>
      </c>
      <c r="H383" s="35">
        <v>0</v>
      </c>
      <c r="I383" s="35">
        <v>0</v>
      </c>
      <c r="J383" s="35">
        <v>0</v>
      </c>
      <c r="K383" s="36">
        <f t="shared" si="153"/>
        <v>293561</v>
      </c>
      <c r="L383" s="36">
        <v>0</v>
      </c>
    </row>
    <row r="384" spans="1:12">
      <c r="A384" s="108"/>
      <c r="B384" s="116"/>
      <c r="C384" s="35" t="s">
        <v>17</v>
      </c>
      <c r="D384" s="36">
        <v>0</v>
      </c>
      <c r="E384" s="36">
        <v>254783.64</v>
      </c>
      <c r="F384" s="36">
        <f t="shared" si="152"/>
        <v>254783.64</v>
      </c>
      <c r="G384" s="36">
        <v>0</v>
      </c>
      <c r="H384" s="35">
        <v>0</v>
      </c>
      <c r="I384" s="35">
        <v>0</v>
      </c>
      <c r="J384" s="35">
        <v>0</v>
      </c>
      <c r="K384" s="36">
        <f t="shared" si="153"/>
        <v>254783.64</v>
      </c>
      <c r="L384" s="36">
        <v>0</v>
      </c>
    </row>
    <row r="385" spans="1:12">
      <c r="A385" s="108"/>
      <c r="B385" s="115" t="s">
        <v>32</v>
      </c>
      <c r="C385" s="35" t="s">
        <v>15</v>
      </c>
      <c r="D385" s="36">
        <v>0</v>
      </c>
      <c r="E385" s="36">
        <v>254783.64</v>
      </c>
      <c r="F385" s="36">
        <f t="shared" si="152"/>
        <v>254783.64</v>
      </c>
      <c r="G385" s="36">
        <v>0</v>
      </c>
      <c r="H385" s="35">
        <v>0</v>
      </c>
      <c r="I385" s="35">
        <v>0</v>
      </c>
      <c r="J385" s="35">
        <v>0</v>
      </c>
      <c r="K385" s="36">
        <f t="shared" si="153"/>
        <v>254783.64</v>
      </c>
      <c r="L385" s="36">
        <v>0</v>
      </c>
    </row>
    <row r="386" spans="1:12">
      <c r="A386" s="108"/>
      <c r="B386" s="116"/>
      <c r="C386" s="35" t="s">
        <v>16</v>
      </c>
      <c r="D386" s="36">
        <v>0</v>
      </c>
      <c r="E386" s="36">
        <v>285641.68</v>
      </c>
      <c r="F386" s="36">
        <f t="shared" si="152"/>
        <v>285641.68</v>
      </c>
      <c r="G386" s="36">
        <v>0</v>
      </c>
      <c r="H386" s="35">
        <v>0</v>
      </c>
      <c r="I386" s="35">
        <v>0</v>
      </c>
      <c r="J386" s="35">
        <v>0</v>
      </c>
      <c r="K386" s="36">
        <f t="shared" si="153"/>
        <v>285641.68</v>
      </c>
      <c r="L386" s="36">
        <v>0</v>
      </c>
    </row>
    <row r="387" spans="1:12">
      <c r="A387" s="108"/>
      <c r="B387" s="116"/>
      <c r="C387" s="35" t="s">
        <v>17</v>
      </c>
      <c r="D387" s="36">
        <v>0</v>
      </c>
      <c r="E387" s="36">
        <v>254783.64</v>
      </c>
      <c r="F387" s="36">
        <f t="shared" si="152"/>
        <v>254783.64</v>
      </c>
      <c r="G387" s="36">
        <v>0</v>
      </c>
      <c r="H387" s="35">
        <v>0</v>
      </c>
      <c r="I387" s="35">
        <v>0</v>
      </c>
      <c r="J387" s="35">
        <v>0</v>
      </c>
      <c r="K387" s="36">
        <f t="shared" si="153"/>
        <v>254783.64</v>
      </c>
      <c r="L387" s="36">
        <v>0</v>
      </c>
    </row>
    <row r="388" spans="1:12">
      <c r="A388" s="108"/>
      <c r="B388" s="115" t="s">
        <v>33</v>
      </c>
      <c r="C388" s="35" t="s">
        <v>15</v>
      </c>
      <c r="D388" s="36">
        <f t="shared" ref="D388:L388" si="154">D379+D382+D385</f>
        <v>0</v>
      </c>
      <c r="E388" s="36">
        <f t="shared" si="154"/>
        <v>764350.92</v>
      </c>
      <c r="F388" s="36">
        <f t="shared" si="154"/>
        <v>764350.92</v>
      </c>
      <c r="G388" s="36">
        <f t="shared" si="154"/>
        <v>0</v>
      </c>
      <c r="H388" s="36">
        <f t="shared" si="154"/>
        <v>0</v>
      </c>
      <c r="I388" s="36">
        <f t="shared" si="154"/>
        <v>0</v>
      </c>
      <c r="J388" s="36">
        <f t="shared" si="154"/>
        <v>0</v>
      </c>
      <c r="K388" s="36">
        <f t="shared" si="154"/>
        <v>764350.92</v>
      </c>
      <c r="L388" s="36">
        <f t="shared" si="154"/>
        <v>0</v>
      </c>
    </row>
    <row r="389" spans="1:12">
      <c r="A389" s="108"/>
      <c r="B389" s="116"/>
      <c r="C389" s="35" t="s">
        <v>16</v>
      </c>
      <c r="D389" s="36">
        <f t="shared" ref="D389:L389" si="155">D380+D383+D386</f>
        <v>0</v>
      </c>
      <c r="E389" s="36">
        <f t="shared" si="155"/>
        <v>869213.6399999999</v>
      </c>
      <c r="F389" s="36">
        <f t="shared" si="155"/>
        <v>869213.6399999999</v>
      </c>
      <c r="G389" s="36">
        <f t="shared" si="155"/>
        <v>0</v>
      </c>
      <c r="H389" s="36">
        <f t="shared" si="155"/>
        <v>0</v>
      </c>
      <c r="I389" s="36">
        <f t="shared" si="155"/>
        <v>0</v>
      </c>
      <c r="J389" s="36">
        <f t="shared" si="155"/>
        <v>0</v>
      </c>
      <c r="K389" s="36">
        <f t="shared" si="155"/>
        <v>869213.6399999999</v>
      </c>
      <c r="L389" s="36">
        <f t="shared" si="155"/>
        <v>0</v>
      </c>
    </row>
    <row r="390" spans="1:12">
      <c r="A390" s="108"/>
      <c r="B390" s="116"/>
      <c r="C390" s="35" t="s">
        <v>17</v>
      </c>
      <c r="D390" s="36">
        <f t="shared" ref="D390:L390" si="156">D381+D384+D387</f>
        <v>0</v>
      </c>
      <c r="E390" s="36">
        <f t="shared" si="156"/>
        <v>764350.92</v>
      </c>
      <c r="F390" s="36">
        <f t="shared" si="156"/>
        <v>764350.92</v>
      </c>
      <c r="G390" s="36">
        <f t="shared" si="156"/>
        <v>0</v>
      </c>
      <c r="H390" s="36">
        <f t="shared" si="156"/>
        <v>0</v>
      </c>
      <c r="I390" s="36">
        <f t="shared" si="156"/>
        <v>0</v>
      </c>
      <c r="J390" s="36">
        <f t="shared" si="156"/>
        <v>0</v>
      </c>
      <c r="K390" s="36">
        <f t="shared" si="156"/>
        <v>764350.92</v>
      </c>
      <c r="L390" s="36">
        <f t="shared" si="156"/>
        <v>0</v>
      </c>
    </row>
    <row r="391" spans="1:12">
      <c r="A391" s="108"/>
      <c r="B391" s="116"/>
      <c r="C391" s="35" t="s">
        <v>34</v>
      </c>
      <c r="D391" s="36">
        <v>0</v>
      </c>
      <c r="E391" s="36">
        <f t="shared" ref="E391:K391" si="157">E384+E387+E381</f>
        <v>764350.92</v>
      </c>
      <c r="F391" s="36">
        <f t="shared" si="157"/>
        <v>764350.92</v>
      </c>
      <c r="G391" s="36">
        <f t="shared" si="157"/>
        <v>0</v>
      </c>
      <c r="H391" s="36">
        <f t="shared" si="157"/>
        <v>0</v>
      </c>
      <c r="I391" s="36">
        <f t="shared" si="157"/>
        <v>0</v>
      </c>
      <c r="J391" s="36">
        <f t="shared" si="157"/>
        <v>0</v>
      </c>
      <c r="K391" s="36">
        <f t="shared" si="157"/>
        <v>764350.92</v>
      </c>
      <c r="L391" s="36">
        <v>0</v>
      </c>
    </row>
    <row r="392" spans="1:12">
      <c r="A392" s="108"/>
      <c r="B392" s="115" t="s">
        <v>35</v>
      </c>
      <c r="C392" s="35" t="s">
        <v>15</v>
      </c>
      <c r="D392" s="36">
        <v>0</v>
      </c>
      <c r="E392" s="36">
        <v>254783.64</v>
      </c>
      <c r="F392" s="36">
        <f t="shared" ref="F392:F400" si="158">SUM(D392:E392)</f>
        <v>254783.64</v>
      </c>
      <c r="G392" s="36">
        <v>0</v>
      </c>
      <c r="H392" s="35">
        <v>0</v>
      </c>
      <c r="I392" s="35">
        <v>0</v>
      </c>
      <c r="J392" s="35">
        <v>0</v>
      </c>
      <c r="K392" s="36">
        <f t="shared" ref="K392:K400" si="159">D392+E392+G392+H392+I392+J392</f>
        <v>254783.64</v>
      </c>
      <c r="L392" s="36">
        <v>0</v>
      </c>
    </row>
    <row r="393" spans="1:12">
      <c r="A393" s="108"/>
      <c r="B393" s="116"/>
      <c r="C393" s="35" t="s">
        <v>16</v>
      </c>
      <c r="D393" s="36">
        <v>0</v>
      </c>
      <c r="E393" s="36">
        <v>0</v>
      </c>
      <c r="F393" s="36">
        <f t="shared" si="158"/>
        <v>0</v>
      </c>
      <c r="G393" s="36">
        <v>0</v>
      </c>
      <c r="H393" s="35">
        <v>0</v>
      </c>
      <c r="I393" s="35">
        <v>0</v>
      </c>
      <c r="J393" s="35">
        <v>0</v>
      </c>
      <c r="K393" s="36">
        <f t="shared" si="159"/>
        <v>0</v>
      </c>
      <c r="L393" s="36">
        <v>0</v>
      </c>
    </row>
    <row r="394" spans="1:12">
      <c r="A394" s="108"/>
      <c r="B394" s="116"/>
      <c r="C394" s="35" t="s">
        <v>17</v>
      </c>
      <c r="D394" s="36">
        <v>0</v>
      </c>
      <c r="E394" s="36">
        <v>0</v>
      </c>
      <c r="F394" s="36">
        <f t="shared" si="158"/>
        <v>0</v>
      </c>
      <c r="G394" s="36">
        <v>0</v>
      </c>
      <c r="H394" s="35">
        <v>0</v>
      </c>
      <c r="I394" s="35">
        <v>0</v>
      </c>
      <c r="J394" s="35">
        <v>0</v>
      </c>
      <c r="K394" s="36">
        <f t="shared" si="159"/>
        <v>0</v>
      </c>
      <c r="L394" s="36">
        <v>0</v>
      </c>
    </row>
    <row r="395" spans="1:12">
      <c r="A395" s="108"/>
      <c r="B395" s="115" t="s">
        <v>36</v>
      </c>
      <c r="C395" s="35" t="s">
        <v>15</v>
      </c>
      <c r="D395" s="36">
        <v>0</v>
      </c>
      <c r="E395" s="36">
        <v>254783.64</v>
      </c>
      <c r="F395" s="36">
        <f t="shared" si="158"/>
        <v>254783.64</v>
      </c>
      <c r="G395" s="36">
        <v>0</v>
      </c>
      <c r="H395" s="35">
        <v>0</v>
      </c>
      <c r="I395" s="35">
        <v>0</v>
      </c>
      <c r="J395" s="35">
        <v>0</v>
      </c>
      <c r="K395" s="36">
        <f t="shared" si="159"/>
        <v>254783.64</v>
      </c>
      <c r="L395" s="36">
        <v>0</v>
      </c>
    </row>
    <row r="396" spans="1:12">
      <c r="A396" s="108"/>
      <c r="B396" s="116"/>
      <c r="C396" s="35" t="s">
        <v>16</v>
      </c>
      <c r="D396" s="36">
        <v>0</v>
      </c>
      <c r="E396" s="36">
        <v>0</v>
      </c>
      <c r="F396" s="36">
        <f t="shared" si="158"/>
        <v>0</v>
      </c>
      <c r="G396" s="36">
        <v>0</v>
      </c>
      <c r="H396" s="35">
        <v>0</v>
      </c>
      <c r="I396" s="35">
        <v>0</v>
      </c>
      <c r="J396" s="35">
        <v>0</v>
      </c>
      <c r="K396" s="36">
        <f t="shared" si="159"/>
        <v>0</v>
      </c>
      <c r="L396" s="36">
        <v>0</v>
      </c>
    </row>
    <row r="397" spans="1:12">
      <c r="A397" s="108"/>
      <c r="B397" s="116"/>
      <c r="C397" s="35" t="s">
        <v>17</v>
      </c>
      <c r="D397" s="36">
        <v>0</v>
      </c>
      <c r="E397" s="36">
        <v>0</v>
      </c>
      <c r="F397" s="36">
        <f t="shared" si="158"/>
        <v>0</v>
      </c>
      <c r="G397" s="36">
        <v>0</v>
      </c>
      <c r="H397" s="35">
        <v>0</v>
      </c>
      <c r="I397" s="35">
        <v>0</v>
      </c>
      <c r="J397" s="35">
        <v>0</v>
      </c>
      <c r="K397" s="36">
        <f t="shared" si="159"/>
        <v>0</v>
      </c>
      <c r="L397" s="36">
        <v>0</v>
      </c>
    </row>
    <row r="398" spans="1:12">
      <c r="A398" s="108"/>
      <c r="B398" s="115" t="s">
        <v>37</v>
      </c>
      <c r="C398" s="35" t="s">
        <v>15</v>
      </c>
      <c r="D398" s="36">
        <v>0</v>
      </c>
      <c r="E398" s="36">
        <f>7373.16+247410.48</f>
        <v>254783.64</v>
      </c>
      <c r="F398" s="36">
        <f t="shared" si="158"/>
        <v>254783.64</v>
      </c>
      <c r="G398" s="36">
        <v>0</v>
      </c>
      <c r="H398" s="35">
        <v>0</v>
      </c>
      <c r="I398" s="35">
        <v>0</v>
      </c>
      <c r="J398" s="35">
        <v>0</v>
      </c>
      <c r="K398" s="36">
        <f t="shared" si="159"/>
        <v>254783.64</v>
      </c>
      <c r="L398" s="36">
        <v>0</v>
      </c>
    </row>
    <row r="399" spans="1:12">
      <c r="A399" s="108"/>
      <c r="B399" s="116"/>
      <c r="C399" s="35" t="s">
        <v>16</v>
      </c>
      <c r="D399" s="36">
        <v>0</v>
      </c>
      <c r="E399" s="36">
        <v>0</v>
      </c>
      <c r="F399" s="36">
        <f t="shared" si="158"/>
        <v>0</v>
      </c>
      <c r="G399" s="36">
        <v>0</v>
      </c>
      <c r="H399" s="35">
        <v>0</v>
      </c>
      <c r="I399" s="35">
        <v>0</v>
      </c>
      <c r="J399" s="35">
        <v>0</v>
      </c>
      <c r="K399" s="36">
        <f t="shared" si="159"/>
        <v>0</v>
      </c>
      <c r="L399" s="36">
        <v>0</v>
      </c>
    </row>
    <row r="400" spans="1:12">
      <c r="A400" s="108"/>
      <c r="B400" s="116"/>
      <c r="C400" s="35" t="s">
        <v>17</v>
      </c>
      <c r="D400" s="36">
        <v>0</v>
      </c>
      <c r="E400" s="36">
        <v>0</v>
      </c>
      <c r="F400" s="36">
        <f t="shared" si="158"/>
        <v>0</v>
      </c>
      <c r="G400" s="36">
        <v>0</v>
      </c>
      <c r="H400" s="35">
        <v>0</v>
      </c>
      <c r="I400" s="35">
        <v>0</v>
      </c>
      <c r="J400" s="35">
        <v>0</v>
      </c>
      <c r="K400" s="36">
        <f t="shared" si="159"/>
        <v>0</v>
      </c>
      <c r="L400" s="36">
        <v>0</v>
      </c>
    </row>
    <row r="401" spans="1:12">
      <c r="A401" s="108"/>
      <c r="B401" s="117" t="s">
        <v>38</v>
      </c>
      <c r="C401" s="35" t="s">
        <v>15</v>
      </c>
      <c r="D401" s="36">
        <f t="shared" ref="D401:L401" si="160">D392+D395+D398</f>
        <v>0</v>
      </c>
      <c r="E401" s="36">
        <f t="shared" si="160"/>
        <v>764350.92</v>
      </c>
      <c r="F401" s="36">
        <f t="shared" si="160"/>
        <v>764350.92</v>
      </c>
      <c r="G401" s="36">
        <f t="shared" si="160"/>
        <v>0</v>
      </c>
      <c r="H401" s="36">
        <f t="shared" si="160"/>
        <v>0</v>
      </c>
      <c r="I401" s="36">
        <f t="shared" si="160"/>
        <v>0</v>
      </c>
      <c r="J401" s="36">
        <f t="shared" si="160"/>
        <v>0</v>
      </c>
      <c r="K401" s="36">
        <f t="shared" si="160"/>
        <v>764350.92</v>
      </c>
      <c r="L401" s="36">
        <f t="shared" si="160"/>
        <v>0</v>
      </c>
    </row>
    <row r="402" spans="1:12">
      <c r="A402" s="108"/>
      <c r="B402" s="118"/>
      <c r="C402" s="35" t="s">
        <v>16</v>
      </c>
      <c r="D402" s="36">
        <f t="shared" ref="D402:L402" si="161">D393+D396+D399</f>
        <v>0</v>
      </c>
      <c r="E402" s="36">
        <f t="shared" si="161"/>
        <v>0</v>
      </c>
      <c r="F402" s="36">
        <f t="shared" si="161"/>
        <v>0</v>
      </c>
      <c r="G402" s="36">
        <f t="shared" si="161"/>
        <v>0</v>
      </c>
      <c r="H402" s="36">
        <f t="shared" si="161"/>
        <v>0</v>
      </c>
      <c r="I402" s="36">
        <f t="shared" si="161"/>
        <v>0</v>
      </c>
      <c r="J402" s="36">
        <f t="shared" si="161"/>
        <v>0</v>
      </c>
      <c r="K402" s="36">
        <f t="shared" si="161"/>
        <v>0</v>
      </c>
      <c r="L402" s="36">
        <f t="shared" si="161"/>
        <v>0</v>
      </c>
    </row>
    <row r="403" spans="1:12">
      <c r="A403" s="108"/>
      <c r="B403" s="118"/>
      <c r="C403" s="35" t="s">
        <v>17</v>
      </c>
      <c r="D403" s="36">
        <f t="shared" ref="D403:L403" si="162">D394+D397+D400</f>
        <v>0</v>
      </c>
      <c r="E403" s="36">
        <f t="shared" si="162"/>
        <v>0</v>
      </c>
      <c r="F403" s="36">
        <f t="shared" si="162"/>
        <v>0</v>
      </c>
      <c r="G403" s="36">
        <f t="shared" si="162"/>
        <v>0</v>
      </c>
      <c r="H403" s="36">
        <f t="shared" si="162"/>
        <v>0</v>
      </c>
      <c r="I403" s="36">
        <f t="shared" si="162"/>
        <v>0</v>
      </c>
      <c r="J403" s="36">
        <f t="shared" si="162"/>
        <v>0</v>
      </c>
      <c r="K403" s="36">
        <f t="shared" si="162"/>
        <v>0</v>
      </c>
      <c r="L403" s="36">
        <f t="shared" si="162"/>
        <v>0</v>
      </c>
    </row>
    <row r="404" spans="1:12">
      <c r="A404" s="108"/>
      <c r="B404" s="117" t="s">
        <v>39</v>
      </c>
      <c r="C404" s="35" t="s">
        <v>15</v>
      </c>
      <c r="D404" s="36">
        <f t="shared" ref="D404:L404" si="163">D388+D401</f>
        <v>0</v>
      </c>
      <c r="E404" s="36">
        <f t="shared" si="163"/>
        <v>1528701.84</v>
      </c>
      <c r="F404" s="36">
        <f t="shared" si="163"/>
        <v>1528701.84</v>
      </c>
      <c r="G404" s="36">
        <f t="shared" si="163"/>
        <v>0</v>
      </c>
      <c r="H404" s="36">
        <f t="shared" si="163"/>
        <v>0</v>
      </c>
      <c r="I404" s="36">
        <f t="shared" si="163"/>
        <v>0</v>
      </c>
      <c r="J404" s="36">
        <f t="shared" si="163"/>
        <v>0</v>
      </c>
      <c r="K404" s="36">
        <f t="shared" si="163"/>
        <v>1528701.84</v>
      </c>
      <c r="L404" s="36">
        <f t="shared" si="163"/>
        <v>0</v>
      </c>
    </row>
    <row r="405" spans="1:12">
      <c r="A405" s="108"/>
      <c r="B405" s="118"/>
      <c r="C405" s="35" t="s">
        <v>16</v>
      </c>
      <c r="D405" s="36">
        <f t="shared" ref="D405:L405" si="164">D389+D402</f>
        <v>0</v>
      </c>
      <c r="E405" s="36">
        <f t="shared" si="164"/>
        <v>869213.6399999999</v>
      </c>
      <c r="F405" s="36">
        <f t="shared" si="164"/>
        <v>869213.6399999999</v>
      </c>
      <c r="G405" s="36">
        <f t="shared" si="164"/>
        <v>0</v>
      </c>
      <c r="H405" s="36">
        <f t="shared" si="164"/>
        <v>0</v>
      </c>
      <c r="I405" s="36">
        <f t="shared" si="164"/>
        <v>0</v>
      </c>
      <c r="J405" s="36">
        <f t="shared" si="164"/>
        <v>0</v>
      </c>
      <c r="K405" s="36">
        <f t="shared" si="164"/>
        <v>869213.6399999999</v>
      </c>
      <c r="L405" s="36">
        <f t="shared" si="164"/>
        <v>0</v>
      </c>
    </row>
    <row r="406" spans="1:12">
      <c r="A406" s="108"/>
      <c r="B406" s="118"/>
      <c r="C406" s="35" t="s">
        <v>17</v>
      </c>
      <c r="D406" s="36">
        <f t="shared" ref="D406:L406" si="165">D390+D403</f>
        <v>0</v>
      </c>
      <c r="E406" s="36">
        <f t="shared" si="165"/>
        <v>764350.92</v>
      </c>
      <c r="F406" s="36">
        <f t="shared" si="165"/>
        <v>764350.92</v>
      </c>
      <c r="G406" s="36">
        <f t="shared" si="165"/>
        <v>0</v>
      </c>
      <c r="H406" s="36">
        <f t="shared" si="165"/>
        <v>0</v>
      </c>
      <c r="I406" s="36">
        <f t="shared" si="165"/>
        <v>0</v>
      </c>
      <c r="J406" s="36">
        <f t="shared" si="165"/>
        <v>0</v>
      </c>
      <c r="K406" s="36">
        <f t="shared" si="165"/>
        <v>764350.92</v>
      </c>
      <c r="L406" s="36">
        <f t="shared" si="165"/>
        <v>0</v>
      </c>
    </row>
    <row r="407" spans="1:12">
      <c r="A407" s="109"/>
      <c r="B407" s="119" t="s">
        <v>40</v>
      </c>
      <c r="C407" s="71" t="s">
        <v>15</v>
      </c>
      <c r="D407" s="72">
        <f t="shared" ref="D407:L407" si="166">D373+D404</f>
        <v>0</v>
      </c>
      <c r="E407" s="72">
        <f t="shared" si="166"/>
        <v>2882086.3200000003</v>
      </c>
      <c r="F407" s="72">
        <f t="shared" si="166"/>
        <v>2882086.3200000003</v>
      </c>
      <c r="G407" s="72">
        <f t="shared" si="166"/>
        <v>0</v>
      </c>
      <c r="H407" s="72">
        <f t="shared" si="166"/>
        <v>0</v>
      </c>
      <c r="I407" s="72">
        <f t="shared" si="166"/>
        <v>0</v>
      </c>
      <c r="J407" s="72">
        <f t="shared" si="166"/>
        <v>0</v>
      </c>
      <c r="K407" s="72">
        <f t="shared" si="166"/>
        <v>2882086.3200000003</v>
      </c>
      <c r="L407" s="72">
        <f t="shared" si="166"/>
        <v>0</v>
      </c>
    </row>
    <row r="408" spans="1:12">
      <c r="A408" s="109"/>
      <c r="B408" s="120"/>
      <c r="C408" s="71" t="s">
        <v>48</v>
      </c>
      <c r="D408" s="72">
        <f t="shared" ref="D408:L408" si="167">D374+D405</f>
        <v>0</v>
      </c>
      <c r="E408" s="72">
        <f t="shared" si="167"/>
        <v>2585794.5199999996</v>
      </c>
      <c r="F408" s="72">
        <f t="shared" si="167"/>
        <v>2585794.5199999996</v>
      </c>
      <c r="G408" s="72">
        <f t="shared" si="167"/>
        <v>0</v>
      </c>
      <c r="H408" s="72">
        <f t="shared" si="167"/>
        <v>0</v>
      </c>
      <c r="I408" s="72">
        <f t="shared" si="167"/>
        <v>0</v>
      </c>
      <c r="J408" s="72">
        <f t="shared" si="167"/>
        <v>0</v>
      </c>
      <c r="K408" s="72">
        <f t="shared" si="167"/>
        <v>2585794.5199999996</v>
      </c>
      <c r="L408" s="72">
        <f t="shared" si="167"/>
        <v>0</v>
      </c>
    </row>
    <row r="409" spans="1:12">
      <c r="A409" s="109"/>
      <c r="B409" s="120"/>
      <c r="C409" s="71" t="s">
        <v>41</v>
      </c>
      <c r="D409" s="72">
        <v>0</v>
      </c>
      <c r="E409" s="72">
        <f t="shared" ref="E409:L409" si="168">E376+E389</f>
        <v>2585794.5199999996</v>
      </c>
      <c r="F409" s="72">
        <f t="shared" si="168"/>
        <v>2585794.5199999996</v>
      </c>
      <c r="G409" s="72">
        <f t="shared" si="168"/>
        <v>0</v>
      </c>
      <c r="H409" s="72">
        <f t="shared" si="168"/>
        <v>0</v>
      </c>
      <c r="I409" s="72">
        <f t="shared" si="168"/>
        <v>864025.12</v>
      </c>
      <c r="J409" s="72">
        <f t="shared" si="168"/>
        <v>864025.12</v>
      </c>
      <c r="K409" s="72">
        <f t="shared" si="168"/>
        <v>2585794.5199999996</v>
      </c>
      <c r="L409" s="72">
        <f t="shared" si="168"/>
        <v>0</v>
      </c>
    </row>
    <row r="410" spans="1:12">
      <c r="A410" s="109"/>
      <c r="B410" s="120"/>
      <c r="C410" s="73" t="s">
        <v>17</v>
      </c>
      <c r="D410" s="72">
        <f t="shared" ref="D410:L410" si="169">D375+D406</f>
        <v>0</v>
      </c>
      <c r="E410" s="72">
        <f t="shared" si="169"/>
        <v>2117735.4</v>
      </c>
      <c r="F410" s="72">
        <f t="shared" si="169"/>
        <v>2117735.4</v>
      </c>
      <c r="G410" s="72">
        <f t="shared" si="169"/>
        <v>0</v>
      </c>
      <c r="H410" s="72">
        <f t="shared" si="169"/>
        <v>0</v>
      </c>
      <c r="I410" s="72">
        <f t="shared" si="169"/>
        <v>0</v>
      </c>
      <c r="J410" s="72">
        <f t="shared" si="169"/>
        <v>0</v>
      </c>
      <c r="K410" s="72">
        <f t="shared" si="169"/>
        <v>2117735.4</v>
      </c>
      <c r="L410" s="72">
        <f t="shared" si="169"/>
        <v>0</v>
      </c>
    </row>
    <row r="411" spans="1:12">
      <c r="A411" s="96" t="s">
        <v>53</v>
      </c>
      <c r="B411" s="97" t="s">
        <v>14</v>
      </c>
      <c r="C411" s="35" t="s">
        <v>15</v>
      </c>
      <c r="D411" s="36">
        <f t="shared" ref="D411:L411" si="170">D4+D73+D141+D209+D278+D345</f>
        <v>9549879.120000001</v>
      </c>
      <c r="E411" s="36">
        <f t="shared" si="170"/>
        <v>1429728.4600000002</v>
      </c>
      <c r="F411" s="36">
        <f t="shared" si="170"/>
        <v>10979607.58</v>
      </c>
      <c r="G411" s="36">
        <f t="shared" si="170"/>
        <v>851451.93</v>
      </c>
      <c r="H411" s="36">
        <f t="shared" si="170"/>
        <v>0</v>
      </c>
      <c r="I411" s="36">
        <f t="shared" si="170"/>
        <v>0</v>
      </c>
      <c r="J411" s="36">
        <f t="shared" si="170"/>
        <v>0</v>
      </c>
      <c r="K411" s="36">
        <f t="shared" si="170"/>
        <v>11831059.51</v>
      </c>
      <c r="L411" s="36">
        <f t="shared" si="170"/>
        <v>771661</v>
      </c>
    </row>
    <row r="412" spans="1:12">
      <c r="A412" s="96"/>
      <c r="B412" s="97"/>
      <c r="C412" s="35" t="s">
        <v>16</v>
      </c>
      <c r="D412" s="36">
        <f t="shared" ref="D412:L412" si="171">D5+D74+D142+D210+D279+D346</f>
        <v>10182279.979999999</v>
      </c>
      <c r="E412" s="36">
        <f t="shared" si="171"/>
        <v>1562777.01</v>
      </c>
      <c r="F412" s="36">
        <f t="shared" si="171"/>
        <v>11745056.989999998</v>
      </c>
      <c r="G412" s="36">
        <f t="shared" si="171"/>
        <v>849799.98</v>
      </c>
      <c r="H412" s="36">
        <f t="shared" si="171"/>
        <v>0</v>
      </c>
      <c r="I412" s="36">
        <f t="shared" si="171"/>
        <v>0</v>
      </c>
      <c r="J412" s="36">
        <f t="shared" si="171"/>
        <v>0</v>
      </c>
      <c r="K412" s="36">
        <f t="shared" si="171"/>
        <v>12594856.969999999</v>
      </c>
      <c r="L412" s="36">
        <f t="shared" si="171"/>
        <v>771661</v>
      </c>
    </row>
    <row r="413" spans="1:12">
      <c r="A413" s="96"/>
      <c r="B413" s="97"/>
      <c r="C413" s="37" t="s">
        <v>17</v>
      </c>
      <c r="D413" s="36">
        <f t="shared" ref="D413:L413" si="172">D6+D75+D143+D211+D280+D347</f>
        <v>9486014.1600000001</v>
      </c>
      <c r="E413" s="36">
        <f t="shared" si="172"/>
        <v>1429625.83</v>
      </c>
      <c r="F413" s="36">
        <f t="shared" si="172"/>
        <v>10915639.99</v>
      </c>
      <c r="G413" s="36">
        <f t="shared" si="172"/>
        <v>849799.98</v>
      </c>
      <c r="H413" s="36">
        <f t="shared" si="172"/>
        <v>0</v>
      </c>
      <c r="I413" s="36">
        <f t="shared" si="172"/>
        <v>0</v>
      </c>
      <c r="J413" s="36">
        <f t="shared" si="172"/>
        <v>0</v>
      </c>
      <c r="K413" s="36">
        <f t="shared" si="172"/>
        <v>11765439.969999999</v>
      </c>
      <c r="L413" s="36">
        <f t="shared" si="172"/>
        <v>771661</v>
      </c>
    </row>
    <row r="414" spans="1:12">
      <c r="A414" s="96"/>
      <c r="B414" s="97" t="s">
        <v>18</v>
      </c>
      <c r="C414" s="35" t="s">
        <v>15</v>
      </c>
      <c r="D414" s="36">
        <f t="shared" ref="D414:L414" si="173">D7+D76+D144+D212+D281+D348</f>
        <v>9464377.6400000006</v>
      </c>
      <c r="E414" s="36">
        <f t="shared" si="173"/>
        <v>1531727.9</v>
      </c>
      <c r="F414" s="36">
        <f t="shared" si="173"/>
        <v>10996105.539999999</v>
      </c>
      <c r="G414" s="36">
        <f t="shared" si="173"/>
        <v>1002319.0800000001</v>
      </c>
      <c r="H414" s="36">
        <f t="shared" si="173"/>
        <v>0</v>
      </c>
      <c r="I414" s="36">
        <f t="shared" si="173"/>
        <v>0</v>
      </c>
      <c r="J414" s="36">
        <f t="shared" si="173"/>
        <v>0</v>
      </c>
      <c r="K414" s="36">
        <f t="shared" si="173"/>
        <v>11998424.619999999</v>
      </c>
      <c r="L414" s="36">
        <f t="shared" si="173"/>
        <v>723239</v>
      </c>
    </row>
    <row r="415" spans="1:12">
      <c r="A415" s="96"/>
      <c r="B415" s="97"/>
      <c r="C415" s="35" t="s">
        <v>16</v>
      </c>
      <c r="D415" s="36">
        <f t="shared" ref="D415:L415" si="174">D8+D77+D145+D213+D282+D349</f>
        <v>9629394.7300000004</v>
      </c>
      <c r="E415" s="36">
        <f t="shared" si="174"/>
        <v>1574412.69</v>
      </c>
      <c r="F415" s="36">
        <f t="shared" si="174"/>
        <v>11203807.42</v>
      </c>
      <c r="G415" s="36">
        <f t="shared" si="174"/>
        <v>981149.98</v>
      </c>
      <c r="H415" s="36">
        <f t="shared" si="174"/>
        <v>0</v>
      </c>
      <c r="I415" s="36">
        <f t="shared" si="174"/>
        <v>0</v>
      </c>
      <c r="J415" s="36">
        <f t="shared" si="174"/>
        <v>0</v>
      </c>
      <c r="K415" s="36">
        <f t="shared" si="174"/>
        <v>12184957.4</v>
      </c>
      <c r="L415" s="36">
        <f t="shared" si="174"/>
        <v>723239</v>
      </c>
    </row>
    <row r="416" spans="1:12">
      <c r="A416" s="96"/>
      <c r="B416" s="97"/>
      <c r="C416" s="37" t="s">
        <v>17</v>
      </c>
      <c r="D416" s="36">
        <f t="shared" ref="D416:L416" si="175">D9+D78+D146+D214+D283+D350</f>
        <v>9110167.3100000005</v>
      </c>
      <c r="E416" s="36">
        <f t="shared" si="175"/>
        <v>1531625.27</v>
      </c>
      <c r="F416" s="36">
        <f t="shared" si="175"/>
        <v>10641792.58</v>
      </c>
      <c r="G416" s="36">
        <f t="shared" si="175"/>
        <v>981149.98</v>
      </c>
      <c r="H416" s="36">
        <f t="shared" si="175"/>
        <v>0</v>
      </c>
      <c r="I416" s="36">
        <f t="shared" si="175"/>
        <v>0</v>
      </c>
      <c r="J416" s="36">
        <f t="shared" si="175"/>
        <v>0</v>
      </c>
      <c r="K416" s="36">
        <f t="shared" si="175"/>
        <v>11622942.559999999</v>
      </c>
      <c r="L416" s="36">
        <f t="shared" si="175"/>
        <v>723239</v>
      </c>
    </row>
    <row r="417" spans="1:13">
      <c r="A417" s="96"/>
      <c r="B417" s="97" t="s">
        <v>19</v>
      </c>
      <c r="C417" s="35" t="s">
        <v>15</v>
      </c>
      <c r="D417" s="36">
        <f t="shared" ref="D417:L417" si="176">D10+D79+D147+D215+D284+D351</f>
        <v>10175096.880000001</v>
      </c>
      <c r="E417" s="36">
        <f t="shared" si="176"/>
        <v>1678072.31</v>
      </c>
      <c r="F417" s="36">
        <f t="shared" si="176"/>
        <v>11853169.189999999</v>
      </c>
      <c r="G417" s="36">
        <f t="shared" si="176"/>
        <v>1154563.54</v>
      </c>
      <c r="H417" s="36">
        <f t="shared" si="176"/>
        <v>0</v>
      </c>
      <c r="I417" s="36">
        <f t="shared" si="176"/>
        <v>0</v>
      </c>
      <c r="J417" s="36">
        <f t="shared" si="176"/>
        <v>0</v>
      </c>
      <c r="K417" s="36">
        <f t="shared" si="176"/>
        <v>13007732.73</v>
      </c>
      <c r="L417" s="36">
        <f t="shared" si="176"/>
        <v>792033</v>
      </c>
    </row>
    <row r="418" spans="1:13">
      <c r="A418" s="96"/>
      <c r="B418" s="97"/>
      <c r="C418" s="35" t="s">
        <v>16</v>
      </c>
      <c r="D418" s="36">
        <f t="shared" ref="D418:L418" si="177">D11+D80+D148+D216+D285+D352</f>
        <v>11394799.84</v>
      </c>
      <c r="E418" s="36">
        <f t="shared" si="177"/>
        <v>1828548.03</v>
      </c>
      <c r="F418" s="36">
        <f t="shared" si="177"/>
        <v>13223347.870000001</v>
      </c>
      <c r="G418" s="36">
        <f t="shared" si="177"/>
        <v>1175428.5099999998</v>
      </c>
      <c r="H418" s="36">
        <f t="shared" si="177"/>
        <v>0</v>
      </c>
      <c r="I418" s="36">
        <f t="shared" si="177"/>
        <v>0</v>
      </c>
      <c r="J418" s="36">
        <f t="shared" si="177"/>
        <v>0</v>
      </c>
      <c r="K418" s="36">
        <f t="shared" si="177"/>
        <v>14398776.380000001</v>
      </c>
      <c r="L418" s="36">
        <f t="shared" si="177"/>
        <v>792033</v>
      </c>
    </row>
    <row r="419" spans="1:13">
      <c r="A419" s="96"/>
      <c r="B419" s="97"/>
      <c r="C419" s="37" t="s">
        <v>17</v>
      </c>
      <c r="D419" s="36">
        <f t="shared" ref="D419:L419" si="178">D12+D81+D149+D217+D286+D353</f>
        <v>10173950.91</v>
      </c>
      <c r="E419" s="36">
        <f t="shared" si="178"/>
        <v>1696811.73</v>
      </c>
      <c r="F419" s="36">
        <f t="shared" si="178"/>
        <v>11870762.639999999</v>
      </c>
      <c r="G419" s="36">
        <f t="shared" si="178"/>
        <v>1153589.78</v>
      </c>
      <c r="H419" s="36">
        <f t="shared" si="178"/>
        <v>0</v>
      </c>
      <c r="I419" s="36">
        <f t="shared" si="178"/>
        <v>0</v>
      </c>
      <c r="J419" s="36">
        <f t="shared" si="178"/>
        <v>0</v>
      </c>
      <c r="K419" s="36">
        <f t="shared" si="178"/>
        <v>13024352.42</v>
      </c>
      <c r="L419" s="36">
        <f t="shared" si="178"/>
        <v>792033</v>
      </c>
    </row>
    <row r="420" spans="1:13">
      <c r="A420" s="96"/>
      <c r="B420" s="98" t="s">
        <v>20</v>
      </c>
      <c r="C420" s="35" t="s">
        <v>15</v>
      </c>
      <c r="D420" s="36">
        <f t="shared" ref="D420:L420" si="179">D13+D82+D150+D218+D287+D354</f>
        <v>29189353.640000001</v>
      </c>
      <c r="E420" s="36">
        <f t="shared" si="179"/>
        <v>4639528.67</v>
      </c>
      <c r="F420" s="36">
        <f t="shared" si="179"/>
        <v>33828882.310000002</v>
      </c>
      <c r="G420" s="36">
        <f t="shared" si="179"/>
        <v>3008334.55</v>
      </c>
      <c r="H420" s="36">
        <f t="shared" si="179"/>
        <v>415130</v>
      </c>
      <c r="I420" s="36">
        <f t="shared" si="179"/>
        <v>0</v>
      </c>
      <c r="J420" s="36">
        <f t="shared" si="179"/>
        <v>0</v>
      </c>
      <c r="K420" s="36">
        <f t="shared" si="179"/>
        <v>36837216.859999999</v>
      </c>
      <c r="L420" s="36">
        <f t="shared" si="179"/>
        <v>2323651</v>
      </c>
    </row>
    <row r="421" spans="1:13">
      <c r="A421" s="96"/>
      <c r="B421" s="98"/>
      <c r="C421" s="35" t="s">
        <v>16</v>
      </c>
      <c r="D421" s="36">
        <f t="shared" ref="D421:L421" si="180">D14+D83+D151+D219+D288+D355</f>
        <v>31206474.550000004</v>
      </c>
      <c r="E421" s="36">
        <f t="shared" si="180"/>
        <v>4965737.7299999995</v>
      </c>
      <c r="F421" s="36">
        <f t="shared" si="180"/>
        <v>36172212.280000001</v>
      </c>
      <c r="G421" s="36">
        <f t="shared" si="180"/>
        <v>3006378.4699999997</v>
      </c>
      <c r="H421" s="36">
        <f t="shared" si="180"/>
        <v>191843.67</v>
      </c>
      <c r="I421" s="36">
        <f t="shared" si="180"/>
        <v>0</v>
      </c>
      <c r="J421" s="36">
        <f t="shared" si="180"/>
        <v>0</v>
      </c>
      <c r="K421" s="36">
        <f t="shared" si="180"/>
        <v>39178590.75</v>
      </c>
      <c r="L421" s="36">
        <f t="shared" si="180"/>
        <v>2298439</v>
      </c>
    </row>
    <row r="422" spans="1:13">
      <c r="A422" s="96"/>
      <c r="B422" s="98"/>
      <c r="C422" s="37" t="s">
        <v>17</v>
      </c>
      <c r="D422" s="36">
        <f t="shared" ref="D422:L422" si="181">D15+D84+D152+D220+D289+D356</f>
        <v>28770132.379999999</v>
      </c>
      <c r="E422" s="36">
        <f t="shared" si="181"/>
        <v>4658062.83</v>
      </c>
      <c r="F422" s="36">
        <f t="shared" si="181"/>
        <v>33428195.209999997</v>
      </c>
      <c r="G422" s="36">
        <f t="shared" si="181"/>
        <v>2984539.7399999998</v>
      </c>
      <c r="H422" s="36">
        <f t="shared" si="181"/>
        <v>191843.67</v>
      </c>
      <c r="I422" s="36">
        <f t="shared" si="181"/>
        <v>0</v>
      </c>
      <c r="J422" s="36">
        <f t="shared" si="181"/>
        <v>0</v>
      </c>
      <c r="K422" s="36">
        <f t="shared" si="181"/>
        <v>36412734.950000003</v>
      </c>
      <c r="L422" s="36">
        <f t="shared" si="181"/>
        <v>2298439</v>
      </c>
      <c r="M422" s="38"/>
    </row>
    <row r="423" spans="1:13">
      <c r="A423" s="96"/>
      <c r="B423" s="98"/>
      <c r="C423" s="37" t="s">
        <v>41</v>
      </c>
      <c r="D423" s="36">
        <f t="shared" ref="D423:L423" si="182">D16+D85+D153+D221+D290+D357</f>
        <v>31313589.390000001</v>
      </c>
      <c r="E423" s="36">
        <f t="shared" si="182"/>
        <v>4946910.34</v>
      </c>
      <c r="F423" s="36">
        <f t="shared" si="182"/>
        <v>36260499.729999997</v>
      </c>
      <c r="G423" s="36">
        <f t="shared" si="182"/>
        <v>3008334.55</v>
      </c>
      <c r="H423" s="36">
        <f t="shared" si="182"/>
        <v>223286.33</v>
      </c>
      <c r="I423" s="36">
        <f t="shared" si="182"/>
        <v>0</v>
      </c>
      <c r="J423" s="36">
        <f t="shared" si="182"/>
        <v>0</v>
      </c>
      <c r="K423" s="36">
        <f t="shared" si="182"/>
        <v>39268834.279999994</v>
      </c>
      <c r="L423" s="36">
        <f t="shared" si="182"/>
        <v>2323651</v>
      </c>
      <c r="M423" s="38"/>
    </row>
    <row r="424" spans="1:13">
      <c r="A424" s="96"/>
      <c r="B424" s="98"/>
      <c r="C424" s="37" t="s">
        <v>43</v>
      </c>
      <c r="D424" s="36">
        <f t="shared" ref="D424:L424" si="183">D17+D86+D154+D222+D291+D358</f>
        <v>417812.27999999997</v>
      </c>
      <c r="E424" s="36">
        <f t="shared" si="183"/>
        <v>-18534.16</v>
      </c>
      <c r="F424" s="36">
        <f t="shared" si="183"/>
        <v>399278.12</v>
      </c>
      <c r="G424" s="36">
        <f t="shared" si="183"/>
        <v>23794.81</v>
      </c>
      <c r="H424" s="36">
        <f t="shared" si="183"/>
        <v>223286.33</v>
      </c>
      <c r="I424" s="36">
        <f t="shared" si="183"/>
        <v>0</v>
      </c>
      <c r="J424" s="36">
        <f t="shared" si="183"/>
        <v>0</v>
      </c>
      <c r="K424" s="36">
        <f t="shared" si="183"/>
        <v>423072.93</v>
      </c>
      <c r="L424" s="36">
        <f t="shared" si="183"/>
        <v>415976</v>
      </c>
      <c r="M424" s="38"/>
    </row>
    <row r="425" spans="1:13">
      <c r="A425" s="96"/>
      <c r="B425" s="98"/>
      <c r="C425" s="37" t="s">
        <v>23</v>
      </c>
      <c r="D425" s="36">
        <f t="shared" ref="D425:L425" si="184">D18+D87+D155+D223+D292+D359</f>
        <v>29187944.66</v>
      </c>
      <c r="E425" s="36">
        <f t="shared" si="184"/>
        <v>4639528.67</v>
      </c>
      <c r="F425" s="36">
        <f t="shared" si="184"/>
        <v>33827473.329999998</v>
      </c>
      <c r="G425" s="36">
        <f t="shared" si="184"/>
        <v>3008334.55</v>
      </c>
      <c r="H425" s="36">
        <f t="shared" si="184"/>
        <v>415130</v>
      </c>
      <c r="I425" s="36">
        <f t="shared" si="184"/>
        <v>0</v>
      </c>
      <c r="J425" s="36">
        <f t="shared" si="184"/>
        <v>0</v>
      </c>
      <c r="K425" s="36">
        <f t="shared" si="184"/>
        <v>36835807.879999995</v>
      </c>
      <c r="L425" s="36">
        <f t="shared" si="184"/>
        <v>2323651</v>
      </c>
      <c r="M425" s="38"/>
    </row>
    <row r="426" spans="1:13">
      <c r="A426" s="96"/>
      <c r="B426" s="99" t="s">
        <v>24</v>
      </c>
      <c r="C426" s="35" t="s">
        <v>15</v>
      </c>
      <c r="D426" s="36">
        <f t="shared" ref="D426:L426" si="185">D19+D88+D156+D224+D293+D360</f>
        <v>9041219.9800000023</v>
      </c>
      <c r="E426" s="36">
        <f t="shared" si="185"/>
        <v>1553823.29</v>
      </c>
      <c r="F426" s="36">
        <f t="shared" si="185"/>
        <v>10595043.27</v>
      </c>
      <c r="G426" s="36">
        <f t="shared" si="185"/>
        <v>987044.16999999993</v>
      </c>
      <c r="H426" s="36">
        <f t="shared" si="185"/>
        <v>0</v>
      </c>
      <c r="I426" s="36">
        <f t="shared" si="185"/>
        <v>0</v>
      </c>
      <c r="J426" s="36">
        <f t="shared" si="185"/>
        <v>0</v>
      </c>
      <c r="K426" s="36">
        <f t="shared" si="185"/>
        <v>11582087.439999999</v>
      </c>
      <c r="L426" s="36">
        <f t="shared" si="185"/>
        <v>689799</v>
      </c>
    </row>
    <row r="427" spans="1:13">
      <c r="A427" s="96"/>
      <c r="B427" s="99"/>
      <c r="C427" s="35" t="s">
        <v>16</v>
      </c>
      <c r="D427" s="36">
        <f t="shared" ref="D427:L427" si="186">D20+D89+D157+D225+D294+D361</f>
        <v>9235191</v>
      </c>
      <c r="E427" s="36">
        <f t="shared" si="186"/>
        <v>1665150.08</v>
      </c>
      <c r="F427" s="36">
        <f t="shared" si="186"/>
        <v>10900341.08</v>
      </c>
      <c r="G427" s="36">
        <f t="shared" si="186"/>
        <v>883086.01</v>
      </c>
      <c r="H427" s="36">
        <f t="shared" si="186"/>
        <v>0</v>
      </c>
      <c r="I427" s="36">
        <f t="shared" si="186"/>
        <v>0</v>
      </c>
      <c r="J427" s="36">
        <f t="shared" si="186"/>
        <v>0</v>
      </c>
      <c r="K427" s="36">
        <f t="shared" si="186"/>
        <v>11783427.090000002</v>
      </c>
      <c r="L427" s="36">
        <f t="shared" si="186"/>
        <v>689799</v>
      </c>
    </row>
    <row r="428" spans="1:13">
      <c r="A428" s="96"/>
      <c r="B428" s="99"/>
      <c r="C428" s="37" t="s">
        <v>17</v>
      </c>
      <c r="D428" s="36">
        <f t="shared" ref="D428:L428" si="187">D21+D90+D158+D226+D295+D362</f>
        <v>9038655.4900000002</v>
      </c>
      <c r="E428" s="36">
        <f t="shared" si="187"/>
        <v>1553720.6600000001</v>
      </c>
      <c r="F428" s="36">
        <f t="shared" si="187"/>
        <v>10592376.15</v>
      </c>
      <c r="G428" s="36">
        <f t="shared" si="187"/>
        <v>883086.01</v>
      </c>
      <c r="H428" s="36">
        <f t="shared" si="187"/>
        <v>0</v>
      </c>
      <c r="I428" s="36">
        <f t="shared" si="187"/>
        <v>0</v>
      </c>
      <c r="J428" s="36">
        <f t="shared" si="187"/>
        <v>0</v>
      </c>
      <c r="K428" s="36">
        <f t="shared" si="187"/>
        <v>11475462.160000002</v>
      </c>
      <c r="L428" s="36">
        <f t="shared" si="187"/>
        <v>689799</v>
      </c>
    </row>
    <row r="429" spans="1:13">
      <c r="A429" s="96"/>
      <c r="B429" s="99" t="s">
        <v>25</v>
      </c>
      <c r="C429" s="35" t="s">
        <v>15</v>
      </c>
      <c r="D429" s="36">
        <f t="shared" ref="D429:L429" si="188">D22+D91+D159+D227+D296+D363</f>
        <v>10175096.880000001</v>
      </c>
      <c r="E429" s="36">
        <f t="shared" si="188"/>
        <v>1637019.84</v>
      </c>
      <c r="F429" s="36">
        <f t="shared" si="188"/>
        <v>11812116.720000001</v>
      </c>
      <c r="G429" s="36">
        <f t="shared" si="188"/>
        <v>1171641.1800000002</v>
      </c>
      <c r="H429" s="36">
        <f t="shared" si="188"/>
        <v>0</v>
      </c>
      <c r="I429" s="36">
        <f t="shared" si="188"/>
        <v>0</v>
      </c>
      <c r="J429" s="36">
        <f t="shared" si="188"/>
        <v>0</v>
      </c>
      <c r="K429" s="36">
        <f t="shared" si="188"/>
        <v>12983757.899999999</v>
      </c>
      <c r="L429" s="36">
        <f t="shared" si="188"/>
        <v>789151</v>
      </c>
    </row>
    <row r="430" spans="1:13">
      <c r="A430" s="96"/>
      <c r="B430" s="99"/>
      <c r="C430" s="35" t="s">
        <v>16</v>
      </c>
      <c r="D430" s="36">
        <f t="shared" ref="D430:L430" si="189">D23+D92+D160+D228+D297+D364</f>
        <v>11668191.610000001</v>
      </c>
      <c r="E430" s="36">
        <f t="shared" si="189"/>
        <v>1773997.81</v>
      </c>
      <c r="F430" s="36">
        <f t="shared" si="189"/>
        <v>13442189.42</v>
      </c>
      <c r="G430" s="36">
        <f t="shared" si="189"/>
        <v>1149477.77</v>
      </c>
      <c r="H430" s="36">
        <f t="shared" si="189"/>
        <v>0</v>
      </c>
      <c r="I430" s="36">
        <f t="shared" si="189"/>
        <v>0</v>
      </c>
      <c r="J430" s="36">
        <f t="shared" si="189"/>
        <v>0</v>
      </c>
      <c r="K430" s="36">
        <f t="shared" si="189"/>
        <v>14591667.189999999</v>
      </c>
      <c r="L430" s="36">
        <f t="shared" si="189"/>
        <v>789151</v>
      </c>
    </row>
    <row r="431" spans="1:13">
      <c r="A431" s="96"/>
      <c r="B431" s="99"/>
      <c r="C431" s="37" t="s">
        <v>17</v>
      </c>
      <c r="D431" s="36">
        <f t="shared" ref="D431:L431" si="190">D24+D93+D161+D229+D298+D365</f>
        <v>10174292.789999999</v>
      </c>
      <c r="E431" s="36">
        <f t="shared" si="190"/>
        <v>1636917.2100000002</v>
      </c>
      <c r="F431" s="36">
        <f t="shared" si="190"/>
        <v>11811210.000000002</v>
      </c>
      <c r="G431" s="36">
        <f t="shared" si="190"/>
        <v>1121942.0899999999</v>
      </c>
      <c r="H431" s="36">
        <f t="shared" si="190"/>
        <v>0</v>
      </c>
      <c r="I431" s="36">
        <f t="shared" si="190"/>
        <v>0</v>
      </c>
      <c r="J431" s="36">
        <f t="shared" si="190"/>
        <v>0</v>
      </c>
      <c r="K431" s="36">
        <f t="shared" si="190"/>
        <v>12933152.090000002</v>
      </c>
      <c r="L431" s="36">
        <f t="shared" si="190"/>
        <v>789151</v>
      </c>
    </row>
    <row r="432" spans="1:13">
      <c r="A432" s="96"/>
      <c r="B432" s="100" t="s">
        <v>26</v>
      </c>
      <c r="C432" s="35" t="s">
        <v>15</v>
      </c>
      <c r="D432" s="36">
        <f t="shared" ref="D432:L432" si="191">D25+D94+D162+D230+D299+D366</f>
        <v>9774020.4700000007</v>
      </c>
      <c r="E432" s="36">
        <f t="shared" si="191"/>
        <v>1702720.55</v>
      </c>
      <c r="F432" s="36">
        <f t="shared" si="191"/>
        <v>11476741.02</v>
      </c>
      <c r="G432" s="36">
        <f t="shared" si="191"/>
        <v>875185.93</v>
      </c>
      <c r="H432" s="36">
        <f t="shared" si="191"/>
        <v>0</v>
      </c>
      <c r="I432" s="36">
        <f t="shared" si="191"/>
        <v>0</v>
      </c>
      <c r="J432" s="36">
        <f t="shared" si="191"/>
        <v>0</v>
      </c>
      <c r="K432" s="36">
        <f t="shared" si="191"/>
        <v>12351926.949999999</v>
      </c>
      <c r="L432" s="36">
        <f t="shared" si="191"/>
        <v>757735</v>
      </c>
    </row>
    <row r="433" spans="1:13">
      <c r="A433" s="96"/>
      <c r="B433" s="100"/>
      <c r="C433" s="35" t="s">
        <v>16</v>
      </c>
      <c r="D433" s="36">
        <f t="shared" ref="D433:L433" si="192">D26+D95+D163+D231+D300+D367</f>
        <v>9450232.3299999982</v>
      </c>
      <c r="E433" s="36">
        <f t="shared" si="192"/>
        <v>1766285.89</v>
      </c>
      <c r="F433" s="36">
        <f t="shared" si="192"/>
        <v>11216518.219999999</v>
      </c>
      <c r="G433" s="36">
        <f t="shared" si="192"/>
        <v>1014765.72</v>
      </c>
      <c r="H433" s="36">
        <f t="shared" si="192"/>
        <v>0</v>
      </c>
      <c r="I433" s="36">
        <f t="shared" si="192"/>
        <v>0</v>
      </c>
      <c r="J433" s="36">
        <f t="shared" si="192"/>
        <v>0</v>
      </c>
      <c r="K433" s="36">
        <f t="shared" si="192"/>
        <v>12231283.939999999</v>
      </c>
      <c r="L433" s="36">
        <f t="shared" si="192"/>
        <v>718916</v>
      </c>
    </row>
    <row r="434" spans="1:13">
      <c r="A434" s="96"/>
      <c r="B434" s="100"/>
      <c r="C434" s="37" t="s">
        <v>17</v>
      </c>
      <c r="D434" s="36">
        <f t="shared" ref="D434:L434" si="193">D27+D96+D164+D232+D301+D368</f>
        <v>9390294.8900000006</v>
      </c>
      <c r="E434" s="36">
        <f t="shared" si="193"/>
        <v>1663248.6300000001</v>
      </c>
      <c r="F434" s="36">
        <f t="shared" si="193"/>
        <v>11053543.520000001</v>
      </c>
      <c r="G434" s="36">
        <f t="shared" si="193"/>
        <v>1008366.26</v>
      </c>
      <c r="H434" s="36">
        <f t="shared" si="193"/>
        <v>0</v>
      </c>
      <c r="I434" s="36">
        <f t="shared" si="193"/>
        <v>0</v>
      </c>
      <c r="J434" s="36">
        <f t="shared" si="193"/>
        <v>0</v>
      </c>
      <c r="K434" s="36">
        <f t="shared" si="193"/>
        <v>12061909.779999999</v>
      </c>
      <c r="L434" s="36">
        <f t="shared" si="193"/>
        <v>718916</v>
      </c>
    </row>
    <row r="435" spans="1:13">
      <c r="A435" s="96"/>
      <c r="B435" s="98" t="s">
        <v>27</v>
      </c>
      <c r="C435" s="35" t="s">
        <v>15</v>
      </c>
      <c r="D435" s="36">
        <f t="shared" ref="D435:L435" si="194">D28+D97+D165+D233+D302+D369</f>
        <v>28990337.330000002</v>
      </c>
      <c r="E435" s="36">
        <f t="shared" si="194"/>
        <v>4893563.68</v>
      </c>
      <c r="F435" s="36">
        <f t="shared" si="194"/>
        <v>33883901.009999998</v>
      </c>
      <c r="G435" s="36">
        <f t="shared" si="194"/>
        <v>3033871.2800000003</v>
      </c>
      <c r="H435" s="36">
        <f t="shared" si="194"/>
        <v>589750</v>
      </c>
      <c r="I435" s="36">
        <f t="shared" si="194"/>
        <v>0</v>
      </c>
      <c r="J435" s="36">
        <f t="shared" si="194"/>
        <v>0</v>
      </c>
      <c r="K435" s="36">
        <f t="shared" si="194"/>
        <v>37507522.290000007</v>
      </c>
      <c r="L435" s="36">
        <f t="shared" si="194"/>
        <v>2236685</v>
      </c>
    </row>
    <row r="436" spans="1:13">
      <c r="A436" s="96"/>
      <c r="B436" s="98"/>
      <c r="C436" s="35" t="s">
        <v>16</v>
      </c>
      <c r="D436" s="36">
        <f t="shared" ref="D436:L436" si="195">D29+D98+D166+D234+D303+D370</f>
        <v>30353614.940000001</v>
      </c>
      <c r="E436" s="36">
        <f t="shared" si="195"/>
        <v>5205433.78</v>
      </c>
      <c r="F436" s="36">
        <f t="shared" si="195"/>
        <v>35559048.719999999</v>
      </c>
      <c r="G436" s="36">
        <f t="shared" si="195"/>
        <v>3047329.5</v>
      </c>
      <c r="H436" s="36">
        <f t="shared" si="195"/>
        <v>589750</v>
      </c>
      <c r="I436" s="36">
        <f t="shared" si="195"/>
        <v>0</v>
      </c>
      <c r="J436" s="36">
        <f t="shared" si="195"/>
        <v>0</v>
      </c>
      <c r="K436" s="36">
        <f t="shared" si="195"/>
        <v>39196128.219999999</v>
      </c>
      <c r="L436" s="36">
        <f t="shared" si="195"/>
        <v>2197866</v>
      </c>
    </row>
    <row r="437" spans="1:13">
      <c r="A437" s="96"/>
      <c r="B437" s="98"/>
      <c r="C437" s="37" t="s">
        <v>17</v>
      </c>
      <c r="D437" s="36">
        <f t="shared" ref="D437:L437" si="196">D30+D99+D167+D235+D304+D371</f>
        <v>28603243.170000002</v>
      </c>
      <c r="E437" s="36">
        <f t="shared" si="196"/>
        <v>4853886.5</v>
      </c>
      <c r="F437" s="36">
        <f t="shared" si="196"/>
        <v>33457129.670000002</v>
      </c>
      <c r="G437" s="36">
        <f t="shared" si="196"/>
        <v>3013394.36</v>
      </c>
      <c r="H437" s="36">
        <f t="shared" si="196"/>
        <v>589750</v>
      </c>
      <c r="I437" s="36">
        <f t="shared" si="196"/>
        <v>0</v>
      </c>
      <c r="J437" s="36">
        <f t="shared" si="196"/>
        <v>0</v>
      </c>
      <c r="K437" s="36">
        <f t="shared" si="196"/>
        <v>37060274.030000001</v>
      </c>
      <c r="L437" s="36">
        <f t="shared" si="196"/>
        <v>2197866</v>
      </c>
    </row>
    <row r="438" spans="1:13">
      <c r="A438" s="96"/>
      <c r="B438" s="101" t="s">
        <v>29</v>
      </c>
      <c r="C438" s="35" t="s">
        <v>15</v>
      </c>
      <c r="D438" s="36">
        <f t="shared" ref="D438:L438" si="197">D32+D100+D168+D236+D305+D373</f>
        <v>58179690.969999999</v>
      </c>
      <c r="E438" s="36">
        <f t="shared" si="197"/>
        <v>9533092.3499999996</v>
      </c>
      <c r="F438" s="36">
        <f t="shared" si="197"/>
        <v>67712783.320000008</v>
      </c>
      <c r="G438" s="36">
        <f t="shared" si="197"/>
        <v>6042205.8299999991</v>
      </c>
      <c r="H438" s="36">
        <f t="shared" si="197"/>
        <v>1004880</v>
      </c>
      <c r="I438" s="36">
        <f t="shared" si="197"/>
        <v>0</v>
      </c>
      <c r="J438" s="36">
        <f t="shared" si="197"/>
        <v>0</v>
      </c>
      <c r="K438" s="36">
        <f t="shared" si="197"/>
        <v>74759869.149999991</v>
      </c>
      <c r="L438" s="36">
        <f t="shared" si="197"/>
        <v>4559478</v>
      </c>
    </row>
    <row r="439" spans="1:13">
      <c r="A439" s="96"/>
      <c r="B439" s="101"/>
      <c r="C439" s="35" t="s">
        <v>16</v>
      </c>
      <c r="D439" s="36">
        <f>D423+D436</f>
        <v>61667204.329999998</v>
      </c>
      <c r="E439" s="36">
        <f>E423+E436</f>
        <v>10152344.120000001</v>
      </c>
      <c r="F439" s="36">
        <f>F423+F436</f>
        <v>71819548.449999988</v>
      </c>
      <c r="G439" s="36">
        <f>G423+G436</f>
        <v>6055664.0499999998</v>
      </c>
      <c r="H439" s="36">
        <f t="shared" ref="H439:L440" si="198">H33+H101+H169+H237+H306+H374</f>
        <v>1004880</v>
      </c>
      <c r="I439" s="36">
        <f t="shared" si="198"/>
        <v>0</v>
      </c>
      <c r="J439" s="36">
        <f t="shared" si="198"/>
        <v>0</v>
      </c>
      <c r="K439" s="36">
        <f t="shared" si="198"/>
        <v>78464962.499999985</v>
      </c>
      <c r="L439" s="36">
        <f t="shared" si="198"/>
        <v>4521517</v>
      </c>
      <c r="M439" s="38"/>
    </row>
    <row r="440" spans="1:13">
      <c r="A440" s="96"/>
      <c r="B440" s="101"/>
      <c r="C440" s="37" t="s">
        <v>17</v>
      </c>
      <c r="D440" s="36">
        <f>D425+D437</f>
        <v>57791187.829999998</v>
      </c>
      <c r="E440" s="36">
        <f>E425+E437</f>
        <v>9493415.1699999999</v>
      </c>
      <c r="F440" s="36">
        <f>F425+F437</f>
        <v>67284603</v>
      </c>
      <c r="G440" s="36">
        <f>G425+G437</f>
        <v>6021728.9100000001</v>
      </c>
      <c r="H440" s="36">
        <f t="shared" si="198"/>
        <v>1004880</v>
      </c>
      <c r="I440" s="36">
        <f t="shared" si="198"/>
        <v>0</v>
      </c>
      <c r="J440" s="36">
        <f t="shared" si="198"/>
        <v>0</v>
      </c>
      <c r="K440" s="36">
        <f t="shared" si="198"/>
        <v>74119368.239999995</v>
      </c>
      <c r="L440" s="36">
        <f t="shared" si="198"/>
        <v>4521517</v>
      </c>
    </row>
    <row r="441" spans="1:13">
      <c r="A441" s="96"/>
      <c r="B441" s="97"/>
      <c r="C441" s="37" t="s">
        <v>41</v>
      </c>
      <c r="D441" s="36">
        <f t="shared" ref="D441:G455" si="199">D35+D103+D171+D239+D308+D376</f>
        <v>61779318.75</v>
      </c>
      <c r="E441" s="36">
        <f t="shared" si="199"/>
        <v>10191728.050000001</v>
      </c>
      <c r="F441" s="36">
        <f t="shared" si="199"/>
        <v>71971046.799999982</v>
      </c>
      <c r="G441" s="36">
        <f t="shared" si="199"/>
        <v>6042205.8299999991</v>
      </c>
      <c r="H441" s="36">
        <v>1004880</v>
      </c>
      <c r="I441" s="36">
        <f>I35+I103+I171+I239+I308+I376</f>
        <v>864025.12</v>
      </c>
      <c r="J441" s="36">
        <f>J35+J103+J171+J239+J308+J376</f>
        <v>864025.12</v>
      </c>
      <c r="K441" s="36">
        <f>K35+K103+K171+K239+K308+K376</f>
        <v>79018132.629999995</v>
      </c>
      <c r="L441" s="36">
        <f>L35+L103+L171+L239+L308+L376</f>
        <v>4559478</v>
      </c>
      <c r="M441" s="38"/>
    </row>
    <row r="442" spans="1:13">
      <c r="A442" s="96"/>
      <c r="B442" s="97"/>
      <c r="C442" s="37" t="s">
        <v>43</v>
      </c>
      <c r="D442" s="36">
        <f t="shared" si="199"/>
        <v>388503.14</v>
      </c>
      <c r="E442" s="36">
        <f t="shared" si="199"/>
        <v>39677.18</v>
      </c>
      <c r="F442" s="36">
        <f t="shared" si="199"/>
        <v>428180.32</v>
      </c>
      <c r="G442" s="36">
        <f t="shared" si="199"/>
        <v>20476.920000000002</v>
      </c>
      <c r="H442" s="36">
        <f t="shared" ref="H442:J455" si="200">H36+H104+H172+H240+H309+H377</f>
        <v>0</v>
      </c>
      <c r="I442" s="36">
        <f t="shared" si="200"/>
        <v>0</v>
      </c>
      <c r="J442" s="36">
        <f t="shared" si="200"/>
        <v>0</v>
      </c>
      <c r="K442" s="36">
        <f>F442+G442</f>
        <v>448657.24</v>
      </c>
      <c r="L442" s="36">
        <f t="shared" ref="L442:L455" si="201">L36+L104+L172+L240+L309+L377</f>
        <v>37961</v>
      </c>
    </row>
    <row r="443" spans="1:13">
      <c r="A443" s="96"/>
      <c r="B443" s="97"/>
      <c r="C443" s="37" t="s">
        <v>23</v>
      </c>
      <c r="D443" s="36">
        <f t="shared" si="199"/>
        <v>58179690.970000006</v>
      </c>
      <c r="E443" s="36">
        <f t="shared" si="199"/>
        <v>9533092.3499999996</v>
      </c>
      <c r="F443" s="36">
        <f t="shared" si="199"/>
        <v>67712783.320000008</v>
      </c>
      <c r="G443" s="36">
        <f t="shared" si="199"/>
        <v>6042205.8299999991</v>
      </c>
      <c r="H443" s="36">
        <f t="shared" si="200"/>
        <v>1004880</v>
      </c>
      <c r="I443" s="36">
        <f t="shared" si="200"/>
        <v>0</v>
      </c>
      <c r="J443" s="36">
        <f t="shared" si="200"/>
        <v>0</v>
      </c>
      <c r="K443" s="36">
        <f t="shared" ref="K443:K454" si="202">K37+K105+K173+K241+K310+K378</f>
        <v>74759869.149999991</v>
      </c>
      <c r="L443" s="36">
        <f t="shared" si="201"/>
        <v>4559478</v>
      </c>
    </row>
    <row r="444" spans="1:13">
      <c r="A444" s="96"/>
      <c r="B444" s="102" t="s">
        <v>30</v>
      </c>
      <c r="C444" s="35" t="s">
        <v>15</v>
      </c>
      <c r="D444" s="36">
        <f t="shared" si="199"/>
        <v>9846628.6099999994</v>
      </c>
      <c r="E444" s="36">
        <f t="shared" si="199"/>
        <v>1586932.6099999999</v>
      </c>
      <c r="F444" s="36">
        <f t="shared" si="199"/>
        <v>11433561.220000001</v>
      </c>
      <c r="G444" s="36">
        <f t="shared" si="199"/>
        <v>1032032</v>
      </c>
      <c r="H444" s="36">
        <f t="shared" si="200"/>
        <v>0</v>
      </c>
      <c r="I444" s="36">
        <f t="shared" si="200"/>
        <v>0</v>
      </c>
      <c r="J444" s="36">
        <f t="shared" si="200"/>
        <v>0</v>
      </c>
      <c r="K444" s="36">
        <f t="shared" si="202"/>
        <v>12465593.220000001</v>
      </c>
      <c r="L444" s="36">
        <f t="shared" si="201"/>
        <v>717332</v>
      </c>
    </row>
    <row r="445" spans="1:13">
      <c r="A445" s="96"/>
      <c r="B445" s="102"/>
      <c r="C445" s="35" t="s">
        <v>16</v>
      </c>
      <c r="D445" s="36">
        <f t="shared" si="199"/>
        <v>9825460.0699999984</v>
      </c>
      <c r="E445" s="36">
        <f t="shared" si="199"/>
        <v>1685548.08</v>
      </c>
      <c r="F445" s="36">
        <f t="shared" si="199"/>
        <v>11511008.15</v>
      </c>
      <c r="G445" s="36">
        <f t="shared" si="199"/>
        <v>1032012</v>
      </c>
      <c r="H445" s="36">
        <f t="shared" si="200"/>
        <v>0</v>
      </c>
      <c r="I445" s="36">
        <f t="shared" si="200"/>
        <v>0</v>
      </c>
      <c r="J445" s="36">
        <f t="shared" si="200"/>
        <v>0</v>
      </c>
      <c r="K445" s="36">
        <f t="shared" si="202"/>
        <v>12543020.15</v>
      </c>
      <c r="L445" s="36">
        <f t="shared" si="201"/>
        <v>717332</v>
      </c>
    </row>
    <row r="446" spans="1:13">
      <c r="A446" s="96"/>
      <c r="B446" s="102"/>
      <c r="C446" s="35" t="s">
        <v>17</v>
      </c>
      <c r="D446" s="36">
        <f t="shared" si="199"/>
        <v>9814884.2699999996</v>
      </c>
      <c r="E446" s="36">
        <f t="shared" si="199"/>
        <v>1586829.9700000002</v>
      </c>
      <c r="F446" s="36">
        <f t="shared" si="199"/>
        <v>11401714.24</v>
      </c>
      <c r="G446" s="36">
        <f t="shared" si="199"/>
        <v>1032012</v>
      </c>
      <c r="H446" s="36">
        <f t="shared" si="200"/>
        <v>0</v>
      </c>
      <c r="I446" s="36">
        <f t="shared" si="200"/>
        <v>0</v>
      </c>
      <c r="J446" s="36">
        <f t="shared" si="200"/>
        <v>0</v>
      </c>
      <c r="K446" s="36">
        <f t="shared" si="202"/>
        <v>12433726.24</v>
      </c>
      <c r="L446" s="36">
        <f t="shared" si="201"/>
        <v>717332</v>
      </c>
    </row>
    <row r="447" spans="1:13">
      <c r="A447" s="96"/>
      <c r="B447" s="102" t="s">
        <v>31</v>
      </c>
      <c r="C447" s="35" t="s">
        <v>15</v>
      </c>
      <c r="D447" s="36">
        <f t="shared" si="199"/>
        <v>10427049.170000002</v>
      </c>
      <c r="E447" s="36">
        <f t="shared" si="199"/>
        <v>1560534.48</v>
      </c>
      <c r="F447" s="36">
        <f t="shared" si="199"/>
        <v>11987583.65</v>
      </c>
      <c r="G447" s="36">
        <f t="shared" si="199"/>
        <v>1035389</v>
      </c>
      <c r="H447" s="36">
        <f t="shared" si="200"/>
        <v>0</v>
      </c>
      <c r="I447" s="36">
        <f t="shared" si="200"/>
        <v>0</v>
      </c>
      <c r="J447" s="36">
        <f t="shared" si="200"/>
        <v>0</v>
      </c>
      <c r="K447" s="36">
        <f t="shared" si="202"/>
        <v>13022972.65</v>
      </c>
      <c r="L447" s="36">
        <f t="shared" si="201"/>
        <v>749430</v>
      </c>
    </row>
    <row r="448" spans="1:13">
      <c r="A448" s="96"/>
      <c r="B448" s="102"/>
      <c r="C448" s="35" t="s">
        <v>16</v>
      </c>
      <c r="D448" s="36">
        <f t="shared" si="199"/>
        <v>10420080.33</v>
      </c>
      <c r="E448" s="36">
        <f t="shared" si="199"/>
        <v>1650236.44</v>
      </c>
      <c r="F448" s="36">
        <f t="shared" si="199"/>
        <v>12070316.77</v>
      </c>
      <c r="G448" s="36">
        <f t="shared" si="199"/>
        <v>1035389</v>
      </c>
      <c r="H448" s="36">
        <f t="shared" si="200"/>
        <v>0</v>
      </c>
      <c r="I448" s="36">
        <f t="shared" si="200"/>
        <v>0</v>
      </c>
      <c r="J448" s="36">
        <f t="shared" si="200"/>
        <v>0</v>
      </c>
      <c r="K448" s="36">
        <f t="shared" si="202"/>
        <v>13105705.77</v>
      </c>
      <c r="L448" s="36">
        <f t="shared" si="201"/>
        <v>749430</v>
      </c>
    </row>
    <row r="449" spans="1:12">
      <c r="A449" s="96"/>
      <c r="B449" s="102"/>
      <c r="C449" s="35" t="s">
        <v>17</v>
      </c>
      <c r="D449" s="36">
        <f t="shared" si="199"/>
        <v>10420080.33</v>
      </c>
      <c r="E449" s="36">
        <f t="shared" si="199"/>
        <v>1560431.8399999999</v>
      </c>
      <c r="F449" s="36">
        <f t="shared" si="199"/>
        <v>11980512.17</v>
      </c>
      <c r="G449" s="36">
        <f t="shared" si="199"/>
        <v>1035389</v>
      </c>
      <c r="H449" s="36">
        <f t="shared" si="200"/>
        <v>0</v>
      </c>
      <c r="I449" s="36">
        <f t="shared" si="200"/>
        <v>0</v>
      </c>
      <c r="J449" s="36">
        <f t="shared" si="200"/>
        <v>0</v>
      </c>
      <c r="K449" s="36">
        <f t="shared" si="202"/>
        <v>13015901.17</v>
      </c>
      <c r="L449" s="36">
        <f t="shared" si="201"/>
        <v>749430</v>
      </c>
    </row>
    <row r="450" spans="1:12">
      <c r="A450" s="96"/>
      <c r="B450" s="102" t="s">
        <v>32</v>
      </c>
      <c r="C450" s="35" t="s">
        <v>15</v>
      </c>
      <c r="D450" s="36">
        <f t="shared" si="199"/>
        <v>9912149.1599999983</v>
      </c>
      <c r="E450" s="36">
        <f t="shared" si="199"/>
        <v>1473598.88</v>
      </c>
      <c r="F450" s="36">
        <f t="shared" si="199"/>
        <v>11385748.039999999</v>
      </c>
      <c r="G450" s="36">
        <f t="shared" si="199"/>
        <v>1029523</v>
      </c>
      <c r="H450" s="36">
        <f t="shared" si="200"/>
        <v>0</v>
      </c>
      <c r="I450" s="36">
        <f t="shared" si="200"/>
        <v>0</v>
      </c>
      <c r="J450" s="36">
        <f t="shared" si="200"/>
        <v>0</v>
      </c>
      <c r="K450" s="36">
        <f t="shared" si="202"/>
        <v>12415271.040000001</v>
      </c>
      <c r="L450" s="36">
        <f t="shared" si="201"/>
        <v>715671</v>
      </c>
    </row>
    <row r="451" spans="1:12">
      <c r="A451" s="96"/>
      <c r="B451" s="102"/>
      <c r="C451" s="35" t="s">
        <v>16</v>
      </c>
      <c r="D451" s="36">
        <f t="shared" si="199"/>
        <v>9847224.7699999996</v>
      </c>
      <c r="E451" s="36">
        <f t="shared" si="199"/>
        <v>1537078.6300000001</v>
      </c>
      <c r="F451" s="36">
        <f t="shared" si="199"/>
        <v>11384303.4</v>
      </c>
      <c r="G451" s="36">
        <f t="shared" si="199"/>
        <v>1022704</v>
      </c>
      <c r="H451" s="36">
        <f t="shared" si="200"/>
        <v>0</v>
      </c>
      <c r="I451" s="36">
        <f t="shared" si="200"/>
        <v>0</v>
      </c>
      <c r="J451" s="36">
        <f t="shared" si="200"/>
        <v>0</v>
      </c>
      <c r="K451" s="36">
        <f t="shared" si="202"/>
        <v>12407007.4</v>
      </c>
      <c r="L451" s="36">
        <f t="shared" si="201"/>
        <v>706519</v>
      </c>
    </row>
    <row r="452" spans="1:12">
      <c r="A452" s="96"/>
      <c r="B452" s="102"/>
      <c r="C452" s="35" t="s">
        <v>17</v>
      </c>
      <c r="D452" s="36">
        <f t="shared" si="199"/>
        <v>9847224.7699999996</v>
      </c>
      <c r="E452" s="36">
        <f t="shared" si="199"/>
        <v>1465310.8200000003</v>
      </c>
      <c r="F452" s="36">
        <f t="shared" si="199"/>
        <v>11312535.590000002</v>
      </c>
      <c r="G452" s="36">
        <f t="shared" si="199"/>
        <v>1022704</v>
      </c>
      <c r="H452" s="36">
        <f t="shared" si="200"/>
        <v>0</v>
      </c>
      <c r="I452" s="36">
        <f t="shared" si="200"/>
        <v>0</v>
      </c>
      <c r="J452" s="36">
        <f t="shared" si="200"/>
        <v>0</v>
      </c>
      <c r="K452" s="36">
        <f t="shared" si="202"/>
        <v>12335239.590000002</v>
      </c>
      <c r="L452" s="36">
        <f t="shared" si="201"/>
        <v>706519</v>
      </c>
    </row>
    <row r="453" spans="1:12">
      <c r="A453" s="96"/>
      <c r="B453" s="102" t="s">
        <v>33</v>
      </c>
      <c r="C453" s="35" t="s">
        <v>15</v>
      </c>
      <c r="D453" s="36">
        <f t="shared" si="199"/>
        <v>30185826.940000001</v>
      </c>
      <c r="E453" s="36">
        <f t="shared" si="199"/>
        <v>4621065.97</v>
      </c>
      <c r="F453" s="36">
        <f t="shared" si="199"/>
        <v>34806892.910000004</v>
      </c>
      <c r="G453" s="36">
        <f t="shared" si="199"/>
        <v>3096944</v>
      </c>
      <c r="H453" s="36">
        <f t="shared" si="200"/>
        <v>0</v>
      </c>
      <c r="I453" s="36">
        <f t="shared" si="200"/>
        <v>0</v>
      </c>
      <c r="J453" s="36">
        <f t="shared" si="200"/>
        <v>0</v>
      </c>
      <c r="K453" s="36">
        <f t="shared" si="202"/>
        <v>37903836.910000004</v>
      </c>
      <c r="L453" s="36">
        <f t="shared" si="201"/>
        <v>2182433</v>
      </c>
    </row>
    <row r="454" spans="1:12">
      <c r="A454" s="96"/>
      <c r="B454" s="102"/>
      <c r="C454" s="35" t="s">
        <v>16</v>
      </c>
      <c r="D454" s="36">
        <f t="shared" si="199"/>
        <v>30092765.169999998</v>
      </c>
      <c r="E454" s="36">
        <f t="shared" si="199"/>
        <v>4872863.1499999994</v>
      </c>
      <c r="F454" s="36">
        <f t="shared" si="199"/>
        <v>34965628.32</v>
      </c>
      <c r="G454" s="36">
        <f t="shared" si="199"/>
        <v>3090105</v>
      </c>
      <c r="H454" s="36">
        <f t="shared" si="200"/>
        <v>0</v>
      </c>
      <c r="I454" s="36">
        <f t="shared" si="200"/>
        <v>0</v>
      </c>
      <c r="J454" s="36">
        <f t="shared" si="200"/>
        <v>0</v>
      </c>
      <c r="K454" s="36">
        <f t="shared" si="202"/>
        <v>38055733.32</v>
      </c>
      <c r="L454" s="36">
        <f t="shared" si="201"/>
        <v>2173281</v>
      </c>
    </row>
    <row r="455" spans="1:12">
      <c r="A455" s="96"/>
      <c r="B455" s="102"/>
      <c r="C455" s="35" t="s">
        <v>17</v>
      </c>
      <c r="D455" s="36">
        <f t="shared" si="199"/>
        <v>30082189.370000001</v>
      </c>
      <c r="E455" s="36">
        <f t="shared" si="199"/>
        <v>4612572.63</v>
      </c>
      <c r="F455" s="36">
        <f t="shared" si="199"/>
        <v>34694762</v>
      </c>
      <c r="G455" s="36">
        <f t="shared" si="199"/>
        <v>3090105</v>
      </c>
      <c r="H455" s="36">
        <f t="shared" si="200"/>
        <v>0</v>
      </c>
      <c r="I455" s="36">
        <f t="shared" si="200"/>
        <v>0</v>
      </c>
      <c r="J455" s="36">
        <f t="shared" si="200"/>
        <v>0</v>
      </c>
      <c r="K455" s="36">
        <f>K53+K121+K189+K310+K378+K257</f>
        <v>38758122.609999999</v>
      </c>
      <c r="L455" s="36">
        <f t="shared" si="201"/>
        <v>2173281</v>
      </c>
    </row>
    <row r="456" spans="1:12">
      <c r="A456" s="96"/>
      <c r="B456" s="102" t="s">
        <v>35</v>
      </c>
      <c r="C456" s="35" t="s">
        <v>15</v>
      </c>
      <c r="D456" s="36">
        <f t="shared" ref="D456:L456" si="203">D54+D122+D190+D258+D326+D392</f>
        <v>11661927.619999999</v>
      </c>
      <c r="E456" s="36">
        <f t="shared" si="203"/>
        <v>2137243.2400000002</v>
      </c>
      <c r="F456" s="36">
        <f t="shared" si="203"/>
        <v>13799170.860000001</v>
      </c>
      <c r="G456" s="36">
        <f t="shared" si="203"/>
        <v>1362589</v>
      </c>
      <c r="H456" s="36">
        <f t="shared" si="203"/>
        <v>0</v>
      </c>
      <c r="I456" s="36">
        <f t="shared" si="203"/>
        <v>0</v>
      </c>
      <c r="J456" s="36">
        <f t="shared" si="203"/>
        <v>0</v>
      </c>
      <c r="K456" s="36">
        <f t="shared" si="203"/>
        <v>15161759.860000001</v>
      </c>
      <c r="L456" s="36">
        <f t="shared" si="203"/>
        <v>845639</v>
      </c>
    </row>
    <row r="457" spans="1:12">
      <c r="A457" s="96"/>
      <c r="B457" s="102"/>
      <c r="C457" s="35" t="s">
        <v>16</v>
      </c>
      <c r="D457" s="36">
        <f t="shared" ref="D457:L457" si="204">D55+D123+D191+D259+D327+D393</f>
        <v>0</v>
      </c>
      <c r="E457" s="36">
        <f t="shared" si="204"/>
        <v>0</v>
      </c>
      <c r="F457" s="36">
        <f t="shared" si="204"/>
        <v>0</v>
      </c>
      <c r="G457" s="36">
        <f t="shared" si="204"/>
        <v>0</v>
      </c>
      <c r="H457" s="36">
        <f t="shared" si="204"/>
        <v>0</v>
      </c>
      <c r="I457" s="36">
        <f t="shared" si="204"/>
        <v>0</v>
      </c>
      <c r="J457" s="36">
        <f t="shared" si="204"/>
        <v>0</v>
      </c>
      <c r="K457" s="36">
        <f t="shared" si="204"/>
        <v>0</v>
      </c>
      <c r="L457" s="36">
        <f t="shared" si="204"/>
        <v>0</v>
      </c>
    </row>
    <row r="458" spans="1:12">
      <c r="A458" s="96"/>
      <c r="B458" s="102"/>
      <c r="C458" s="35" t="s">
        <v>17</v>
      </c>
      <c r="D458" s="36">
        <f t="shared" ref="D458:L458" si="205">D56+D124+D192+D260+D328+D394</f>
        <v>0</v>
      </c>
      <c r="E458" s="36">
        <f t="shared" si="205"/>
        <v>0</v>
      </c>
      <c r="F458" s="36">
        <f t="shared" si="205"/>
        <v>0</v>
      </c>
      <c r="G458" s="36">
        <f t="shared" si="205"/>
        <v>0</v>
      </c>
      <c r="H458" s="36">
        <f t="shared" si="205"/>
        <v>0</v>
      </c>
      <c r="I458" s="36">
        <f t="shared" si="205"/>
        <v>0</v>
      </c>
      <c r="J458" s="36">
        <f t="shared" si="205"/>
        <v>0</v>
      </c>
      <c r="K458" s="36">
        <f t="shared" si="205"/>
        <v>0</v>
      </c>
      <c r="L458" s="36">
        <f t="shared" si="205"/>
        <v>0</v>
      </c>
    </row>
    <row r="459" spans="1:12">
      <c r="A459" s="96"/>
      <c r="B459" s="102" t="s">
        <v>36</v>
      </c>
      <c r="C459" s="35" t="s">
        <v>15</v>
      </c>
      <c r="D459" s="36">
        <f t="shared" ref="D459:L459" si="206">D57+D125+D193+D261+D329+D395</f>
        <v>11143648.659999998</v>
      </c>
      <c r="E459" s="36">
        <f t="shared" si="206"/>
        <v>1822243.21</v>
      </c>
      <c r="F459" s="36">
        <f t="shared" si="206"/>
        <v>12965891.870000001</v>
      </c>
      <c r="G459" s="36">
        <f t="shared" si="206"/>
        <v>1262589</v>
      </c>
      <c r="H459" s="36">
        <f t="shared" si="206"/>
        <v>0</v>
      </c>
      <c r="I459" s="36">
        <f t="shared" si="206"/>
        <v>0</v>
      </c>
      <c r="J459" s="36">
        <f t="shared" si="206"/>
        <v>0</v>
      </c>
      <c r="K459" s="36">
        <f t="shared" si="206"/>
        <v>14228480.870000001</v>
      </c>
      <c r="L459" s="36">
        <f t="shared" si="206"/>
        <v>0</v>
      </c>
    </row>
    <row r="460" spans="1:12">
      <c r="A460" s="96"/>
      <c r="B460" s="102"/>
      <c r="C460" s="35" t="s">
        <v>16</v>
      </c>
      <c r="D460" s="36">
        <f t="shared" ref="D460:L460" si="207">D58+D126+D194+D262+D330+D396</f>
        <v>0</v>
      </c>
      <c r="E460" s="36">
        <f t="shared" si="207"/>
        <v>0</v>
      </c>
      <c r="F460" s="36">
        <f t="shared" si="207"/>
        <v>0</v>
      </c>
      <c r="G460" s="36">
        <f t="shared" si="207"/>
        <v>0</v>
      </c>
      <c r="H460" s="36">
        <f t="shared" si="207"/>
        <v>0</v>
      </c>
      <c r="I460" s="36">
        <f t="shared" si="207"/>
        <v>0</v>
      </c>
      <c r="J460" s="36">
        <f t="shared" si="207"/>
        <v>0</v>
      </c>
      <c r="K460" s="36">
        <f t="shared" si="207"/>
        <v>0</v>
      </c>
      <c r="L460" s="36">
        <f t="shared" si="207"/>
        <v>0</v>
      </c>
    </row>
    <row r="461" spans="1:12">
      <c r="A461" s="96"/>
      <c r="B461" s="102"/>
      <c r="C461" s="35" t="s">
        <v>17</v>
      </c>
      <c r="D461" s="36">
        <f t="shared" ref="D461:L461" si="208">D59+D127+D195+D263+D331+D397</f>
        <v>0</v>
      </c>
      <c r="E461" s="36">
        <f t="shared" si="208"/>
        <v>0</v>
      </c>
      <c r="F461" s="36">
        <f t="shared" si="208"/>
        <v>0</v>
      </c>
      <c r="G461" s="36">
        <f t="shared" si="208"/>
        <v>0</v>
      </c>
      <c r="H461" s="36">
        <f t="shared" si="208"/>
        <v>0</v>
      </c>
      <c r="I461" s="36">
        <f t="shared" si="208"/>
        <v>0</v>
      </c>
      <c r="J461" s="36">
        <f t="shared" si="208"/>
        <v>0</v>
      </c>
      <c r="K461" s="36">
        <f t="shared" si="208"/>
        <v>0</v>
      </c>
      <c r="L461" s="36">
        <f t="shared" si="208"/>
        <v>0</v>
      </c>
    </row>
    <row r="462" spans="1:12">
      <c r="A462" s="96"/>
      <c r="B462" s="102" t="s">
        <v>37</v>
      </c>
      <c r="C462" s="35" t="s">
        <v>15</v>
      </c>
      <c r="D462" s="36">
        <f t="shared" ref="D462:L462" si="209">D60+D128+D196+D264+D332+D398</f>
        <v>3006733.24</v>
      </c>
      <c r="E462" s="36">
        <f t="shared" si="209"/>
        <v>1254853.82</v>
      </c>
      <c r="F462" s="36">
        <f t="shared" si="209"/>
        <v>4261587.0600000005</v>
      </c>
      <c r="G462" s="36">
        <f t="shared" si="209"/>
        <v>251395.22</v>
      </c>
      <c r="H462" s="36">
        <f t="shared" si="209"/>
        <v>0</v>
      </c>
      <c r="I462" s="36">
        <f t="shared" si="209"/>
        <v>0</v>
      </c>
      <c r="J462" s="36">
        <f t="shared" si="209"/>
        <v>0</v>
      </c>
      <c r="K462" s="36">
        <f t="shared" si="209"/>
        <v>4512982.28</v>
      </c>
      <c r="L462" s="36">
        <f t="shared" si="209"/>
        <v>0</v>
      </c>
    </row>
    <row r="463" spans="1:12">
      <c r="A463" s="96"/>
      <c r="B463" s="102"/>
      <c r="C463" s="35" t="s">
        <v>16</v>
      </c>
      <c r="D463" s="36">
        <f t="shared" ref="D463:L463" si="210">D61+D129+D197+D265+D333+D399</f>
        <v>0</v>
      </c>
      <c r="E463" s="36">
        <f t="shared" si="210"/>
        <v>0</v>
      </c>
      <c r="F463" s="36">
        <f t="shared" si="210"/>
        <v>0</v>
      </c>
      <c r="G463" s="36">
        <f t="shared" si="210"/>
        <v>0</v>
      </c>
      <c r="H463" s="36">
        <f t="shared" si="210"/>
        <v>0</v>
      </c>
      <c r="I463" s="36">
        <f t="shared" si="210"/>
        <v>0</v>
      </c>
      <c r="J463" s="36">
        <f t="shared" si="210"/>
        <v>0</v>
      </c>
      <c r="K463" s="36">
        <f t="shared" si="210"/>
        <v>0</v>
      </c>
      <c r="L463" s="36">
        <f t="shared" si="210"/>
        <v>0</v>
      </c>
    </row>
    <row r="464" spans="1:12">
      <c r="A464" s="96"/>
      <c r="B464" s="102"/>
      <c r="C464" s="35" t="s">
        <v>17</v>
      </c>
      <c r="D464" s="36">
        <f t="shared" ref="D464:L464" si="211">D62+D130+D198+D266+D334+D400</f>
        <v>0</v>
      </c>
      <c r="E464" s="36">
        <f t="shared" si="211"/>
        <v>0</v>
      </c>
      <c r="F464" s="36">
        <f t="shared" si="211"/>
        <v>0</v>
      </c>
      <c r="G464" s="36">
        <f t="shared" si="211"/>
        <v>0</v>
      </c>
      <c r="H464" s="36">
        <f t="shared" si="211"/>
        <v>0</v>
      </c>
      <c r="I464" s="36">
        <f t="shared" si="211"/>
        <v>0</v>
      </c>
      <c r="J464" s="36">
        <f t="shared" si="211"/>
        <v>0</v>
      </c>
      <c r="K464" s="36">
        <f t="shared" si="211"/>
        <v>0</v>
      </c>
      <c r="L464" s="36">
        <f t="shared" si="211"/>
        <v>0</v>
      </c>
    </row>
    <row r="465" spans="1:14">
      <c r="A465" s="96"/>
      <c r="B465" s="103" t="s">
        <v>38</v>
      </c>
      <c r="C465" s="35" t="s">
        <v>15</v>
      </c>
      <c r="D465" s="36">
        <f t="shared" ref="D465:L465" si="212">D63+D131+D199+D267+D335+D401</f>
        <v>25812309.52</v>
      </c>
      <c r="E465" s="36">
        <f t="shared" si="212"/>
        <v>5214340.2699999996</v>
      </c>
      <c r="F465" s="36">
        <f t="shared" si="212"/>
        <v>31026649.790000003</v>
      </c>
      <c r="G465" s="36">
        <f t="shared" si="212"/>
        <v>2876573.2199999997</v>
      </c>
      <c r="H465" s="36">
        <f t="shared" si="212"/>
        <v>0</v>
      </c>
      <c r="I465" s="36">
        <f t="shared" si="212"/>
        <v>0</v>
      </c>
      <c r="J465" s="36">
        <f t="shared" si="212"/>
        <v>0</v>
      </c>
      <c r="K465" s="36">
        <f t="shared" si="212"/>
        <v>33903223.009999998</v>
      </c>
      <c r="L465" s="36">
        <f t="shared" si="212"/>
        <v>845639</v>
      </c>
    </row>
    <row r="466" spans="1:14">
      <c r="A466" s="96"/>
      <c r="B466" s="103"/>
      <c r="C466" s="35" t="s">
        <v>16</v>
      </c>
      <c r="D466" s="36">
        <f t="shared" ref="D466:L466" si="213">D64+D132+D200+D268+D336+D402</f>
        <v>0</v>
      </c>
      <c r="E466" s="36">
        <f t="shared" si="213"/>
        <v>0</v>
      </c>
      <c r="F466" s="36">
        <f t="shared" si="213"/>
        <v>0</v>
      </c>
      <c r="G466" s="36">
        <f t="shared" si="213"/>
        <v>0</v>
      </c>
      <c r="H466" s="36">
        <f t="shared" si="213"/>
        <v>0</v>
      </c>
      <c r="I466" s="36">
        <f t="shared" si="213"/>
        <v>0</v>
      </c>
      <c r="J466" s="36">
        <f t="shared" si="213"/>
        <v>0</v>
      </c>
      <c r="K466" s="36">
        <f t="shared" si="213"/>
        <v>0</v>
      </c>
      <c r="L466" s="36">
        <f t="shared" si="213"/>
        <v>0</v>
      </c>
    </row>
    <row r="467" spans="1:14">
      <c r="A467" s="96"/>
      <c r="B467" s="103"/>
      <c r="C467" s="35" t="s">
        <v>17</v>
      </c>
      <c r="D467" s="36">
        <f t="shared" ref="D467:L467" si="214">D65+D133+D201+D269+D337+D403</f>
        <v>0</v>
      </c>
      <c r="E467" s="36">
        <f t="shared" si="214"/>
        <v>0</v>
      </c>
      <c r="F467" s="36">
        <f t="shared" si="214"/>
        <v>0</v>
      </c>
      <c r="G467" s="36">
        <f t="shared" si="214"/>
        <v>0</v>
      </c>
      <c r="H467" s="36">
        <f t="shared" si="214"/>
        <v>0</v>
      </c>
      <c r="I467" s="36">
        <f t="shared" si="214"/>
        <v>0</v>
      </c>
      <c r="J467" s="36">
        <f t="shared" si="214"/>
        <v>0</v>
      </c>
      <c r="K467" s="36">
        <f t="shared" si="214"/>
        <v>0</v>
      </c>
      <c r="L467" s="36">
        <f t="shared" si="214"/>
        <v>0</v>
      </c>
    </row>
    <row r="468" spans="1:14">
      <c r="A468" s="96"/>
      <c r="B468" s="104" t="s">
        <v>39</v>
      </c>
      <c r="C468" s="35" t="s">
        <v>15</v>
      </c>
      <c r="D468" s="36">
        <f t="shared" ref="D468:L468" si="215">D66+D134+D202+D270+D338+D404</f>
        <v>55998136.460000001</v>
      </c>
      <c r="E468" s="36">
        <f t="shared" si="215"/>
        <v>9835406.2400000002</v>
      </c>
      <c r="F468" s="36">
        <f t="shared" si="215"/>
        <v>65833542.700000003</v>
      </c>
      <c r="G468" s="36">
        <f t="shared" si="215"/>
        <v>5973517.2199999997</v>
      </c>
      <c r="H468" s="36">
        <f t="shared" si="215"/>
        <v>0</v>
      </c>
      <c r="I468" s="36">
        <f t="shared" si="215"/>
        <v>0</v>
      </c>
      <c r="J468" s="36">
        <f t="shared" si="215"/>
        <v>0</v>
      </c>
      <c r="K468" s="36">
        <f t="shared" si="215"/>
        <v>71807059.920000002</v>
      </c>
      <c r="L468" s="36">
        <f t="shared" si="215"/>
        <v>3028072</v>
      </c>
      <c r="M468" s="59">
        <f>M66+M134+M202+M270+M338+M404</f>
        <v>0</v>
      </c>
    </row>
    <row r="469" spans="1:14">
      <c r="A469" s="96"/>
      <c r="B469" s="104"/>
      <c r="C469" s="35" t="s">
        <v>16</v>
      </c>
      <c r="D469" s="36">
        <f t="shared" ref="D469:L469" si="216">D67+D135+D203+D271+D339+D405</f>
        <v>30185826.940000001</v>
      </c>
      <c r="E469" s="36">
        <f t="shared" si="216"/>
        <v>4881063.2299999995</v>
      </c>
      <c r="F469" s="36">
        <f t="shared" si="216"/>
        <v>35066890.170000002</v>
      </c>
      <c r="G469" s="36">
        <f t="shared" si="216"/>
        <v>3096944</v>
      </c>
      <c r="H469" s="36">
        <f t="shared" si="216"/>
        <v>0</v>
      </c>
      <c r="I469" s="36">
        <f t="shared" si="216"/>
        <v>0</v>
      </c>
      <c r="J469" s="36">
        <f t="shared" si="216"/>
        <v>0</v>
      </c>
      <c r="K469" s="36">
        <f t="shared" si="216"/>
        <v>38163834.170000002</v>
      </c>
      <c r="L469" s="36">
        <f t="shared" si="216"/>
        <v>2182389</v>
      </c>
    </row>
    <row r="470" spans="1:14">
      <c r="A470" s="96"/>
      <c r="B470" s="104"/>
      <c r="C470" s="35" t="s">
        <v>17</v>
      </c>
      <c r="D470" s="36">
        <f t="shared" ref="D470:L470" si="217">D68+D136+D204+D273+D340+D406</f>
        <v>30185826.940000001</v>
      </c>
      <c r="E470" s="36">
        <f t="shared" si="217"/>
        <v>4620772.71</v>
      </c>
      <c r="F470" s="36">
        <f t="shared" si="217"/>
        <v>34796023.850000009</v>
      </c>
      <c r="G470" s="36">
        <f t="shared" si="217"/>
        <v>3093392</v>
      </c>
      <c r="H470" s="36">
        <f t="shared" si="217"/>
        <v>0</v>
      </c>
      <c r="I470" s="36">
        <f t="shared" si="217"/>
        <v>0</v>
      </c>
      <c r="J470" s="36">
        <f t="shared" si="217"/>
        <v>0</v>
      </c>
      <c r="K470" s="36">
        <f t="shared" si="217"/>
        <v>37892967.850000001</v>
      </c>
      <c r="L470" s="36">
        <f t="shared" si="217"/>
        <v>2182389</v>
      </c>
    </row>
    <row r="471" spans="1:14">
      <c r="A471" s="96"/>
      <c r="B471" s="104"/>
      <c r="C471" s="35" t="s">
        <v>54</v>
      </c>
      <c r="D471" s="36">
        <f>D470</f>
        <v>30185826.940000001</v>
      </c>
      <c r="E471" s="36">
        <f t="shared" ref="E471:M471" si="218">E470</f>
        <v>4620772.71</v>
      </c>
      <c r="F471" s="36">
        <f t="shared" si="218"/>
        <v>34796023.850000009</v>
      </c>
      <c r="G471" s="36">
        <f t="shared" si="218"/>
        <v>3093392</v>
      </c>
      <c r="H471" s="36">
        <f t="shared" si="218"/>
        <v>0</v>
      </c>
      <c r="I471" s="36">
        <f t="shared" si="218"/>
        <v>0</v>
      </c>
      <c r="J471" s="36">
        <f t="shared" si="218"/>
        <v>0</v>
      </c>
      <c r="K471" s="36">
        <f t="shared" si="218"/>
        <v>37892967.850000001</v>
      </c>
      <c r="L471" s="36">
        <f t="shared" si="218"/>
        <v>2182389</v>
      </c>
      <c r="M471" s="74">
        <f t="shared" si="218"/>
        <v>0</v>
      </c>
    </row>
    <row r="472" spans="1:14">
      <c r="A472" s="96"/>
      <c r="B472" s="105" t="s">
        <v>40</v>
      </c>
      <c r="C472" s="75" t="s">
        <v>15</v>
      </c>
      <c r="D472" s="76">
        <f t="shared" ref="D472:M472" si="219">D69+D137+D205+D274+D341+D407</f>
        <v>114177827.42999999</v>
      </c>
      <c r="E472" s="76">
        <f t="shared" si="219"/>
        <v>19368498.59</v>
      </c>
      <c r="F472" s="76">
        <f t="shared" si="219"/>
        <v>133546326.02000001</v>
      </c>
      <c r="G472" s="76">
        <f t="shared" si="219"/>
        <v>12015723.050000001</v>
      </c>
      <c r="H472" s="76">
        <f t="shared" si="219"/>
        <v>1004880</v>
      </c>
      <c r="I472" s="76">
        <f t="shared" si="219"/>
        <v>0</v>
      </c>
      <c r="J472" s="76">
        <f t="shared" si="219"/>
        <v>0</v>
      </c>
      <c r="K472" s="76">
        <f t="shared" si="219"/>
        <v>146566929.06999996</v>
      </c>
      <c r="L472" s="76">
        <f t="shared" si="219"/>
        <v>7587550</v>
      </c>
      <c r="M472" s="77">
        <f t="shared" si="219"/>
        <v>18821</v>
      </c>
      <c r="N472" s="78"/>
    </row>
    <row r="473" spans="1:14">
      <c r="A473" s="96"/>
      <c r="B473" s="105"/>
      <c r="C473" s="75" t="s">
        <v>55</v>
      </c>
      <c r="D473" s="76">
        <f t="shared" ref="D473:L473" si="220">D71+D139+D207+D343+D409+D276</f>
        <v>91965145.689999998</v>
      </c>
      <c r="E473" s="76">
        <f t="shared" si="220"/>
        <v>15072791.279999999</v>
      </c>
      <c r="F473" s="76">
        <f t="shared" si="220"/>
        <v>107037936.96999998</v>
      </c>
      <c r="G473" s="76">
        <f t="shared" si="220"/>
        <v>9139149.8300000001</v>
      </c>
      <c r="H473" s="76">
        <f t="shared" si="220"/>
        <v>1004880</v>
      </c>
      <c r="I473" s="76">
        <f t="shared" si="220"/>
        <v>864025.12</v>
      </c>
      <c r="J473" s="76">
        <f t="shared" si="220"/>
        <v>864025.12</v>
      </c>
      <c r="K473" s="76">
        <f t="shared" si="220"/>
        <v>117181966.8</v>
      </c>
      <c r="L473" s="76">
        <f t="shared" si="220"/>
        <v>6741911</v>
      </c>
      <c r="M473" s="79">
        <f>K473-H473</f>
        <v>116177086.8</v>
      </c>
    </row>
    <row r="474" spans="1:14">
      <c r="A474" s="96"/>
      <c r="B474" s="105"/>
      <c r="C474" s="80" t="s">
        <v>17</v>
      </c>
      <c r="D474" s="76">
        <f>D72+D208+D140+D277+D344+D410</f>
        <v>88365517.910000011</v>
      </c>
      <c r="E474" s="76">
        <f t="shared" ref="E474:L474" si="221">E72+E208+E140+E277+E344+E410</f>
        <v>14154158.32</v>
      </c>
      <c r="F474" s="76">
        <f t="shared" si="221"/>
        <v>102519676.23</v>
      </c>
      <c r="G474" s="76">
        <f t="shared" si="221"/>
        <v>9139149.8300000001</v>
      </c>
      <c r="H474" s="76">
        <f t="shared" si="221"/>
        <v>1004880</v>
      </c>
      <c r="I474" s="76">
        <f t="shared" si="221"/>
        <v>0</v>
      </c>
      <c r="J474" s="76">
        <f t="shared" si="221"/>
        <v>0</v>
      </c>
      <c r="K474" s="76">
        <f t="shared" si="221"/>
        <v>112663706.06</v>
      </c>
      <c r="L474" s="76">
        <f t="shared" si="221"/>
        <v>6741911</v>
      </c>
      <c r="M474" s="81"/>
    </row>
    <row r="475" spans="1:14">
      <c r="D475" s="38"/>
      <c r="H475" s="82" t="s">
        <v>56</v>
      </c>
      <c r="I475" s="82"/>
      <c r="J475" s="82"/>
      <c r="K475" s="83">
        <v>146937000</v>
      </c>
      <c r="L475" s="84"/>
    </row>
    <row r="476" spans="1:14">
      <c r="H476" s="82" t="s">
        <v>57</v>
      </c>
      <c r="I476" s="82"/>
      <c r="J476" s="82"/>
      <c r="K476" s="83">
        <v>370070.93</v>
      </c>
      <c r="L476" s="84"/>
      <c r="M476" s="85"/>
    </row>
    <row r="477" spans="1:14">
      <c r="B477" s="86"/>
      <c r="D477" s="38"/>
      <c r="E477" s="38"/>
      <c r="F477" s="38"/>
      <c r="G477" s="38"/>
      <c r="H477" s="38"/>
      <c r="I477" s="38"/>
      <c r="J477" s="38"/>
      <c r="K477" s="38"/>
      <c r="L477" s="38"/>
    </row>
    <row r="478" spans="1:14">
      <c r="B478"/>
      <c r="E478" s="88"/>
    </row>
    <row r="479" spans="1:14">
      <c r="B479" s="89"/>
      <c r="E479" s="90"/>
    </row>
    <row r="480" spans="1:14">
      <c r="B480" s="87"/>
      <c r="E480" s="91"/>
    </row>
    <row r="481" spans="2:5">
      <c r="B481" s="87"/>
      <c r="E481" s="90"/>
    </row>
    <row r="482" spans="2:5">
      <c r="B482" s="92"/>
      <c r="E482" s="90"/>
    </row>
    <row r="483" spans="2:5">
      <c r="B483"/>
    </row>
    <row r="484" spans="2:5">
      <c r="B484"/>
    </row>
    <row r="485" spans="2:5">
      <c r="B485"/>
    </row>
    <row r="486" spans="2:5">
      <c r="B486"/>
    </row>
    <row r="487" spans="2:5">
      <c r="B487"/>
    </row>
    <row r="488" spans="2:5">
      <c r="B488"/>
    </row>
    <row r="489" spans="2:5">
      <c r="B489"/>
    </row>
    <row r="490" spans="2:5">
      <c r="B490"/>
    </row>
    <row r="491" spans="2:5">
      <c r="B491"/>
    </row>
    <row r="492" spans="2:5">
      <c r="B492"/>
    </row>
    <row r="493" spans="2:5">
      <c r="B493"/>
    </row>
    <row r="494" spans="2:5">
      <c r="B494"/>
    </row>
    <row r="495" spans="2:5">
      <c r="B495"/>
    </row>
    <row r="496" spans="2:5">
      <c r="B496"/>
    </row>
    <row r="497" spans="2:5">
      <c r="B497"/>
    </row>
    <row r="498" spans="2:5">
      <c r="B498"/>
    </row>
    <row r="499" spans="2:5">
      <c r="E499" s="85"/>
    </row>
    <row r="500" spans="2:5">
      <c r="E500" s="85"/>
    </row>
  </sheetData>
  <mergeCells count="140">
    <mergeCell ref="B38:B40"/>
    <mergeCell ref="B41:B43"/>
    <mergeCell ref="B44:B46"/>
    <mergeCell ref="B47:B53"/>
    <mergeCell ref="B54:B56"/>
    <mergeCell ref="B57:B59"/>
    <mergeCell ref="A4:A72"/>
    <mergeCell ref="B4:B6"/>
    <mergeCell ref="B7:B9"/>
    <mergeCell ref="B10:B12"/>
    <mergeCell ref="B13:B18"/>
    <mergeCell ref="B19:B21"/>
    <mergeCell ref="B22:B24"/>
    <mergeCell ref="B25:B27"/>
    <mergeCell ref="B28:B31"/>
    <mergeCell ref="B32:B37"/>
    <mergeCell ref="B60:B62"/>
    <mergeCell ref="B63:B65"/>
    <mergeCell ref="B66:B68"/>
    <mergeCell ref="B69:B72"/>
    <mergeCell ref="A73:A140"/>
    <mergeCell ref="B73:B75"/>
    <mergeCell ref="B76:B78"/>
    <mergeCell ref="B79:B81"/>
    <mergeCell ref="B82:B87"/>
    <mergeCell ref="B88:B90"/>
    <mergeCell ref="B112:B114"/>
    <mergeCell ref="B115:B121"/>
    <mergeCell ref="B122:B124"/>
    <mergeCell ref="B125:B127"/>
    <mergeCell ref="B128:B130"/>
    <mergeCell ref="B131:B133"/>
    <mergeCell ref="B91:B93"/>
    <mergeCell ref="B94:B96"/>
    <mergeCell ref="B97:B99"/>
    <mergeCell ref="B100:B105"/>
    <mergeCell ref="B106:B108"/>
    <mergeCell ref="B109:B111"/>
    <mergeCell ref="B134:B136"/>
    <mergeCell ref="B137:B140"/>
    <mergeCell ref="A141:A208"/>
    <mergeCell ref="B141:B143"/>
    <mergeCell ref="B144:B146"/>
    <mergeCell ref="B147:B149"/>
    <mergeCell ref="B150:B155"/>
    <mergeCell ref="B156:B158"/>
    <mergeCell ref="B159:B161"/>
    <mergeCell ref="B162:B164"/>
    <mergeCell ref="B190:B192"/>
    <mergeCell ref="B193:B195"/>
    <mergeCell ref="B196:B198"/>
    <mergeCell ref="B199:B201"/>
    <mergeCell ref="B202:B204"/>
    <mergeCell ref="B205:B208"/>
    <mergeCell ref="B165:B167"/>
    <mergeCell ref="B168:B173"/>
    <mergeCell ref="B174:B176"/>
    <mergeCell ref="B177:B179"/>
    <mergeCell ref="B180:B182"/>
    <mergeCell ref="B183:B189"/>
    <mergeCell ref="B242:B244"/>
    <mergeCell ref="B245:B247"/>
    <mergeCell ref="B248:B250"/>
    <mergeCell ref="B251:B257"/>
    <mergeCell ref="B258:B260"/>
    <mergeCell ref="B261:B263"/>
    <mergeCell ref="A209:A277"/>
    <mergeCell ref="B209:B211"/>
    <mergeCell ref="B212:B214"/>
    <mergeCell ref="B215:B217"/>
    <mergeCell ref="B218:B223"/>
    <mergeCell ref="B224:B226"/>
    <mergeCell ref="B227:B229"/>
    <mergeCell ref="B230:B232"/>
    <mergeCell ref="B233:B235"/>
    <mergeCell ref="B236:B241"/>
    <mergeCell ref="B264:B266"/>
    <mergeCell ref="B267:B269"/>
    <mergeCell ref="B270:B273"/>
    <mergeCell ref="B274:B277"/>
    <mergeCell ref="A278:A344"/>
    <mergeCell ref="B278:B280"/>
    <mergeCell ref="B281:B283"/>
    <mergeCell ref="B284:B286"/>
    <mergeCell ref="B287:B292"/>
    <mergeCell ref="B293:B295"/>
    <mergeCell ref="B317:B319"/>
    <mergeCell ref="B320:B325"/>
    <mergeCell ref="B326:B328"/>
    <mergeCell ref="B329:B331"/>
    <mergeCell ref="B332:B334"/>
    <mergeCell ref="B335:B337"/>
    <mergeCell ref="B296:B298"/>
    <mergeCell ref="B299:B301"/>
    <mergeCell ref="B302:B304"/>
    <mergeCell ref="B305:B310"/>
    <mergeCell ref="B311:B313"/>
    <mergeCell ref="B314:B316"/>
    <mergeCell ref="B338:B340"/>
    <mergeCell ref="B341:B344"/>
    <mergeCell ref="A345:A410"/>
    <mergeCell ref="B345:B347"/>
    <mergeCell ref="B348:B350"/>
    <mergeCell ref="B351:B353"/>
    <mergeCell ref="B354:B359"/>
    <mergeCell ref="B360:B362"/>
    <mergeCell ref="B363:B365"/>
    <mergeCell ref="B366:B368"/>
    <mergeCell ref="B392:B394"/>
    <mergeCell ref="B395:B397"/>
    <mergeCell ref="B398:B400"/>
    <mergeCell ref="B401:B403"/>
    <mergeCell ref="B404:B406"/>
    <mergeCell ref="B407:B410"/>
    <mergeCell ref="B369:B372"/>
    <mergeCell ref="B373:B378"/>
    <mergeCell ref="B379:B381"/>
    <mergeCell ref="B382:B384"/>
    <mergeCell ref="B385:B387"/>
    <mergeCell ref="B388:B391"/>
    <mergeCell ref="A411:A474"/>
    <mergeCell ref="B411:B413"/>
    <mergeCell ref="B414:B416"/>
    <mergeCell ref="B417:B419"/>
    <mergeCell ref="B420:B425"/>
    <mergeCell ref="B426:B428"/>
    <mergeCell ref="B429:B431"/>
    <mergeCell ref="B432:B434"/>
    <mergeCell ref="B435:B437"/>
    <mergeCell ref="B438:B443"/>
    <mergeCell ref="B462:B464"/>
    <mergeCell ref="B465:B467"/>
    <mergeCell ref="B468:B471"/>
    <mergeCell ref="B472:B474"/>
    <mergeCell ref="B444:B446"/>
    <mergeCell ref="B447:B449"/>
    <mergeCell ref="B450:B452"/>
    <mergeCell ref="B453:B455"/>
    <mergeCell ref="B456:B458"/>
    <mergeCell ref="B459:B46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decontat sep,2023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profir</dc:creator>
  <cp:lastModifiedBy>profir</cp:lastModifiedBy>
  <dcterms:created xsi:type="dcterms:W3CDTF">2023-11-06T13:32:26Z</dcterms:created>
  <dcterms:modified xsi:type="dcterms:W3CDTF">2023-11-07T06:14:22Z</dcterms:modified>
</cp:coreProperties>
</file>