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1"/>
  </bookViews>
  <sheets>
    <sheet name="contr dec" sheetId="1" r:id="rId1"/>
    <sheet name="an 2023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4" i="2"/>
  <c r="L220"/>
  <c r="K233"/>
  <c r="F450" l="1"/>
  <c r="K450" s="1"/>
  <c r="L388"/>
  <c r="K383"/>
  <c r="K384"/>
  <c r="K382"/>
  <c r="E144"/>
  <c r="D144"/>
  <c r="G144"/>
  <c r="G136"/>
  <c r="G386"/>
  <c r="G387" s="1"/>
  <c r="G373"/>
  <c r="G220"/>
  <c r="L64"/>
  <c r="G64"/>
  <c r="E297" l="1"/>
  <c r="D297"/>
  <c r="E220"/>
  <c r="D220"/>
  <c r="E64"/>
  <c r="D64"/>
  <c r="G515"/>
  <c r="H515"/>
  <c r="I515"/>
  <c r="J515"/>
  <c r="L515"/>
  <c r="M515"/>
  <c r="D515" l="1"/>
  <c r="L310" l="1"/>
  <c r="L311" s="1"/>
  <c r="G234"/>
  <c r="E234"/>
  <c r="E233" s="1"/>
  <c r="H234"/>
  <c r="D234"/>
  <c r="D233" s="1"/>
  <c r="L78"/>
  <c r="L77" s="1"/>
  <c r="G78"/>
  <c r="G77" s="1"/>
  <c r="F233" l="1"/>
  <c r="G233"/>
  <c r="E310"/>
  <c r="D310"/>
  <c r="F307"/>
  <c r="K307" s="1"/>
  <c r="F306"/>
  <c r="K306" s="1"/>
  <c r="D304"/>
  <c r="E302"/>
  <c r="E301"/>
  <c r="D301"/>
  <c r="D302"/>
  <c r="K230"/>
  <c r="F230"/>
  <c r="F229"/>
  <c r="K153"/>
  <c r="F154"/>
  <c r="K154" s="1"/>
  <c r="F153"/>
  <c r="E157"/>
  <c r="E158" s="1"/>
  <c r="G157"/>
  <c r="G158" s="1"/>
  <c r="H157"/>
  <c r="H158" s="1"/>
  <c r="I157"/>
  <c r="I158" s="1"/>
  <c r="J157"/>
  <c r="J158" s="1"/>
  <c r="L157"/>
  <c r="L158" s="1"/>
  <c r="D157"/>
  <c r="D158" s="1"/>
  <c r="E78"/>
  <c r="E77" s="1"/>
  <c r="H78"/>
  <c r="H77" s="1"/>
  <c r="D78"/>
  <c r="D77" s="1"/>
  <c r="F74"/>
  <c r="K74" s="1"/>
  <c r="F73"/>
  <c r="K73" s="1"/>
  <c r="K229" l="1"/>
  <c r="M451"/>
  <c r="M455" s="1"/>
  <c r="N451"/>
  <c r="D451"/>
  <c r="G377"/>
  <c r="D381"/>
  <c r="E381"/>
  <c r="H381"/>
  <c r="I381"/>
  <c r="J381"/>
  <c r="G380"/>
  <c r="G384" s="1"/>
  <c r="L71"/>
  <c r="M525"/>
  <c r="L510"/>
  <c r="J510"/>
  <c r="I510"/>
  <c r="H510"/>
  <c r="G510"/>
  <c r="E510"/>
  <c r="D510"/>
  <c r="L509"/>
  <c r="J509"/>
  <c r="I509"/>
  <c r="H509"/>
  <c r="G509"/>
  <c r="E509"/>
  <c r="D509"/>
  <c r="L508"/>
  <c r="J508"/>
  <c r="I508"/>
  <c r="H508"/>
  <c r="D508"/>
  <c r="L507"/>
  <c r="J507"/>
  <c r="I507"/>
  <c r="H507"/>
  <c r="G507"/>
  <c r="E507"/>
  <c r="D507"/>
  <c r="L506"/>
  <c r="J506"/>
  <c r="I506"/>
  <c r="H506"/>
  <c r="G506"/>
  <c r="E506"/>
  <c r="D506"/>
  <c r="J505"/>
  <c r="I505"/>
  <c r="H505"/>
  <c r="L504"/>
  <c r="J504"/>
  <c r="I504"/>
  <c r="H504"/>
  <c r="G504"/>
  <c r="E504"/>
  <c r="D504"/>
  <c r="L503"/>
  <c r="J503"/>
  <c r="I503"/>
  <c r="H503"/>
  <c r="G503"/>
  <c r="E503"/>
  <c r="D503"/>
  <c r="L502"/>
  <c r="J502"/>
  <c r="I502"/>
  <c r="H502"/>
  <c r="L497"/>
  <c r="J497"/>
  <c r="I497"/>
  <c r="H497"/>
  <c r="G497"/>
  <c r="E497"/>
  <c r="D497"/>
  <c r="L496"/>
  <c r="J496"/>
  <c r="I496"/>
  <c r="H496"/>
  <c r="G496"/>
  <c r="E496"/>
  <c r="D496"/>
  <c r="J495"/>
  <c r="I495"/>
  <c r="H495"/>
  <c r="L494"/>
  <c r="J494"/>
  <c r="I494"/>
  <c r="H494"/>
  <c r="G494"/>
  <c r="E494"/>
  <c r="D494"/>
  <c r="L493"/>
  <c r="J493"/>
  <c r="I493"/>
  <c r="H493"/>
  <c r="G493"/>
  <c r="E493"/>
  <c r="D493"/>
  <c r="L492"/>
  <c r="J492"/>
  <c r="I492"/>
  <c r="H492"/>
  <c r="L491"/>
  <c r="J491"/>
  <c r="I491"/>
  <c r="H491"/>
  <c r="G491"/>
  <c r="D491"/>
  <c r="L490"/>
  <c r="J490"/>
  <c r="I490"/>
  <c r="H490"/>
  <c r="G490"/>
  <c r="E490"/>
  <c r="D490"/>
  <c r="L489"/>
  <c r="J489"/>
  <c r="I489"/>
  <c r="H489"/>
  <c r="L487"/>
  <c r="J487"/>
  <c r="I487"/>
  <c r="H487"/>
  <c r="G487"/>
  <c r="E487"/>
  <c r="D487"/>
  <c r="L486"/>
  <c r="G486"/>
  <c r="D486"/>
  <c r="H481"/>
  <c r="J479"/>
  <c r="I479"/>
  <c r="H479"/>
  <c r="G479"/>
  <c r="E479"/>
  <c r="J478"/>
  <c r="I478"/>
  <c r="H478"/>
  <c r="E478"/>
  <c r="D478"/>
  <c r="J477"/>
  <c r="I477"/>
  <c r="H477"/>
  <c r="L476"/>
  <c r="J476"/>
  <c r="I476"/>
  <c r="H476"/>
  <c r="G476"/>
  <c r="E476"/>
  <c r="D476"/>
  <c r="L475"/>
  <c r="J475"/>
  <c r="I475"/>
  <c r="H475"/>
  <c r="G475"/>
  <c r="E475"/>
  <c r="D475"/>
  <c r="J474"/>
  <c r="I474"/>
  <c r="H474"/>
  <c r="L473"/>
  <c r="J473"/>
  <c r="I473"/>
  <c r="H473"/>
  <c r="G473"/>
  <c r="E473"/>
  <c r="D473"/>
  <c r="L472"/>
  <c r="J472"/>
  <c r="I472"/>
  <c r="H472"/>
  <c r="G472"/>
  <c r="E472"/>
  <c r="D472"/>
  <c r="J471"/>
  <c r="I471"/>
  <c r="H471"/>
  <c r="H470"/>
  <c r="H469"/>
  <c r="G469"/>
  <c r="E469"/>
  <c r="D469"/>
  <c r="H468"/>
  <c r="G468"/>
  <c r="E468"/>
  <c r="D468"/>
  <c r="L464"/>
  <c r="J464"/>
  <c r="I464"/>
  <c r="H464"/>
  <c r="G464"/>
  <c r="E464"/>
  <c r="D464"/>
  <c r="L463"/>
  <c r="J463"/>
  <c r="I463"/>
  <c r="H463"/>
  <c r="G463"/>
  <c r="E463"/>
  <c r="D463"/>
  <c r="L462"/>
  <c r="J462"/>
  <c r="I462"/>
  <c r="H462"/>
  <c r="L461"/>
  <c r="J461"/>
  <c r="I461"/>
  <c r="H461"/>
  <c r="G461"/>
  <c r="E461"/>
  <c r="D461"/>
  <c r="L460"/>
  <c r="J460"/>
  <c r="I460"/>
  <c r="H460"/>
  <c r="G460"/>
  <c r="E460"/>
  <c r="D460"/>
  <c r="L459"/>
  <c r="J459"/>
  <c r="I459"/>
  <c r="H459"/>
  <c r="L458"/>
  <c r="J458"/>
  <c r="I458"/>
  <c r="H458"/>
  <c r="G458"/>
  <c r="E458"/>
  <c r="D458"/>
  <c r="L457"/>
  <c r="J457"/>
  <c r="I457"/>
  <c r="H457"/>
  <c r="G457"/>
  <c r="E457"/>
  <c r="D457"/>
  <c r="J456"/>
  <c r="I456"/>
  <c r="H456"/>
  <c r="L446"/>
  <c r="L449" s="1"/>
  <c r="L451" s="1"/>
  <c r="J446"/>
  <c r="I446"/>
  <c r="H446"/>
  <c r="G446"/>
  <c r="E446"/>
  <c r="D446"/>
  <c r="L445"/>
  <c r="J445"/>
  <c r="I445"/>
  <c r="H445"/>
  <c r="G445"/>
  <c r="E445"/>
  <c r="D445"/>
  <c r="L444"/>
  <c r="J444"/>
  <c r="I444"/>
  <c r="H444"/>
  <c r="G444"/>
  <c r="D444"/>
  <c r="K443"/>
  <c r="F443"/>
  <c r="K442"/>
  <c r="F442"/>
  <c r="E441"/>
  <c r="K441" s="1"/>
  <c r="K440"/>
  <c r="F440"/>
  <c r="K439"/>
  <c r="F439"/>
  <c r="K438"/>
  <c r="F438"/>
  <c r="K437"/>
  <c r="F437"/>
  <c r="K436"/>
  <c r="F436"/>
  <c r="K435"/>
  <c r="F435"/>
  <c r="J434"/>
  <c r="J449" s="1"/>
  <c r="J451" s="1"/>
  <c r="I434"/>
  <c r="I449" s="1"/>
  <c r="I451" s="1"/>
  <c r="H434"/>
  <c r="H449" s="1"/>
  <c r="H451" s="1"/>
  <c r="G434"/>
  <c r="G449" s="1"/>
  <c r="G451" s="1"/>
  <c r="E434"/>
  <c r="E449" s="1"/>
  <c r="E451" s="1"/>
  <c r="L433"/>
  <c r="J433"/>
  <c r="I433"/>
  <c r="H433"/>
  <c r="G433"/>
  <c r="E433"/>
  <c r="D433"/>
  <c r="L432"/>
  <c r="L454" s="1"/>
  <c r="J432"/>
  <c r="I432"/>
  <c r="H432"/>
  <c r="G432"/>
  <c r="E432"/>
  <c r="D432"/>
  <c r="L431"/>
  <c r="J431"/>
  <c r="I431"/>
  <c r="H431"/>
  <c r="G431"/>
  <c r="E431"/>
  <c r="D431"/>
  <c r="K430"/>
  <c r="F430"/>
  <c r="K429"/>
  <c r="F429"/>
  <c r="K428"/>
  <c r="F428"/>
  <c r="K427"/>
  <c r="F427"/>
  <c r="K426"/>
  <c r="F426"/>
  <c r="K425"/>
  <c r="F425"/>
  <c r="K424"/>
  <c r="F424"/>
  <c r="K423"/>
  <c r="F423"/>
  <c r="K422"/>
  <c r="F422"/>
  <c r="J419"/>
  <c r="J486" s="1"/>
  <c r="I419"/>
  <c r="I486" s="1"/>
  <c r="E419"/>
  <c r="E486" s="1"/>
  <c r="L415"/>
  <c r="J415"/>
  <c r="I415"/>
  <c r="H415"/>
  <c r="G415"/>
  <c r="E415"/>
  <c r="D415"/>
  <c r="L414"/>
  <c r="J414"/>
  <c r="I414"/>
  <c r="G414"/>
  <c r="E414"/>
  <c r="E417" s="1"/>
  <c r="D414"/>
  <c r="L413"/>
  <c r="J413"/>
  <c r="I413"/>
  <c r="H413"/>
  <c r="G413"/>
  <c r="E413"/>
  <c r="D413"/>
  <c r="K412"/>
  <c r="F412"/>
  <c r="K411"/>
  <c r="F411"/>
  <c r="K410"/>
  <c r="F410"/>
  <c r="K409"/>
  <c r="F409"/>
  <c r="K408"/>
  <c r="F408"/>
  <c r="K407"/>
  <c r="F407"/>
  <c r="K406"/>
  <c r="F406"/>
  <c r="K405"/>
  <c r="F405"/>
  <c r="K404"/>
  <c r="F404"/>
  <c r="F402"/>
  <c r="K402" s="1"/>
  <c r="F401"/>
  <c r="K401" s="1"/>
  <c r="K419" s="1"/>
  <c r="L400"/>
  <c r="J400"/>
  <c r="I400"/>
  <c r="I418" s="1"/>
  <c r="I455" s="1"/>
  <c r="H400"/>
  <c r="G400"/>
  <c r="E400"/>
  <c r="E418" s="1"/>
  <c r="E455" s="1"/>
  <c r="D400"/>
  <c r="D418" s="1"/>
  <c r="L399"/>
  <c r="J399"/>
  <c r="J417" s="1"/>
  <c r="I399"/>
  <c r="H399"/>
  <c r="H417" s="1"/>
  <c r="G399"/>
  <c r="E399"/>
  <c r="D399"/>
  <c r="L398"/>
  <c r="J398"/>
  <c r="I398"/>
  <c r="H398"/>
  <c r="G398"/>
  <c r="E398"/>
  <c r="D398"/>
  <c r="K397"/>
  <c r="F397"/>
  <c r="K396"/>
  <c r="F396"/>
  <c r="K395"/>
  <c r="F395"/>
  <c r="K394"/>
  <c r="F394"/>
  <c r="K393"/>
  <c r="F393"/>
  <c r="K392"/>
  <c r="F392"/>
  <c r="K391"/>
  <c r="F391"/>
  <c r="K390"/>
  <c r="F390"/>
  <c r="K389"/>
  <c r="F389"/>
  <c r="J388"/>
  <c r="I388"/>
  <c r="H388"/>
  <c r="K387"/>
  <c r="L378"/>
  <c r="J378"/>
  <c r="I378"/>
  <c r="H378"/>
  <c r="E378"/>
  <c r="D378"/>
  <c r="L377"/>
  <c r="J377"/>
  <c r="I377"/>
  <c r="H377"/>
  <c r="E377"/>
  <c r="D377"/>
  <c r="L376"/>
  <c r="J376"/>
  <c r="I376"/>
  <c r="H376"/>
  <c r="E376"/>
  <c r="D376"/>
  <c r="K375"/>
  <c r="F375"/>
  <c r="F381" s="1"/>
  <c r="K374"/>
  <c r="F374"/>
  <c r="G508"/>
  <c r="F373"/>
  <c r="K371"/>
  <c r="K369"/>
  <c r="N368"/>
  <c r="M368"/>
  <c r="K367"/>
  <c r="F367"/>
  <c r="K366"/>
  <c r="F366"/>
  <c r="G365"/>
  <c r="K365" s="1"/>
  <c r="F365"/>
  <c r="K364"/>
  <c r="F364"/>
  <c r="K363"/>
  <c r="F363"/>
  <c r="G362"/>
  <c r="K362" s="1"/>
  <c r="F362"/>
  <c r="K360"/>
  <c r="K359"/>
  <c r="L358"/>
  <c r="J358"/>
  <c r="I358"/>
  <c r="H358"/>
  <c r="G358"/>
  <c r="G361" s="1"/>
  <c r="D358"/>
  <c r="L357"/>
  <c r="J357"/>
  <c r="J380" s="1"/>
  <c r="I357"/>
  <c r="H357"/>
  <c r="G357"/>
  <c r="E357"/>
  <c r="D357"/>
  <c r="L356"/>
  <c r="J356"/>
  <c r="I356"/>
  <c r="I368" s="1"/>
  <c r="H356"/>
  <c r="D356"/>
  <c r="D368" s="1"/>
  <c r="K355"/>
  <c r="F355"/>
  <c r="K354"/>
  <c r="F354"/>
  <c r="G353"/>
  <c r="K352"/>
  <c r="F352"/>
  <c r="K351"/>
  <c r="F351"/>
  <c r="G350"/>
  <c r="K348"/>
  <c r="F348"/>
  <c r="G347"/>
  <c r="K347" s="1"/>
  <c r="F347"/>
  <c r="K345"/>
  <c r="K344"/>
  <c r="L340"/>
  <c r="J340"/>
  <c r="I340"/>
  <c r="H340"/>
  <c r="G340"/>
  <c r="E340"/>
  <c r="D340"/>
  <c r="L339"/>
  <c r="J339"/>
  <c r="I339"/>
  <c r="E339"/>
  <c r="D339"/>
  <c r="L338"/>
  <c r="J338"/>
  <c r="I338"/>
  <c r="H338"/>
  <c r="E338"/>
  <c r="E353" s="1"/>
  <c r="D338"/>
  <c r="K337"/>
  <c r="F337"/>
  <c r="G336"/>
  <c r="G339" s="1"/>
  <c r="G342" s="1"/>
  <c r="F336"/>
  <c r="G335"/>
  <c r="K335" s="1"/>
  <c r="F335"/>
  <c r="K334"/>
  <c r="F334"/>
  <c r="K333"/>
  <c r="F333"/>
  <c r="G332"/>
  <c r="K332" s="1"/>
  <c r="F332"/>
  <c r="K331"/>
  <c r="F331"/>
  <c r="K330"/>
  <c r="F330"/>
  <c r="G329"/>
  <c r="K329" s="1"/>
  <c r="F329"/>
  <c r="K327"/>
  <c r="K326"/>
  <c r="L325"/>
  <c r="J325"/>
  <c r="I325"/>
  <c r="H325"/>
  <c r="G325"/>
  <c r="G328" s="1"/>
  <c r="E325"/>
  <c r="D325"/>
  <c r="L324"/>
  <c r="J324"/>
  <c r="I324"/>
  <c r="H324"/>
  <c r="H342" s="1"/>
  <c r="G324"/>
  <c r="E324"/>
  <c r="D324"/>
  <c r="L323"/>
  <c r="L341" s="1"/>
  <c r="J323"/>
  <c r="I323"/>
  <c r="H323"/>
  <c r="E323"/>
  <c r="E341" s="1"/>
  <c r="D323"/>
  <c r="L322"/>
  <c r="J322"/>
  <c r="I322"/>
  <c r="H322"/>
  <c r="G322"/>
  <c r="E322"/>
  <c r="D322"/>
  <c r="K321"/>
  <c r="F321"/>
  <c r="K320"/>
  <c r="F320"/>
  <c r="K319"/>
  <c r="F319"/>
  <c r="F322" s="1"/>
  <c r="K318"/>
  <c r="F318"/>
  <c r="K317"/>
  <c r="F317"/>
  <c r="K316"/>
  <c r="F316"/>
  <c r="K315"/>
  <c r="F315"/>
  <c r="K314"/>
  <c r="F314"/>
  <c r="G313"/>
  <c r="G323" s="1"/>
  <c r="F313"/>
  <c r="M304"/>
  <c r="L304"/>
  <c r="J304"/>
  <c r="J310" s="1"/>
  <c r="I304"/>
  <c r="I310" s="1"/>
  <c r="H304"/>
  <c r="H310" s="1"/>
  <c r="G304"/>
  <c r="G310" s="1"/>
  <c r="E304"/>
  <c r="D311"/>
  <c r="L302"/>
  <c r="J302"/>
  <c r="I302"/>
  <c r="H302"/>
  <c r="G302"/>
  <c r="L301"/>
  <c r="J301"/>
  <c r="J311" s="1"/>
  <c r="I301"/>
  <c r="I311" s="1"/>
  <c r="H301"/>
  <c r="H311" s="1"/>
  <c r="G301"/>
  <c r="G311" s="1"/>
  <c r="E311"/>
  <c r="J300"/>
  <c r="I300"/>
  <c r="H300"/>
  <c r="G300"/>
  <c r="E300"/>
  <c r="K299"/>
  <c r="F299"/>
  <c r="K298"/>
  <c r="F298"/>
  <c r="K297"/>
  <c r="F297"/>
  <c r="F295"/>
  <c r="K295" s="1"/>
  <c r="N294"/>
  <c r="N296" s="1"/>
  <c r="M294"/>
  <c r="M296" s="1"/>
  <c r="F293"/>
  <c r="K293" s="1"/>
  <c r="N292"/>
  <c r="M292"/>
  <c r="K291"/>
  <c r="F291"/>
  <c r="K290"/>
  <c r="F290"/>
  <c r="L289"/>
  <c r="L300" s="1"/>
  <c r="K289"/>
  <c r="F289"/>
  <c r="K288"/>
  <c r="F288"/>
  <c r="K287"/>
  <c r="F287"/>
  <c r="D286"/>
  <c r="D300" s="1"/>
  <c r="F284"/>
  <c r="K284" s="1"/>
  <c r="F283"/>
  <c r="K283" s="1"/>
  <c r="L282"/>
  <c r="L285" s="1"/>
  <c r="L294" s="1"/>
  <c r="L296" s="1"/>
  <c r="L305" s="1"/>
  <c r="L308" s="1"/>
  <c r="J282"/>
  <c r="J285" s="1"/>
  <c r="J294" s="1"/>
  <c r="J296" s="1"/>
  <c r="I282"/>
  <c r="I285" s="1"/>
  <c r="I294" s="1"/>
  <c r="I296" s="1"/>
  <c r="H282"/>
  <c r="H285" s="1"/>
  <c r="H294" s="1"/>
  <c r="H296" s="1"/>
  <c r="G282"/>
  <c r="G285" s="1"/>
  <c r="G294" s="1"/>
  <c r="G296" s="1"/>
  <c r="E282"/>
  <c r="E285" s="1"/>
  <c r="E294" s="1"/>
  <c r="E296" s="1"/>
  <c r="E305" s="1"/>
  <c r="E308" s="1"/>
  <c r="D282"/>
  <c r="D285" s="1"/>
  <c r="D294" s="1"/>
  <c r="D296" s="1"/>
  <c r="D305" s="1"/>
  <c r="L281"/>
  <c r="J281"/>
  <c r="I281"/>
  <c r="H281"/>
  <c r="G281"/>
  <c r="E281"/>
  <c r="D281"/>
  <c r="L280"/>
  <c r="J280"/>
  <c r="I280"/>
  <c r="H280"/>
  <c r="G280"/>
  <c r="E280"/>
  <c r="D280"/>
  <c r="J279"/>
  <c r="J303" s="1"/>
  <c r="I279"/>
  <c r="I303" s="1"/>
  <c r="H279"/>
  <c r="H292" s="1"/>
  <c r="G279"/>
  <c r="G292" s="1"/>
  <c r="K278"/>
  <c r="F278"/>
  <c r="K277"/>
  <c r="F277"/>
  <c r="L276"/>
  <c r="L279" s="1"/>
  <c r="E276"/>
  <c r="E279" s="1"/>
  <c r="D276"/>
  <c r="D279" s="1"/>
  <c r="K275"/>
  <c r="F275"/>
  <c r="K274"/>
  <c r="F274"/>
  <c r="K273"/>
  <c r="F273"/>
  <c r="K272"/>
  <c r="F272"/>
  <c r="K271"/>
  <c r="F271"/>
  <c r="K270"/>
  <c r="F270"/>
  <c r="F267"/>
  <c r="K267" s="1"/>
  <c r="F266"/>
  <c r="K266" s="1"/>
  <c r="J262"/>
  <c r="I262"/>
  <c r="H262"/>
  <c r="G262"/>
  <c r="E262"/>
  <c r="D262"/>
  <c r="J261"/>
  <c r="I261"/>
  <c r="G261"/>
  <c r="E261"/>
  <c r="D261"/>
  <c r="J260"/>
  <c r="I260"/>
  <c r="H260"/>
  <c r="G260"/>
  <c r="L259"/>
  <c r="L479" s="1"/>
  <c r="K259"/>
  <c r="F259"/>
  <c r="L258"/>
  <c r="L261" s="1"/>
  <c r="K258"/>
  <c r="F258"/>
  <c r="L257"/>
  <c r="E257"/>
  <c r="D257"/>
  <c r="K256"/>
  <c r="F256"/>
  <c r="K255"/>
  <c r="F255"/>
  <c r="L254"/>
  <c r="D254"/>
  <c r="K254" s="1"/>
  <c r="K253"/>
  <c r="F253"/>
  <c r="K252"/>
  <c r="F252"/>
  <c r="L251"/>
  <c r="D251"/>
  <c r="K251" s="1"/>
  <c r="L249"/>
  <c r="L469" s="1"/>
  <c r="F249"/>
  <c r="K249" s="1"/>
  <c r="F248"/>
  <c r="K248" s="1"/>
  <c r="L247"/>
  <c r="J247"/>
  <c r="I247"/>
  <c r="H247"/>
  <c r="G247"/>
  <c r="E247"/>
  <c r="E250" s="1"/>
  <c r="D247"/>
  <c r="D250" s="1"/>
  <c r="L246"/>
  <c r="J246"/>
  <c r="I246"/>
  <c r="H246"/>
  <c r="H264" s="1"/>
  <c r="G246"/>
  <c r="E246"/>
  <c r="D246"/>
  <c r="J245"/>
  <c r="I245"/>
  <c r="H245"/>
  <c r="G245"/>
  <c r="K244"/>
  <c r="F244"/>
  <c r="K243"/>
  <c r="F243"/>
  <c r="E242"/>
  <c r="E245" s="1"/>
  <c r="D242"/>
  <c r="K241"/>
  <c r="F241"/>
  <c r="K240"/>
  <c r="F240"/>
  <c r="D239"/>
  <c r="F239" s="1"/>
  <c r="K238"/>
  <c r="F238"/>
  <c r="K237"/>
  <c r="F237"/>
  <c r="L236"/>
  <c r="L245" s="1"/>
  <c r="D236"/>
  <c r="K236" s="1"/>
  <c r="M235"/>
  <c r="M234"/>
  <c r="L234"/>
  <c r="J234"/>
  <c r="I234"/>
  <c r="M233"/>
  <c r="L233"/>
  <c r="J233"/>
  <c r="I233"/>
  <c r="H233"/>
  <c r="N228"/>
  <c r="N231" s="1"/>
  <c r="M228"/>
  <c r="M231" s="1"/>
  <c r="N227"/>
  <c r="M227"/>
  <c r="L227"/>
  <c r="J227"/>
  <c r="I227"/>
  <c r="H227"/>
  <c r="G227"/>
  <c r="E227"/>
  <c r="D227"/>
  <c r="M226"/>
  <c r="L225"/>
  <c r="J225"/>
  <c r="I225"/>
  <c r="H225"/>
  <c r="G225"/>
  <c r="E225"/>
  <c r="D225"/>
  <c r="L224"/>
  <c r="J224"/>
  <c r="I224"/>
  <c r="H224"/>
  <c r="G224"/>
  <c r="E224"/>
  <c r="D224"/>
  <c r="J223"/>
  <c r="I223"/>
  <c r="H223"/>
  <c r="K222"/>
  <c r="F222"/>
  <c r="K221"/>
  <c r="F221"/>
  <c r="F220"/>
  <c r="K220" s="1"/>
  <c r="F218"/>
  <c r="K218" s="1"/>
  <c r="F216"/>
  <c r="K216" s="1"/>
  <c r="K227" s="1"/>
  <c r="M215"/>
  <c r="K214"/>
  <c r="F214"/>
  <c r="K213"/>
  <c r="F213"/>
  <c r="L212"/>
  <c r="L223" s="1"/>
  <c r="G212"/>
  <c r="E212"/>
  <c r="D212"/>
  <c r="K211"/>
  <c r="F211"/>
  <c r="K210"/>
  <c r="F210"/>
  <c r="G209"/>
  <c r="E209"/>
  <c r="D209"/>
  <c r="F207"/>
  <c r="K207" s="1"/>
  <c r="F206"/>
  <c r="K206" s="1"/>
  <c r="L205"/>
  <c r="L208" s="1"/>
  <c r="L217" s="1"/>
  <c r="L219" s="1"/>
  <c r="J205"/>
  <c r="J208" s="1"/>
  <c r="J217" s="1"/>
  <c r="J219" s="1"/>
  <c r="I205"/>
  <c r="I208" s="1"/>
  <c r="I217" s="1"/>
  <c r="I219" s="1"/>
  <c r="I228" s="1"/>
  <c r="I231" s="1"/>
  <c r="H205"/>
  <c r="H208" s="1"/>
  <c r="H217" s="1"/>
  <c r="H219" s="1"/>
  <c r="G205"/>
  <c r="G208" s="1"/>
  <c r="G217" s="1"/>
  <c r="G219" s="1"/>
  <c r="E205"/>
  <c r="E208" s="1"/>
  <c r="E217" s="1"/>
  <c r="E219" s="1"/>
  <c r="E228" s="1"/>
  <c r="E231" s="1"/>
  <c r="D205"/>
  <c r="D208" s="1"/>
  <c r="D217" s="1"/>
  <c r="D219" s="1"/>
  <c r="D228" s="1"/>
  <c r="D231" s="1"/>
  <c r="N204"/>
  <c r="L204"/>
  <c r="J204"/>
  <c r="I204"/>
  <c r="H204"/>
  <c r="G204"/>
  <c r="E204"/>
  <c r="D204"/>
  <c r="N203"/>
  <c r="L203"/>
  <c r="J203"/>
  <c r="I203"/>
  <c r="H203"/>
  <c r="G203"/>
  <c r="E203"/>
  <c r="D203"/>
  <c r="N202"/>
  <c r="N215" s="1"/>
  <c r="J202"/>
  <c r="J215" s="1"/>
  <c r="I202"/>
  <c r="H202"/>
  <c r="K201"/>
  <c r="F201"/>
  <c r="K200"/>
  <c r="F200"/>
  <c r="L199"/>
  <c r="L202" s="1"/>
  <c r="G199"/>
  <c r="E199"/>
  <c r="D199"/>
  <c r="K198"/>
  <c r="F198"/>
  <c r="K197"/>
  <c r="F197"/>
  <c r="G196"/>
  <c r="E196"/>
  <c r="D196"/>
  <c r="K195"/>
  <c r="F195"/>
  <c r="K194"/>
  <c r="F194"/>
  <c r="G193"/>
  <c r="E193"/>
  <c r="D193"/>
  <c r="N191"/>
  <c r="N192" s="1"/>
  <c r="N235" s="1"/>
  <c r="F191"/>
  <c r="K191" s="1"/>
  <c r="F190"/>
  <c r="K190" s="1"/>
  <c r="H188"/>
  <c r="N186"/>
  <c r="N189" s="1"/>
  <c r="L186"/>
  <c r="L189" s="1"/>
  <c r="L192" s="1"/>
  <c r="J186"/>
  <c r="I186"/>
  <c r="H186"/>
  <c r="G186"/>
  <c r="E186"/>
  <c r="N185"/>
  <c r="L185"/>
  <c r="L188" s="1"/>
  <c r="J185"/>
  <c r="I185"/>
  <c r="G185"/>
  <c r="G188" s="1"/>
  <c r="E185"/>
  <c r="D185"/>
  <c r="D188" s="1"/>
  <c r="N184"/>
  <c r="J184"/>
  <c r="I184"/>
  <c r="H184"/>
  <c r="D183"/>
  <c r="D479" s="1"/>
  <c r="K182"/>
  <c r="F182"/>
  <c r="L181"/>
  <c r="E181"/>
  <c r="D181"/>
  <c r="K180"/>
  <c r="F180"/>
  <c r="K179"/>
  <c r="F179"/>
  <c r="L178"/>
  <c r="E178"/>
  <c r="K178" s="1"/>
  <c r="K177"/>
  <c r="F177"/>
  <c r="K176"/>
  <c r="F176"/>
  <c r="L175"/>
  <c r="G175"/>
  <c r="G184" s="1"/>
  <c r="E175"/>
  <c r="D175"/>
  <c r="F173"/>
  <c r="K173" s="1"/>
  <c r="F172"/>
  <c r="J171"/>
  <c r="J174" s="1"/>
  <c r="I171"/>
  <c r="I174" s="1"/>
  <c r="H171"/>
  <c r="G171"/>
  <c r="G174" s="1"/>
  <c r="E171"/>
  <c r="E174" s="1"/>
  <c r="D171"/>
  <c r="D174" s="1"/>
  <c r="J170"/>
  <c r="I170"/>
  <c r="H170"/>
  <c r="G170"/>
  <c r="E170"/>
  <c r="D170"/>
  <c r="N169"/>
  <c r="N172" s="1"/>
  <c r="M169"/>
  <c r="M187" s="1"/>
  <c r="J169"/>
  <c r="I169"/>
  <c r="K168"/>
  <c r="F168"/>
  <c r="K167"/>
  <c r="F167"/>
  <c r="E166"/>
  <c r="K166" s="1"/>
  <c r="K165"/>
  <c r="F165"/>
  <c r="N164"/>
  <c r="N170" s="1"/>
  <c r="K164"/>
  <c r="F164"/>
  <c r="G163"/>
  <c r="E163"/>
  <c r="D163"/>
  <c r="K162"/>
  <c r="F162"/>
  <c r="K161"/>
  <c r="F161"/>
  <c r="L160"/>
  <c r="L169" s="1"/>
  <c r="G160"/>
  <c r="E160"/>
  <c r="D160"/>
  <c r="N159"/>
  <c r="M158"/>
  <c r="N152"/>
  <c r="M152"/>
  <c r="M159" s="1"/>
  <c r="N151"/>
  <c r="M151"/>
  <c r="M157" s="1"/>
  <c r="L151"/>
  <c r="J151"/>
  <c r="I151"/>
  <c r="H151"/>
  <c r="G151"/>
  <c r="E151"/>
  <c r="D151"/>
  <c r="L149"/>
  <c r="J149"/>
  <c r="I149"/>
  <c r="H149"/>
  <c r="G149"/>
  <c r="E149"/>
  <c r="D149"/>
  <c r="L148"/>
  <c r="J148"/>
  <c r="I148"/>
  <c r="H148"/>
  <c r="G148"/>
  <c r="E148"/>
  <c r="D148"/>
  <c r="N147"/>
  <c r="M147"/>
  <c r="J147"/>
  <c r="I147"/>
  <c r="H147"/>
  <c r="K146"/>
  <c r="F146"/>
  <c r="K145"/>
  <c r="F145"/>
  <c r="F142"/>
  <c r="K142" s="1"/>
  <c r="F140"/>
  <c r="N139"/>
  <c r="M139"/>
  <c r="J139"/>
  <c r="I139"/>
  <c r="H139"/>
  <c r="K138"/>
  <c r="F138"/>
  <c r="K137"/>
  <c r="F137"/>
  <c r="L136"/>
  <c r="L147" s="1"/>
  <c r="E136"/>
  <c r="D136"/>
  <c r="K135"/>
  <c r="F135"/>
  <c r="K134"/>
  <c r="F134"/>
  <c r="G133"/>
  <c r="E133"/>
  <c r="D133"/>
  <c r="M132"/>
  <c r="F131"/>
  <c r="K131" s="1"/>
  <c r="F130"/>
  <c r="K130" s="1"/>
  <c r="L129"/>
  <c r="L132" s="1"/>
  <c r="L141" s="1"/>
  <c r="L143" s="1"/>
  <c r="J129"/>
  <c r="J132" s="1"/>
  <c r="J141" s="1"/>
  <c r="J143" s="1"/>
  <c r="I129"/>
  <c r="I132" s="1"/>
  <c r="I141" s="1"/>
  <c r="I143" s="1"/>
  <c r="H129"/>
  <c r="H132" s="1"/>
  <c r="H141" s="1"/>
  <c r="H143" s="1"/>
  <c r="G129"/>
  <c r="G132" s="1"/>
  <c r="G141" s="1"/>
  <c r="G143" s="1"/>
  <c r="E129"/>
  <c r="E132" s="1"/>
  <c r="E141" s="1"/>
  <c r="E143" s="1"/>
  <c r="D129"/>
  <c r="D132" s="1"/>
  <c r="D141" s="1"/>
  <c r="D143" s="1"/>
  <c r="N128"/>
  <c r="N132" s="1"/>
  <c r="L128"/>
  <c r="J128"/>
  <c r="I128"/>
  <c r="H128"/>
  <c r="G128"/>
  <c r="E128"/>
  <c r="D128"/>
  <c r="N127"/>
  <c r="L127"/>
  <c r="J127"/>
  <c r="I127"/>
  <c r="H127"/>
  <c r="G127"/>
  <c r="E127"/>
  <c r="D127"/>
  <c r="N126"/>
  <c r="M126"/>
  <c r="J126"/>
  <c r="I126"/>
  <c r="H126"/>
  <c r="K125"/>
  <c r="F125"/>
  <c r="K124"/>
  <c r="F124"/>
  <c r="L123"/>
  <c r="L126" s="1"/>
  <c r="G123"/>
  <c r="E123"/>
  <c r="D123"/>
  <c r="K122"/>
  <c r="F122"/>
  <c r="K121"/>
  <c r="F121"/>
  <c r="G120"/>
  <c r="E120"/>
  <c r="D120"/>
  <c r="K119"/>
  <c r="F119"/>
  <c r="K118"/>
  <c r="F118"/>
  <c r="G117"/>
  <c r="E117"/>
  <c r="D117"/>
  <c r="F115"/>
  <c r="K115" s="1"/>
  <c r="F114"/>
  <c r="F157" s="1"/>
  <c r="F158" s="1"/>
  <c r="H113"/>
  <c r="H116" s="1"/>
  <c r="H112"/>
  <c r="H111"/>
  <c r="N110"/>
  <c r="H110"/>
  <c r="N109"/>
  <c r="L109"/>
  <c r="J109"/>
  <c r="I109"/>
  <c r="G109"/>
  <c r="E109"/>
  <c r="D109"/>
  <c r="N108"/>
  <c r="J108"/>
  <c r="I108"/>
  <c r="E108"/>
  <c r="E112" s="1"/>
  <c r="D108"/>
  <c r="N107"/>
  <c r="M107"/>
  <c r="J107"/>
  <c r="J110" s="1"/>
  <c r="I107"/>
  <c r="J106"/>
  <c r="I106"/>
  <c r="H106"/>
  <c r="K105"/>
  <c r="F105"/>
  <c r="L104"/>
  <c r="G104"/>
  <c r="F104"/>
  <c r="L103"/>
  <c r="G103"/>
  <c r="G106" s="1"/>
  <c r="E103"/>
  <c r="E106" s="1"/>
  <c r="D103"/>
  <c r="J102"/>
  <c r="I102"/>
  <c r="H102"/>
  <c r="G102"/>
  <c r="K101"/>
  <c r="F101"/>
  <c r="K100"/>
  <c r="F100"/>
  <c r="L99"/>
  <c r="L102" s="1"/>
  <c r="E99"/>
  <c r="D99"/>
  <c r="J98"/>
  <c r="I98"/>
  <c r="H98"/>
  <c r="K97"/>
  <c r="F97"/>
  <c r="K96"/>
  <c r="F96"/>
  <c r="L95"/>
  <c r="L98" s="1"/>
  <c r="G95"/>
  <c r="E95"/>
  <c r="E98" s="1"/>
  <c r="D95"/>
  <c r="D98" s="1"/>
  <c r="M94"/>
  <c r="M92" s="1"/>
  <c r="F93"/>
  <c r="K93" s="1"/>
  <c r="F92"/>
  <c r="N91"/>
  <c r="L91"/>
  <c r="L94" s="1"/>
  <c r="J91"/>
  <c r="J94" s="1"/>
  <c r="I91"/>
  <c r="I94" s="1"/>
  <c r="G91"/>
  <c r="G94" s="1"/>
  <c r="E91"/>
  <c r="E94" s="1"/>
  <c r="D91"/>
  <c r="D94" s="1"/>
  <c r="N90"/>
  <c r="L90"/>
  <c r="J90"/>
  <c r="I90"/>
  <c r="G90"/>
  <c r="E90"/>
  <c r="D90"/>
  <c r="N89"/>
  <c r="M89"/>
  <c r="J89"/>
  <c r="I89"/>
  <c r="K88"/>
  <c r="F88"/>
  <c r="K87"/>
  <c r="F87"/>
  <c r="G86"/>
  <c r="E86"/>
  <c r="D86"/>
  <c r="K85"/>
  <c r="F85"/>
  <c r="K84"/>
  <c r="F84"/>
  <c r="G83"/>
  <c r="E83"/>
  <c r="D83"/>
  <c r="K82"/>
  <c r="F82"/>
  <c r="K81"/>
  <c r="F81"/>
  <c r="L80"/>
  <c r="L89" s="1"/>
  <c r="G80"/>
  <c r="E80"/>
  <c r="N78"/>
  <c r="M78"/>
  <c r="J78"/>
  <c r="J77" s="1"/>
  <c r="I78"/>
  <c r="I77" s="1"/>
  <c r="J71"/>
  <c r="I71"/>
  <c r="H71"/>
  <c r="G71"/>
  <c r="E71"/>
  <c r="D71"/>
  <c r="L69"/>
  <c r="J69"/>
  <c r="I69"/>
  <c r="H69"/>
  <c r="G69"/>
  <c r="E69"/>
  <c r="D69"/>
  <c r="L68"/>
  <c r="J68"/>
  <c r="I68"/>
  <c r="H68"/>
  <c r="G68"/>
  <c r="E68"/>
  <c r="D68"/>
  <c r="J67"/>
  <c r="I67"/>
  <c r="H67"/>
  <c r="K66"/>
  <c r="F66"/>
  <c r="K65"/>
  <c r="F65"/>
  <c r="K64"/>
  <c r="F64"/>
  <c r="F62"/>
  <c r="K62" s="1"/>
  <c r="F60"/>
  <c r="K60" s="1"/>
  <c r="N59"/>
  <c r="M59"/>
  <c r="K58"/>
  <c r="F58"/>
  <c r="K57"/>
  <c r="F57"/>
  <c r="L56"/>
  <c r="G56"/>
  <c r="E56"/>
  <c r="D56"/>
  <c r="K55"/>
  <c r="F55"/>
  <c r="K54"/>
  <c r="F54"/>
  <c r="G53"/>
  <c r="E53"/>
  <c r="D53"/>
  <c r="F51"/>
  <c r="K51" s="1"/>
  <c r="F50"/>
  <c r="K50" s="1"/>
  <c r="J49"/>
  <c r="I49"/>
  <c r="H49"/>
  <c r="G49"/>
  <c r="E49"/>
  <c r="D49"/>
  <c r="L48"/>
  <c r="J48"/>
  <c r="I48"/>
  <c r="H48"/>
  <c r="G48"/>
  <c r="E48"/>
  <c r="E52" s="1"/>
  <c r="E61" s="1"/>
  <c r="E63" s="1"/>
  <c r="E72" s="1"/>
  <c r="E75" s="1"/>
  <c r="D48"/>
  <c r="L47"/>
  <c r="J47"/>
  <c r="I47"/>
  <c r="H47"/>
  <c r="G47"/>
  <c r="E47"/>
  <c r="D47"/>
  <c r="J46"/>
  <c r="I46"/>
  <c r="H46"/>
  <c r="K45"/>
  <c r="F45"/>
  <c r="K44"/>
  <c r="F44"/>
  <c r="L43"/>
  <c r="G43"/>
  <c r="E43"/>
  <c r="D43"/>
  <c r="K42"/>
  <c r="F42"/>
  <c r="K41"/>
  <c r="F41"/>
  <c r="G40"/>
  <c r="E40"/>
  <c r="D40"/>
  <c r="K39"/>
  <c r="F39"/>
  <c r="K38"/>
  <c r="F38"/>
  <c r="G37"/>
  <c r="E37"/>
  <c r="D37"/>
  <c r="F35"/>
  <c r="F34"/>
  <c r="F78" s="1"/>
  <c r="H33"/>
  <c r="H36" s="1"/>
  <c r="H32"/>
  <c r="H31"/>
  <c r="L30"/>
  <c r="J30"/>
  <c r="I30"/>
  <c r="G30"/>
  <c r="E30"/>
  <c r="D30"/>
  <c r="L29"/>
  <c r="J29"/>
  <c r="I29"/>
  <c r="G29"/>
  <c r="G32" s="1"/>
  <c r="E29"/>
  <c r="D29"/>
  <c r="J28"/>
  <c r="I28"/>
  <c r="K27"/>
  <c r="F27"/>
  <c r="K26"/>
  <c r="F26"/>
  <c r="L25"/>
  <c r="G25"/>
  <c r="E25"/>
  <c r="D25"/>
  <c r="K24"/>
  <c r="F24"/>
  <c r="K23"/>
  <c r="F23"/>
  <c r="L22"/>
  <c r="E22"/>
  <c r="K21"/>
  <c r="F21"/>
  <c r="K20"/>
  <c r="F20"/>
  <c r="L19"/>
  <c r="G19"/>
  <c r="E19"/>
  <c r="D19"/>
  <c r="F17"/>
  <c r="F16"/>
  <c r="L15"/>
  <c r="J15"/>
  <c r="I15"/>
  <c r="H15"/>
  <c r="G15"/>
  <c r="E15"/>
  <c r="D15"/>
  <c r="L14"/>
  <c r="J14"/>
  <c r="I14"/>
  <c r="H14"/>
  <c r="G14"/>
  <c r="E14"/>
  <c r="D14"/>
  <c r="J13"/>
  <c r="I13"/>
  <c r="K12"/>
  <c r="F12"/>
  <c r="K11"/>
  <c r="F11"/>
  <c r="G10"/>
  <c r="E10"/>
  <c r="K9"/>
  <c r="F9"/>
  <c r="K8"/>
  <c r="F8"/>
  <c r="G7"/>
  <c r="E7"/>
  <c r="D7"/>
  <c r="K6"/>
  <c r="F6"/>
  <c r="K5"/>
  <c r="F5"/>
  <c r="L4"/>
  <c r="G4"/>
  <c r="E4"/>
  <c r="D4"/>
  <c r="M511" i="1"/>
  <c r="K322" i="2" l="1"/>
  <c r="G478"/>
  <c r="D459"/>
  <c r="G467"/>
  <c r="D489"/>
  <c r="F494"/>
  <c r="G495"/>
  <c r="F497"/>
  <c r="J498"/>
  <c r="F509"/>
  <c r="E113"/>
  <c r="E116" s="1"/>
  <c r="E508"/>
  <c r="F468"/>
  <c r="J500"/>
  <c r="D462"/>
  <c r="L478"/>
  <c r="H482"/>
  <c r="J187"/>
  <c r="K313"/>
  <c r="K323" s="1"/>
  <c r="K357"/>
  <c r="H379"/>
  <c r="D380"/>
  <c r="K127"/>
  <c r="L379"/>
  <c r="G416"/>
  <c r="L416"/>
  <c r="D447"/>
  <c r="L385"/>
  <c r="G477"/>
  <c r="D492"/>
  <c r="J263"/>
  <c r="I380"/>
  <c r="K378"/>
  <c r="K377"/>
  <c r="J447"/>
  <c r="G448"/>
  <c r="E456"/>
  <c r="G466"/>
  <c r="H467"/>
  <c r="G471"/>
  <c r="F475"/>
  <c r="D477"/>
  <c r="F463"/>
  <c r="I465"/>
  <c r="F473"/>
  <c r="K461"/>
  <c r="F399"/>
  <c r="F432"/>
  <c r="I447"/>
  <c r="J448"/>
  <c r="K510"/>
  <c r="M150"/>
  <c r="M514" s="1"/>
  <c r="D341"/>
  <c r="F341" s="1"/>
  <c r="J341"/>
  <c r="F340"/>
  <c r="H416"/>
  <c r="D417"/>
  <c r="F417" s="1"/>
  <c r="I467"/>
  <c r="K473"/>
  <c r="I481"/>
  <c r="K504"/>
  <c r="L513"/>
  <c r="K128"/>
  <c r="E380"/>
  <c r="F458"/>
  <c r="K463"/>
  <c r="H466"/>
  <c r="L471"/>
  <c r="E477"/>
  <c r="E482"/>
  <c r="G492"/>
  <c r="L495"/>
  <c r="D499"/>
  <c r="G502"/>
  <c r="K507"/>
  <c r="H511"/>
  <c r="E512"/>
  <c r="I111"/>
  <c r="D474"/>
  <c r="G126"/>
  <c r="L456"/>
  <c r="K458"/>
  <c r="F460"/>
  <c r="E462"/>
  <c r="F464"/>
  <c r="D466"/>
  <c r="I466"/>
  <c r="E467"/>
  <c r="J467"/>
  <c r="D471"/>
  <c r="F472"/>
  <c r="E474"/>
  <c r="F476"/>
  <c r="D481"/>
  <c r="D484" s="1"/>
  <c r="J481"/>
  <c r="G482"/>
  <c r="F487"/>
  <c r="G489"/>
  <c r="K48"/>
  <c r="K52" s="1"/>
  <c r="F493"/>
  <c r="D495"/>
  <c r="F496"/>
  <c r="H498"/>
  <c r="E499"/>
  <c r="J499"/>
  <c r="G500"/>
  <c r="L500"/>
  <c r="F503"/>
  <c r="D505"/>
  <c r="F506"/>
  <c r="K509"/>
  <c r="I511"/>
  <c r="G512"/>
  <c r="L512"/>
  <c r="H513"/>
  <c r="H465"/>
  <c r="L250"/>
  <c r="L292"/>
  <c r="G447"/>
  <c r="L447"/>
  <c r="H454"/>
  <c r="H518" s="1"/>
  <c r="G456"/>
  <c r="G459"/>
  <c r="J465"/>
  <c r="D467"/>
  <c r="F469"/>
  <c r="K475"/>
  <c r="J480"/>
  <c r="E489"/>
  <c r="K494"/>
  <c r="K497"/>
  <c r="I499"/>
  <c r="L505"/>
  <c r="J512"/>
  <c r="H480"/>
  <c r="D456"/>
  <c r="F457"/>
  <c r="K460"/>
  <c r="G462"/>
  <c r="K464"/>
  <c r="E466"/>
  <c r="J466"/>
  <c r="L467"/>
  <c r="L474"/>
  <c r="K476"/>
  <c r="L477"/>
  <c r="E481"/>
  <c r="E484" s="1"/>
  <c r="I482"/>
  <c r="F490"/>
  <c r="K493"/>
  <c r="E495"/>
  <c r="K496"/>
  <c r="I498"/>
  <c r="H500"/>
  <c r="D502"/>
  <c r="K503"/>
  <c r="E505"/>
  <c r="F510"/>
  <c r="J511"/>
  <c r="H512"/>
  <c r="I513"/>
  <c r="D126"/>
  <c r="F151"/>
  <c r="G189"/>
  <c r="G192" s="1"/>
  <c r="I263"/>
  <c r="I309" s="1"/>
  <c r="G264"/>
  <c r="K380"/>
  <c r="K386" s="1"/>
  <c r="E416"/>
  <c r="J416"/>
  <c r="G417"/>
  <c r="K431"/>
  <c r="K433"/>
  <c r="H447"/>
  <c r="D448"/>
  <c r="I448"/>
  <c r="K446"/>
  <c r="K78"/>
  <c r="K77" s="1"/>
  <c r="F77"/>
  <c r="E126"/>
  <c r="F129"/>
  <c r="F132" s="1"/>
  <c r="F141" s="1"/>
  <c r="F143" s="1"/>
  <c r="F152" s="1"/>
  <c r="F155" s="1"/>
  <c r="F311"/>
  <c r="K311" s="1"/>
  <c r="F234"/>
  <c r="K234" s="1"/>
  <c r="D455"/>
  <c r="F127"/>
  <c r="F120"/>
  <c r="F203"/>
  <c r="F254"/>
  <c r="F434"/>
  <c r="E450"/>
  <c r="E515" s="1"/>
  <c r="F515" s="1"/>
  <c r="K515" s="1"/>
  <c r="E448"/>
  <c r="E453" s="1"/>
  <c r="F305"/>
  <c r="K305" s="1"/>
  <c r="D308"/>
  <c r="J343"/>
  <c r="D518"/>
  <c r="L466"/>
  <c r="F478"/>
  <c r="I480"/>
  <c r="J482"/>
  <c r="K490"/>
  <c r="H499"/>
  <c r="D500"/>
  <c r="I500"/>
  <c r="G505"/>
  <c r="F507"/>
  <c r="D512"/>
  <c r="I512"/>
  <c r="E513"/>
  <c r="J513"/>
  <c r="F117"/>
  <c r="G147"/>
  <c r="M232"/>
  <c r="E265"/>
  <c r="E268" s="1"/>
  <c r="E312" s="1"/>
  <c r="K257"/>
  <c r="F280"/>
  <c r="F281"/>
  <c r="F276"/>
  <c r="F279" s="1"/>
  <c r="J379"/>
  <c r="L380"/>
  <c r="K432"/>
  <c r="F103"/>
  <c r="F106" s="1"/>
  <c r="F209"/>
  <c r="M155"/>
  <c r="M516" s="1"/>
  <c r="J113"/>
  <c r="J116" s="1"/>
  <c r="F136"/>
  <c r="F160"/>
  <c r="K212"/>
  <c r="L260"/>
  <c r="L263" s="1"/>
  <c r="I265"/>
  <c r="I268" s="1"/>
  <c r="I312" s="1"/>
  <c r="N155"/>
  <c r="N516" s="1"/>
  <c r="F166"/>
  <c r="I189"/>
  <c r="I192" s="1"/>
  <c r="I235" s="1"/>
  <c r="F181"/>
  <c r="D292"/>
  <c r="F286"/>
  <c r="E343"/>
  <c r="F343" s="1"/>
  <c r="F415"/>
  <c r="K99"/>
  <c r="K102" s="1"/>
  <c r="F109"/>
  <c r="K140"/>
  <c r="K151" s="1"/>
  <c r="K160"/>
  <c r="K171"/>
  <c r="K174" s="1"/>
  <c r="E189"/>
  <c r="E192" s="1"/>
  <c r="E235" s="1"/>
  <c r="J189"/>
  <c r="J192" s="1"/>
  <c r="J235" s="1"/>
  <c r="F178"/>
  <c r="E223"/>
  <c r="I341"/>
  <c r="E342"/>
  <c r="H380"/>
  <c r="H386" s="1"/>
  <c r="F378"/>
  <c r="D416"/>
  <c r="I416"/>
  <c r="G18"/>
  <c r="G470" s="1"/>
  <c r="F148"/>
  <c r="L184"/>
  <c r="L187" s="1"/>
  <c r="J265"/>
  <c r="J268" s="1"/>
  <c r="J312" s="1"/>
  <c r="F301"/>
  <c r="D343"/>
  <c r="K414"/>
  <c r="H52"/>
  <c r="H61" s="1"/>
  <c r="H63" s="1"/>
  <c r="H72" s="1"/>
  <c r="H75" s="1"/>
  <c r="H79" s="1"/>
  <c r="I59"/>
  <c r="L139"/>
  <c r="F445"/>
  <c r="D113"/>
  <c r="D116" s="1"/>
  <c r="K109"/>
  <c r="H150"/>
  <c r="F196"/>
  <c r="F246"/>
  <c r="L18"/>
  <c r="L16" s="1"/>
  <c r="L32" s="1"/>
  <c r="F48"/>
  <c r="F52" s="1"/>
  <c r="E89"/>
  <c r="F86"/>
  <c r="M111"/>
  <c r="N112"/>
  <c r="N114" s="1"/>
  <c r="I110"/>
  <c r="L108"/>
  <c r="L481" s="1"/>
  <c r="I150"/>
  <c r="E139"/>
  <c r="F149"/>
  <c r="G202"/>
  <c r="G215" s="1"/>
  <c r="H226"/>
  <c r="K242"/>
  <c r="K281"/>
  <c r="K301"/>
  <c r="H341"/>
  <c r="D342"/>
  <c r="F338"/>
  <c r="L417"/>
  <c r="G418"/>
  <c r="G455" s="1"/>
  <c r="F431"/>
  <c r="F433"/>
  <c r="K14"/>
  <c r="K22"/>
  <c r="F25"/>
  <c r="F40"/>
  <c r="F4"/>
  <c r="K457"/>
  <c r="E459"/>
  <c r="F461"/>
  <c r="K10"/>
  <c r="L13"/>
  <c r="L465" s="1"/>
  <c r="D18"/>
  <c r="D470" s="1"/>
  <c r="E471"/>
  <c r="K472"/>
  <c r="F22"/>
  <c r="G499"/>
  <c r="L499"/>
  <c r="F49"/>
  <c r="D52"/>
  <c r="D61" s="1"/>
  <c r="D63" s="1"/>
  <c r="D72" s="1"/>
  <c r="D75" s="1"/>
  <c r="E502"/>
  <c r="F504"/>
  <c r="F56"/>
  <c r="K506"/>
  <c r="K80"/>
  <c r="K83"/>
  <c r="K91"/>
  <c r="K94" s="1"/>
  <c r="G89"/>
  <c r="N111"/>
  <c r="K95"/>
  <c r="K98" s="1"/>
  <c r="K114"/>
  <c r="K157" s="1"/>
  <c r="K158" s="1"/>
  <c r="F123"/>
  <c r="N150"/>
  <c r="K149"/>
  <c r="F170"/>
  <c r="I187"/>
  <c r="I172"/>
  <c r="I188" s="1"/>
  <c r="F183"/>
  <c r="F186" s="1"/>
  <c r="F185"/>
  <c r="F188" s="1"/>
  <c r="D202"/>
  <c r="D215" s="1"/>
  <c r="K199"/>
  <c r="H215"/>
  <c r="F236"/>
  <c r="K239"/>
  <c r="G263"/>
  <c r="D264"/>
  <c r="F251"/>
  <c r="K262"/>
  <c r="K280"/>
  <c r="K282"/>
  <c r="K285" s="1"/>
  <c r="K294" s="1"/>
  <c r="K296" s="1"/>
  <c r="K276"/>
  <c r="K279" s="1"/>
  <c r="G303"/>
  <c r="D303"/>
  <c r="F302"/>
  <c r="L303"/>
  <c r="K304"/>
  <c r="K310" s="1"/>
  <c r="K324"/>
  <c r="G338"/>
  <c r="G341" s="1"/>
  <c r="F339"/>
  <c r="L342"/>
  <c r="L386" s="1"/>
  <c r="H343"/>
  <c r="F357"/>
  <c r="D379"/>
  <c r="F376"/>
  <c r="L368"/>
  <c r="F413"/>
  <c r="K413"/>
  <c r="L418"/>
  <c r="L455" s="1"/>
  <c r="F441"/>
  <c r="F444" s="1"/>
  <c r="E67"/>
  <c r="F71"/>
  <c r="F91"/>
  <c r="F94" s="1"/>
  <c r="L150"/>
  <c r="K129"/>
  <c r="K132" s="1"/>
  <c r="K141" s="1"/>
  <c r="K143" s="1"/>
  <c r="G169"/>
  <c r="G187" s="1"/>
  <c r="K185"/>
  <c r="N187"/>
  <c r="N190" s="1"/>
  <c r="K203"/>
  <c r="K247"/>
  <c r="F262"/>
  <c r="H303"/>
  <c r="F324"/>
  <c r="L343"/>
  <c r="J368"/>
  <c r="K398"/>
  <c r="K400"/>
  <c r="F414"/>
  <c r="K415"/>
  <c r="F446"/>
  <c r="H484"/>
  <c r="L52"/>
  <c r="L61" s="1"/>
  <c r="L63" s="1"/>
  <c r="L72" s="1"/>
  <c r="F83"/>
  <c r="K90"/>
  <c r="J111"/>
  <c r="G113"/>
  <c r="G116" s="1"/>
  <c r="N113"/>
  <c r="F108"/>
  <c r="F112" s="1"/>
  <c r="J150"/>
  <c r="F133"/>
  <c r="K148"/>
  <c r="F171"/>
  <c r="F174" s="1"/>
  <c r="F175"/>
  <c r="D186"/>
  <c r="D482" s="1"/>
  <c r="F199"/>
  <c r="F247"/>
  <c r="F261"/>
  <c r="K261"/>
  <c r="H265"/>
  <c r="H268" s="1"/>
  <c r="H263"/>
  <c r="K325"/>
  <c r="I342"/>
  <c r="H368"/>
  <c r="F398"/>
  <c r="F400"/>
  <c r="K445"/>
  <c r="F15"/>
  <c r="G13"/>
  <c r="F90"/>
  <c r="N94"/>
  <c r="D107"/>
  <c r="L107"/>
  <c r="L111" s="1"/>
  <c r="K120"/>
  <c r="K123"/>
  <c r="K136"/>
  <c r="F163"/>
  <c r="E169"/>
  <c r="K170"/>
  <c r="J172"/>
  <c r="J188" s="1"/>
  <c r="K183"/>
  <c r="K186" s="1"/>
  <c r="E202"/>
  <c r="E226" s="1"/>
  <c r="K205"/>
  <c r="K208" s="1"/>
  <c r="K217" s="1"/>
  <c r="K219" s="1"/>
  <c r="K228" s="1"/>
  <c r="K231" s="1"/>
  <c r="L226"/>
  <c r="F225"/>
  <c r="K225" s="1"/>
  <c r="F212"/>
  <c r="L215"/>
  <c r="D245"/>
  <c r="K246"/>
  <c r="E264"/>
  <c r="F257"/>
  <c r="I264"/>
  <c r="G265"/>
  <c r="G268" s="1"/>
  <c r="L262"/>
  <c r="L482" s="1"/>
  <c r="F300"/>
  <c r="F325"/>
  <c r="K340"/>
  <c r="F377"/>
  <c r="K399"/>
  <c r="I417"/>
  <c r="H418"/>
  <c r="H455" s="1"/>
  <c r="K434"/>
  <c r="G454"/>
  <c r="G518" s="1"/>
  <c r="D152"/>
  <c r="H152"/>
  <c r="H155" s="1"/>
  <c r="J152"/>
  <c r="J155" s="1"/>
  <c r="L172"/>
  <c r="I113"/>
  <c r="I116" s="1"/>
  <c r="I92"/>
  <c r="I112" s="1"/>
  <c r="G152"/>
  <c r="G155" s="1"/>
  <c r="L152"/>
  <c r="E152"/>
  <c r="L235"/>
  <c r="L228"/>
  <c r="L231" s="1"/>
  <c r="L92"/>
  <c r="L113"/>
  <c r="L116" s="1"/>
  <c r="I152"/>
  <c r="I155" s="1"/>
  <c r="D265"/>
  <c r="F250"/>
  <c r="K250" s="1"/>
  <c r="E421"/>
  <c r="F14"/>
  <c r="D13"/>
  <c r="K15"/>
  <c r="I17"/>
  <c r="E18"/>
  <c r="E28"/>
  <c r="I31"/>
  <c r="D32"/>
  <c r="K40"/>
  <c r="E46"/>
  <c r="I501"/>
  <c r="J52"/>
  <c r="J61" s="1"/>
  <c r="J63" s="1"/>
  <c r="J72" s="1"/>
  <c r="J75" s="1"/>
  <c r="K56"/>
  <c r="J59"/>
  <c r="G67"/>
  <c r="F68"/>
  <c r="H70"/>
  <c r="K71"/>
  <c r="K86"/>
  <c r="K92"/>
  <c r="G98"/>
  <c r="G110" s="1"/>
  <c r="F99"/>
  <c r="F102" s="1"/>
  <c r="E102"/>
  <c r="E110" s="1"/>
  <c r="K103"/>
  <c r="K106" s="1"/>
  <c r="K104"/>
  <c r="D106"/>
  <c r="L106"/>
  <c r="L110" s="1"/>
  <c r="G107"/>
  <c r="K117"/>
  <c r="F144"/>
  <c r="D169"/>
  <c r="M172"/>
  <c r="K181"/>
  <c r="E184"/>
  <c r="H187"/>
  <c r="E188"/>
  <c r="H189"/>
  <c r="H192" s="1"/>
  <c r="H235" s="1"/>
  <c r="K204"/>
  <c r="F217"/>
  <c r="F219" s="1"/>
  <c r="K209"/>
  <c r="F224"/>
  <c r="K224" s="1"/>
  <c r="K444"/>
  <c r="G223"/>
  <c r="G228"/>
  <c r="G231" s="1"/>
  <c r="J309"/>
  <c r="G343"/>
  <c r="G346" s="1"/>
  <c r="K346" s="1"/>
  <c r="K328"/>
  <c r="K353"/>
  <c r="F353"/>
  <c r="F418"/>
  <c r="I421"/>
  <c r="K7"/>
  <c r="K19"/>
  <c r="D28"/>
  <c r="K34"/>
  <c r="K37"/>
  <c r="F43"/>
  <c r="D46"/>
  <c r="L46"/>
  <c r="K47"/>
  <c r="I52"/>
  <c r="I61" s="1"/>
  <c r="I63" s="1"/>
  <c r="I72" s="1"/>
  <c r="I75" s="1"/>
  <c r="K53"/>
  <c r="D513"/>
  <c r="F80"/>
  <c r="J92"/>
  <c r="J112" s="1"/>
  <c r="D102"/>
  <c r="F128"/>
  <c r="K133"/>
  <c r="E147"/>
  <c r="K163"/>
  <c r="K175"/>
  <c r="D184"/>
  <c r="K196"/>
  <c r="J226"/>
  <c r="K339"/>
  <c r="J228"/>
  <c r="J231" s="1"/>
  <c r="E303"/>
  <c r="E292"/>
  <c r="G28"/>
  <c r="L28"/>
  <c r="G46"/>
  <c r="G59" s="1"/>
  <c r="F47"/>
  <c r="H59"/>
  <c r="K69"/>
  <c r="J70"/>
  <c r="E107"/>
  <c r="G108"/>
  <c r="G112" s="1"/>
  <c r="D112"/>
  <c r="D139"/>
  <c r="D147"/>
  <c r="K172"/>
  <c r="F205"/>
  <c r="F208" s="1"/>
  <c r="F204"/>
  <c r="I215"/>
  <c r="I226"/>
  <c r="K361"/>
  <c r="G370"/>
  <c r="J453"/>
  <c r="K17"/>
  <c r="K469" s="1"/>
  <c r="K4"/>
  <c r="F7"/>
  <c r="F10"/>
  <c r="E13"/>
  <c r="K16"/>
  <c r="J17"/>
  <c r="F19"/>
  <c r="K25"/>
  <c r="F29"/>
  <c r="K29"/>
  <c r="F30"/>
  <c r="K30"/>
  <c r="J31"/>
  <c r="E32"/>
  <c r="K35"/>
  <c r="K487" s="1"/>
  <c r="F37"/>
  <c r="K43"/>
  <c r="K49"/>
  <c r="G52"/>
  <c r="G61" s="1"/>
  <c r="G63" s="1"/>
  <c r="G72" s="1"/>
  <c r="G75" s="1"/>
  <c r="F53"/>
  <c r="D67"/>
  <c r="L67"/>
  <c r="L511" s="1"/>
  <c r="K68"/>
  <c r="F69"/>
  <c r="I70"/>
  <c r="D89"/>
  <c r="F95"/>
  <c r="F98" s="1"/>
  <c r="G139"/>
  <c r="K144"/>
  <c r="F193"/>
  <c r="N226"/>
  <c r="H228"/>
  <c r="H231" s="1"/>
  <c r="I379"/>
  <c r="I385" s="1"/>
  <c r="E403"/>
  <c r="F403" s="1"/>
  <c r="K403" s="1"/>
  <c r="G474"/>
  <c r="D223"/>
  <c r="F227"/>
  <c r="F242"/>
  <c r="E260"/>
  <c r="E263" s="1"/>
  <c r="J264"/>
  <c r="F282"/>
  <c r="F285" s="1"/>
  <c r="F294" s="1"/>
  <c r="F296" s="1"/>
  <c r="J292"/>
  <c r="F304"/>
  <c r="F310" s="1"/>
  <c r="F323"/>
  <c r="K336"/>
  <c r="J342"/>
  <c r="I343"/>
  <c r="K373"/>
  <c r="K376" s="1"/>
  <c r="G376"/>
  <c r="J418"/>
  <c r="J455" s="1"/>
  <c r="F419"/>
  <c r="E444"/>
  <c r="E447" s="1"/>
  <c r="J454"/>
  <c r="J518" s="1"/>
  <c r="L248"/>
  <c r="L264" s="1"/>
  <c r="D260"/>
  <c r="I292"/>
  <c r="G356"/>
  <c r="H448"/>
  <c r="L448"/>
  <c r="E454"/>
  <c r="E518" s="1"/>
  <c r="I454"/>
  <c r="I518" s="1"/>
  <c r="K193"/>
  <c r="K286"/>
  <c r="K300" s="1"/>
  <c r="G421" l="1"/>
  <c r="L33"/>
  <c r="G33"/>
  <c r="G36" s="1"/>
  <c r="G79" s="1"/>
  <c r="F260"/>
  <c r="F448"/>
  <c r="D452"/>
  <c r="K113"/>
  <c r="E386"/>
  <c r="H421"/>
  <c r="L470"/>
  <c r="E187"/>
  <c r="E232" s="1"/>
  <c r="E215"/>
  <c r="J501"/>
  <c r="F508"/>
  <c r="H485"/>
  <c r="K448"/>
  <c r="L452"/>
  <c r="H452"/>
  <c r="L453"/>
  <c r="F459"/>
  <c r="J452"/>
  <c r="F245"/>
  <c r="F342"/>
  <c r="G452"/>
  <c r="I386"/>
  <c r="H385"/>
  <c r="F513"/>
  <c r="K223"/>
  <c r="K126"/>
  <c r="K28"/>
  <c r="K189"/>
  <c r="K192" s="1"/>
  <c r="K235" s="1"/>
  <c r="J385"/>
  <c r="J156"/>
  <c r="K449"/>
  <c r="K451" s="1"/>
  <c r="K454"/>
  <c r="D385"/>
  <c r="E452"/>
  <c r="D226"/>
  <c r="H488"/>
  <c r="I516"/>
  <c r="G111"/>
  <c r="G485"/>
  <c r="F449"/>
  <c r="F451" s="1"/>
  <c r="F455" s="1"/>
  <c r="G150"/>
  <c r="D453"/>
  <c r="G453"/>
  <c r="H501"/>
  <c r="K482"/>
  <c r="I453"/>
  <c r="F113"/>
  <c r="F116" s="1"/>
  <c r="K116" s="1"/>
  <c r="I452"/>
  <c r="D33"/>
  <c r="D36" s="1"/>
  <c r="D79" s="1"/>
  <c r="K477"/>
  <c r="D150"/>
  <c r="D156" s="1"/>
  <c r="E111"/>
  <c r="F499"/>
  <c r="F416"/>
  <c r="J159"/>
  <c r="L265"/>
  <c r="L268" s="1"/>
  <c r="L312" s="1"/>
  <c r="F202"/>
  <c r="D111"/>
  <c r="D386"/>
  <c r="M156"/>
  <c r="M517" s="1"/>
  <c r="K462"/>
  <c r="F139"/>
  <c r="F477"/>
  <c r="F482"/>
  <c r="K417"/>
  <c r="K453" s="1"/>
  <c r="K447"/>
  <c r="K265"/>
  <c r="E150"/>
  <c r="G235"/>
  <c r="F89"/>
  <c r="F264"/>
  <c r="F223"/>
  <c r="F189"/>
  <c r="K245"/>
  <c r="F126"/>
  <c r="K456"/>
  <c r="L421"/>
  <c r="K202"/>
  <c r="F28"/>
  <c r="E349"/>
  <c r="K349" s="1"/>
  <c r="F18"/>
  <c r="F33" s="1"/>
  <c r="K416"/>
  <c r="K452" s="1"/>
  <c r="K188"/>
  <c r="G226"/>
  <c r="G232" s="1"/>
  <c r="L112"/>
  <c r="L484" s="1"/>
  <c r="F447"/>
  <c r="F452" s="1"/>
  <c r="K341"/>
  <c r="F518"/>
  <c r="K518" s="1"/>
  <c r="G388"/>
  <c r="J516"/>
  <c r="L155"/>
  <c r="L159" s="1"/>
  <c r="F75"/>
  <c r="L309"/>
  <c r="F292"/>
  <c r="F308"/>
  <c r="K308" s="1"/>
  <c r="H159"/>
  <c r="H519" s="1"/>
  <c r="G159"/>
  <c r="L75"/>
  <c r="H516"/>
  <c r="I232"/>
  <c r="K495"/>
  <c r="F467"/>
  <c r="K338"/>
  <c r="J232"/>
  <c r="E155"/>
  <c r="D155"/>
  <c r="D516" s="1"/>
  <c r="N232"/>
  <c r="K466"/>
  <c r="F169"/>
  <c r="K184"/>
  <c r="D70"/>
  <c r="F303"/>
  <c r="G31"/>
  <c r="H156"/>
  <c r="I156"/>
  <c r="L156"/>
  <c r="K303"/>
  <c r="D263"/>
  <c r="F263" s="1"/>
  <c r="F454"/>
  <c r="K343"/>
  <c r="K264"/>
  <c r="K512"/>
  <c r="F481"/>
  <c r="F484" s="1"/>
  <c r="G480"/>
  <c r="G465"/>
  <c r="F466"/>
  <c r="I159"/>
  <c r="F453"/>
  <c r="F61"/>
  <c r="K61" s="1"/>
  <c r="D59"/>
  <c r="L480"/>
  <c r="K169"/>
  <c r="K499"/>
  <c r="K474"/>
  <c r="F147"/>
  <c r="K89"/>
  <c r="H309"/>
  <c r="H232"/>
  <c r="F184"/>
  <c r="H514"/>
  <c r="K260"/>
  <c r="F474"/>
  <c r="L232"/>
  <c r="F479"/>
  <c r="K508"/>
  <c r="F380"/>
  <c r="N156"/>
  <c r="K478"/>
  <c r="K479"/>
  <c r="G309"/>
  <c r="F505"/>
  <c r="L518"/>
  <c r="D485"/>
  <c r="D189"/>
  <c r="D192" s="1"/>
  <c r="D235" s="1"/>
  <c r="F235" s="1"/>
  <c r="E269"/>
  <c r="E309"/>
  <c r="J421"/>
  <c r="K418"/>
  <c r="J386"/>
  <c r="K342"/>
  <c r="F489"/>
  <c r="F46"/>
  <c r="F59" s="1"/>
  <c r="J469"/>
  <c r="G498"/>
  <c r="G501" s="1"/>
  <c r="G70"/>
  <c r="E70"/>
  <c r="E59"/>
  <c r="I483"/>
  <c r="I76"/>
  <c r="E470"/>
  <c r="E485" s="1"/>
  <c r="E33"/>
  <c r="E36" s="1"/>
  <c r="J514"/>
  <c r="F486"/>
  <c r="L468"/>
  <c r="K292"/>
  <c r="F107"/>
  <c r="D480"/>
  <c r="K459"/>
  <c r="D110"/>
  <c r="F110" s="1"/>
  <c r="F512"/>
  <c r="K13"/>
  <c r="G368"/>
  <c r="G379" s="1"/>
  <c r="F462"/>
  <c r="F13"/>
  <c r="K370"/>
  <c r="G372"/>
  <c r="F421"/>
  <c r="K302"/>
  <c r="K513" s="1"/>
  <c r="N234"/>
  <c r="N233"/>
  <c r="N518" s="1"/>
  <c r="D465"/>
  <c r="D31"/>
  <c r="I514"/>
  <c r="D511"/>
  <c r="E511"/>
  <c r="G481"/>
  <c r="G484" s="1"/>
  <c r="F495"/>
  <c r="H483"/>
  <c r="K471"/>
  <c r="H453"/>
  <c r="J18"/>
  <c r="N514"/>
  <c r="L31"/>
  <c r="F502"/>
  <c r="F67"/>
  <c r="L36"/>
  <c r="J483"/>
  <c r="J76"/>
  <c r="E465"/>
  <c r="E31"/>
  <c r="E358"/>
  <c r="K502"/>
  <c r="K67"/>
  <c r="D498"/>
  <c r="D501" s="1"/>
  <c r="K486"/>
  <c r="K467"/>
  <c r="K18"/>
  <c r="K470" s="1"/>
  <c r="D268"/>
  <c r="F268" s="1"/>
  <c r="K268" s="1"/>
  <c r="F265"/>
  <c r="F471"/>
  <c r="K147"/>
  <c r="K150" s="1"/>
  <c r="D187"/>
  <c r="K107"/>
  <c r="F456"/>
  <c r="H76"/>
  <c r="K139"/>
  <c r="K468"/>
  <c r="K32"/>
  <c r="L498"/>
  <c r="L501" s="1"/>
  <c r="L59"/>
  <c r="L70" s="1"/>
  <c r="K489"/>
  <c r="K46"/>
  <c r="K59" s="1"/>
  <c r="F228"/>
  <c r="F231" s="1"/>
  <c r="K505"/>
  <c r="I469"/>
  <c r="I18"/>
  <c r="I16" s="1"/>
  <c r="K152"/>
  <c r="K155" s="1"/>
  <c r="F32"/>
  <c r="G511"/>
  <c r="E480"/>
  <c r="K108"/>
  <c r="K112" s="1"/>
  <c r="L496" i="1"/>
  <c r="J496"/>
  <c r="I496"/>
  <c r="H496"/>
  <c r="G496"/>
  <c r="E496"/>
  <c r="D496"/>
  <c r="L495"/>
  <c r="J495"/>
  <c r="I495"/>
  <c r="H495"/>
  <c r="G495"/>
  <c r="E495"/>
  <c r="D495"/>
  <c r="L494"/>
  <c r="J494"/>
  <c r="I494"/>
  <c r="H494"/>
  <c r="D494"/>
  <c r="L493"/>
  <c r="J493"/>
  <c r="I493"/>
  <c r="H493"/>
  <c r="G493"/>
  <c r="E493"/>
  <c r="D493"/>
  <c r="L492"/>
  <c r="J492"/>
  <c r="I492"/>
  <c r="H492"/>
  <c r="G492"/>
  <c r="E492"/>
  <c r="D492"/>
  <c r="J491"/>
  <c r="I491"/>
  <c r="H491"/>
  <c r="G488" i="2" l="1"/>
  <c r="G483"/>
  <c r="G156"/>
  <c r="F470"/>
  <c r="F485" s="1"/>
  <c r="F63"/>
  <c r="F72" s="1"/>
  <c r="K455"/>
  <c r="D309"/>
  <c r="F226"/>
  <c r="E491"/>
  <c r="E350"/>
  <c r="E356" s="1"/>
  <c r="F349"/>
  <c r="F491" s="1"/>
  <c r="F386"/>
  <c r="F150"/>
  <c r="K226"/>
  <c r="D514"/>
  <c r="E156"/>
  <c r="F215"/>
  <c r="K31"/>
  <c r="K215"/>
  <c r="F511"/>
  <c r="K465"/>
  <c r="F480"/>
  <c r="L485"/>
  <c r="L269"/>
  <c r="J517"/>
  <c r="F111"/>
  <c r="K111"/>
  <c r="K156" s="1"/>
  <c r="F309"/>
  <c r="H517"/>
  <c r="G519"/>
  <c r="F465"/>
  <c r="K263"/>
  <c r="K309" s="1"/>
  <c r="N517"/>
  <c r="N519" s="1"/>
  <c r="K480"/>
  <c r="I517"/>
  <c r="E159"/>
  <c r="E516"/>
  <c r="D312"/>
  <c r="F312" s="1"/>
  <c r="K312" s="1"/>
  <c r="F36"/>
  <c r="F79" s="1"/>
  <c r="E79"/>
  <c r="D159"/>
  <c r="L516"/>
  <c r="L79"/>
  <c r="K75"/>
  <c r="F516"/>
  <c r="M518"/>
  <c r="G385"/>
  <c r="L514"/>
  <c r="G381"/>
  <c r="G516" s="1"/>
  <c r="G378"/>
  <c r="G513" s="1"/>
  <c r="G76"/>
  <c r="F192"/>
  <c r="K70"/>
  <c r="D232"/>
  <c r="F187"/>
  <c r="F232" s="1"/>
  <c r="K232" s="1"/>
  <c r="K358"/>
  <c r="K491"/>
  <c r="L483"/>
  <c r="L76"/>
  <c r="L517" s="1"/>
  <c r="G514"/>
  <c r="K350"/>
  <c r="E492"/>
  <c r="F358"/>
  <c r="L488"/>
  <c r="J470"/>
  <c r="J33"/>
  <c r="D483"/>
  <c r="F31"/>
  <c r="D76"/>
  <c r="K372"/>
  <c r="F70"/>
  <c r="K187"/>
  <c r="I470"/>
  <c r="I33"/>
  <c r="E483"/>
  <c r="E76"/>
  <c r="K481"/>
  <c r="J16"/>
  <c r="D488"/>
  <c r="I468"/>
  <c r="I32"/>
  <c r="I484" s="1"/>
  <c r="E500"/>
  <c r="E488"/>
  <c r="K63"/>
  <c r="K72" s="1"/>
  <c r="K516" s="1"/>
  <c r="K421"/>
  <c r="K500" s="1"/>
  <c r="K484"/>
  <c r="K511"/>
  <c r="K110"/>
  <c r="D269"/>
  <c r="F269" s="1"/>
  <c r="G269" s="1"/>
  <c r="L490" i="1"/>
  <c r="J490"/>
  <c r="I490"/>
  <c r="H490"/>
  <c r="G490"/>
  <c r="E490"/>
  <c r="D490"/>
  <c r="L489"/>
  <c r="J489"/>
  <c r="I489"/>
  <c r="H489"/>
  <c r="G489"/>
  <c r="E489"/>
  <c r="D489"/>
  <c r="L488"/>
  <c r="J488"/>
  <c r="I488"/>
  <c r="H488"/>
  <c r="F350" i="2" l="1"/>
  <c r="F156"/>
  <c r="G517"/>
  <c r="L519"/>
  <c r="F159"/>
  <c r="K159" s="1"/>
  <c r="D519"/>
  <c r="D517"/>
  <c r="K388"/>
  <c r="K381"/>
  <c r="F488"/>
  <c r="I485"/>
  <c r="I36"/>
  <c r="I79" s="1"/>
  <c r="F483"/>
  <c r="F76"/>
  <c r="H269"/>
  <c r="I269" s="1"/>
  <c r="F500"/>
  <c r="K356"/>
  <c r="K492"/>
  <c r="E519"/>
  <c r="J468"/>
  <c r="J32"/>
  <c r="J484" s="1"/>
  <c r="J485"/>
  <c r="J36"/>
  <c r="J79" s="1"/>
  <c r="K33"/>
  <c r="E368"/>
  <c r="E379"/>
  <c r="E498"/>
  <c r="E501" s="1"/>
  <c r="K483"/>
  <c r="F492"/>
  <c r="F356"/>
  <c r="K76"/>
  <c r="L483" i="1"/>
  <c r="J483"/>
  <c r="I483"/>
  <c r="H483"/>
  <c r="G483"/>
  <c r="E483"/>
  <c r="D483"/>
  <c r="L482"/>
  <c r="J482"/>
  <c r="I482"/>
  <c r="H482"/>
  <c r="G482"/>
  <c r="E482"/>
  <c r="D482"/>
  <c r="J481"/>
  <c r="I481"/>
  <c r="H481"/>
  <c r="L480"/>
  <c r="J480"/>
  <c r="I480"/>
  <c r="H480"/>
  <c r="G480"/>
  <c r="E480"/>
  <c r="D480"/>
  <c r="L479"/>
  <c r="J479"/>
  <c r="I479"/>
  <c r="H479"/>
  <c r="G479"/>
  <c r="E479"/>
  <c r="D479"/>
  <c r="L478"/>
  <c r="J478"/>
  <c r="I478"/>
  <c r="H478"/>
  <c r="L477"/>
  <c r="J477"/>
  <c r="I477"/>
  <c r="H477"/>
  <c r="G477"/>
  <c r="D477"/>
  <c r="L476"/>
  <c r="J476"/>
  <c r="I476"/>
  <c r="H476"/>
  <c r="G476"/>
  <c r="E476"/>
  <c r="D476"/>
  <c r="L475"/>
  <c r="J475"/>
  <c r="I475"/>
  <c r="H475"/>
  <c r="L473"/>
  <c r="J473"/>
  <c r="I473"/>
  <c r="H473"/>
  <c r="G473"/>
  <c r="E473"/>
  <c r="D473"/>
  <c r="L472"/>
  <c r="G472"/>
  <c r="D472"/>
  <c r="H467"/>
  <c r="J465"/>
  <c r="I465"/>
  <c r="H465"/>
  <c r="G465"/>
  <c r="E465"/>
  <c r="J464"/>
  <c r="I464"/>
  <c r="H464"/>
  <c r="E464"/>
  <c r="D464"/>
  <c r="J463"/>
  <c r="I463"/>
  <c r="H463"/>
  <c r="L462"/>
  <c r="J462"/>
  <c r="I462"/>
  <c r="H462"/>
  <c r="G462"/>
  <c r="E462"/>
  <c r="D462"/>
  <c r="L461"/>
  <c r="J461"/>
  <c r="I461"/>
  <c r="H461"/>
  <c r="G461"/>
  <c r="E461"/>
  <c r="D461"/>
  <c r="J460"/>
  <c r="I460"/>
  <c r="H460"/>
  <c r="L459"/>
  <c r="J459"/>
  <c r="I459"/>
  <c r="H459"/>
  <c r="G459"/>
  <c r="E459"/>
  <c r="D459"/>
  <c r="L458"/>
  <c r="J458"/>
  <c r="I458"/>
  <c r="H458"/>
  <c r="G458"/>
  <c r="E458"/>
  <c r="D458"/>
  <c r="J457"/>
  <c r="I457"/>
  <c r="H457"/>
  <c r="H456"/>
  <c r="H455"/>
  <c r="G455"/>
  <c r="E455"/>
  <c r="D455"/>
  <c r="H454"/>
  <c r="G454"/>
  <c r="E454"/>
  <c r="D454"/>
  <c r="L450"/>
  <c r="J450"/>
  <c r="I450"/>
  <c r="H450"/>
  <c r="G450"/>
  <c r="E450"/>
  <c r="D450"/>
  <c r="L449"/>
  <c r="J449"/>
  <c r="I449"/>
  <c r="H449"/>
  <c r="G449"/>
  <c r="E449"/>
  <c r="D449"/>
  <c r="L448"/>
  <c r="J448"/>
  <c r="I448"/>
  <c r="H448"/>
  <c r="L447"/>
  <c r="J447"/>
  <c r="I447"/>
  <c r="H447"/>
  <c r="G447"/>
  <c r="E447"/>
  <c r="D447"/>
  <c r="L446"/>
  <c r="J446"/>
  <c r="I446"/>
  <c r="H446"/>
  <c r="G446"/>
  <c r="E446"/>
  <c r="D446"/>
  <c r="L445"/>
  <c r="J445"/>
  <c r="I445"/>
  <c r="H445"/>
  <c r="L444"/>
  <c r="J444"/>
  <c r="I444"/>
  <c r="H444"/>
  <c r="G444"/>
  <c r="E444"/>
  <c r="D444"/>
  <c r="L443"/>
  <c r="J443"/>
  <c r="I443"/>
  <c r="H443"/>
  <c r="G443"/>
  <c r="E443"/>
  <c r="D443"/>
  <c r="J442"/>
  <c r="I442"/>
  <c r="H442"/>
  <c r="L434"/>
  <c r="J434"/>
  <c r="I434"/>
  <c r="H434"/>
  <c r="G434"/>
  <c r="E434"/>
  <c r="D434"/>
  <c r="L433"/>
  <c r="J433"/>
  <c r="I433"/>
  <c r="H433"/>
  <c r="G433"/>
  <c r="E433"/>
  <c r="D433"/>
  <c r="L432"/>
  <c r="J432"/>
  <c r="I432"/>
  <c r="H432"/>
  <c r="G432"/>
  <c r="D432"/>
  <c r="K431"/>
  <c r="F431"/>
  <c r="K430"/>
  <c r="F430"/>
  <c r="F429"/>
  <c r="E429"/>
  <c r="K429" s="1"/>
  <c r="K428"/>
  <c r="F428"/>
  <c r="K427"/>
  <c r="F427"/>
  <c r="K426"/>
  <c r="F426"/>
  <c r="K425"/>
  <c r="K434" s="1"/>
  <c r="F425"/>
  <c r="F434" s="1"/>
  <c r="K424"/>
  <c r="K433" s="1"/>
  <c r="F424"/>
  <c r="F433" s="1"/>
  <c r="K423"/>
  <c r="F423"/>
  <c r="J422"/>
  <c r="I422"/>
  <c r="H422"/>
  <c r="G422"/>
  <c r="E422"/>
  <c r="L421"/>
  <c r="L437" s="1"/>
  <c r="J421"/>
  <c r="J437" s="1"/>
  <c r="I421"/>
  <c r="I437" s="1"/>
  <c r="H421"/>
  <c r="H437" s="1"/>
  <c r="G421"/>
  <c r="G437" s="1"/>
  <c r="E421"/>
  <c r="E437" s="1"/>
  <c r="D421"/>
  <c r="D437" s="1"/>
  <c r="L420"/>
  <c r="L436" s="1"/>
  <c r="J420"/>
  <c r="J436" s="1"/>
  <c r="I420"/>
  <c r="I436" s="1"/>
  <c r="H420"/>
  <c r="H436" s="1"/>
  <c r="G420"/>
  <c r="G440" s="1"/>
  <c r="E420"/>
  <c r="E436" s="1"/>
  <c r="D420"/>
  <c r="D436" s="1"/>
  <c r="L419"/>
  <c r="L435" s="1"/>
  <c r="J419"/>
  <c r="J435" s="1"/>
  <c r="I419"/>
  <c r="I435" s="1"/>
  <c r="H419"/>
  <c r="H435" s="1"/>
  <c r="G419"/>
  <c r="G435" s="1"/>
  <c r="E419"/>
  <c r="D419"/>
  <c r="D435" s="1"/>
  <c r="K418"/>
  <c r="F418"/>
  <c r="K417"/>
  <c r="F417"/>
  <c r="K416"/>
  <c r="F416"/>
  <c r="K415"/>
  <c r="K422" s="1"/>
  <c r="F415"/>
  <c r="F422" s="1"/>
  <c r="K414"/>
  <c r="F414"/>
  <c r="K413"/>
  <c r="F413"/>
  <c r="K412"/>
  <c r="K421" s="1"/>
  <c r="K437" s="1"/>
  <c r="F412"/>
  <c r="F421" s="1"/>
  <c r="F437" s="1"/>
  <c r="K411"/>
  <c r="K420" s="1"/>
  <c r="K436" s="1"/>
  <c r="F411"/>
  <c r="F420" s="1"/>
  <c r="F436" s="1"/>
  <c r="K410"/>
  <c r="K419" s="1"/>
  <c r="F410"/>
  <c r="J407"/>
  <c r="J440" s="1"/>
  <c r="I407"/>
  <c r="E407"/>
  <c r="E440" s="1"/>
  <c r="L403"/>
  <c r="L406" s="1"/>
  <c r="L441" s="1"/>
  <c r="J403"/>
  <c r="J406" s="1"/>
  <c r="I403"/>
  <c r="I406" s="1"/>
  <c r="I441" s="1"/>
  <c r="H403"/>
  <c r="H406" s="1"/>
  <c r="G403"/>
  <c r="G406" s="1"/>
  <c r="E403"/>
  <c r="D403"/>
  <c r="F403" s="1"/>
  <c r="L402"/>
  <c r="L405" s="1"/>
  <c r="J402"/>
  <c r="J405" s="1"/>
  <c r="I402"/>
  <c r="K402" s="1"/>
  <c r="G402"/>
  <c r="G405" s="1"/>
  <c r="E402"/>
  <c r="D402"/>
  <c r="F402" s="1"/>
  <c r="L401"/>
  <c r="J401"/>
  <c r="I401"/>
  <c r="K401" s="1"/>
  <c r="H401"/>
  <c r="G401"/>
  <c r="E401"/>
  <c r="D401"/>
  <c r="K400"/>
  <c r="F400"/>
  <c r="K399"/>
  <c r="F399"/>
  <c r="K398"/>
  <c r="F398"/>
  <c r="F401" s="1"/>
  <c r="K397"/>
  <c r="F397"/>
  <c r="K396"/>
  <c r="F396"/>
  <c r="K395"/>
  <c r="F395"/>
  <c r="K394"/>
  <c r="F394"/>
  <c r="K393"/>
  <c r="F393"/>
  <c r="K392"/>
  <c r="F392"/>
  <c r="E391"/>
  <c r="K390" s="1"/>
  <c r="F390"/>
  <c r="K389"/>
  <c r="F389"/>
  <c r="L388"/>
  <c r="J388"/>
  <c r="I388"/>
  <c r="H388"/>
  <c r="G388"/>
  <c r="E388"/>
  <c r="E406" s="1"/>
  <c r="E441" s="1"/>
  <c r="D388"/>
  <c r="D406" s="1"/>
  <c r="L387"/>
  <c r="J387"/>
  <c r="I387"/>
  <c r="H387"/>
  <c r="G387"/>
  <c r="E387"/>
  <c r="D387"/>
  <c r="D405" s="1"/>
  <c r="L386"/>
  <c r="L404" s="1"/>
  <c r="L438" s="1"/>
  <c r="J386"/>
  <c r="J404" s="1"/>
  <c r="I386"/>
  <c r="I404" s="1"/>
  <c r="I438" s="1"/>
  <c r="H386"/>
  <c r="H404" s="1"/>
  <c r="H438" s="1"/>
  <c r="G386"/>
  <c r="G404" s="1"/>
  <c r="G438" s="1"/>
  <c r="E386"/>
  <c r="E404" s="1"/>
  <c r="D386"/>
  <c r="D404" s="1"/>
  <c r="K385"/>
  <c r="K388" s="1"/>
  <c r="F385"/>
  <c r="F388" s="1"/>
  <c r="K384"/>
  <c r="K387" s="1"/>
  <c r="F384"/>
  <c r="F387" s="1"/>
  <c r="K383"/>
  <c r="K386" s="1"/>
  <c r="F383"/>
  <c r="F386" s="1"/>
  <c r="K382"/>
  <c r="F382"/>
  <c r="K381"/>
  <c r="F381"/>
  <c r="K380"/>
  <c r="F380"/>
  <c r="K379"/>
  <c r="F379"/>
  <c r="K378"/>
  <c r="F378"/>
  <c r="K377"/>
  <c r="F377"/>
  <c r="J376"/>
  <c r="I376"/>
  <c r="H376"/>
  <c r="G375"/>
  <c r="K375" s="1"/>
  <c r="D439" l="1"/>
  <c r="L439"/>
  <c r="H441"/>
  <c r="J438"/>
  <c r="K404"/>
  <c r="D438"/>
  <c r="F404"/>
  <c r="J409"/>
  <c r="I409" s="1"/>
  <c r="H409" s="1"/>
  <c r="J441"/>
  <c r="K406"/>
  <c r="K441" s="1"/>
  <c r="D441"/>
  <c r="L440" s="1"/>
  <c r="F406"/>
  <c r="F441" s="1"/>
  <c r="J439"/>
  <c r="G441"/>
  <c r="G409"/>
  <c r="F409" s="1"/>
  <c r="E409" s="1"/>
  <c r="K407" s="1"/>
  <c r="K440" s="1"/>
  <c r="K403"/>
  <c r="F407"/>
  <c r="F440" s="1"/>
  <c r="L409"/>
  <c r="K409" s="1"/>
  <c r="F419"/>
  <c r="F435" s="1"/>
  <c r="E435" s="1"/>
  <c r="E438" s="1"/>
  <c r="F432"/>
  <c r="E432" s="1"/>
  <c r="K432"/>
  <c r="K435" s="1"/>
  <c r="H440"/>
  <c r="I440"/>
  <c r="I405"/>
  <c r="G436"/>
  <c r="G439" s="1"/>
  <c r="F519" i="2"/>
  <c r="K519" s="1"/>
  <c r="K521" s="1"/>
  <c r="F379"/>
  <c r="F368"/>
  <c r="F498"/>
  <c r="F501" s="1"/>
  <c r="K485"/>
  <c r="K36"/>
  <c r="K379"/>
  <c r="K368"/>
  <c r="K498"/>
  <c r="K501" s="1"/>
  <c r="I488"/>
  <c r="I519"/>
  <c r="E385"/>
  <c r="E517" s="1"/>
  <c r="E514"/>
  <c r="J269"/>
  <c r="K269" s="1"/>
  <c r="J488"/>
  <c r="J519"/>
  <c r="J372" i="1"/>
  <c r="G371"/>
  <c r="G374" s="1"/>
  <c r="L370"/>
  <c r="H370"/>
  <c r="D370"/>
  <c r="L369"/>
  <c r="J369"/>
  <c r="I369"/>
  <c r="H369"/>
  <c r="E369"/>
  <c r="D369"/>
  <c r="L368"/>
  <c r="J368"/>
  <c r="I368"/>
  <c r="H368"/>
  <c r="G368"/>
  <c r="E368"/>
  <c r="D368"/>
  <c r="L367"/>
  <c r="J367"/>
  <c r="I367"/>
  <c r="H367"/>
  <c r="G367"/>
  <c r="E367"/>
  <c r="D367"/>
  <c r="K366"/>
  <c r="F366"/>
  <c r="K365"/>
  <c r="F365"/>
  <c r="K364"/>
  <c r="G364"/>
  <c r="G494" s="1"/>
  <c r="F364"/>
  <c r="K362"/>
  <c r="K360"/>
  <c r="N359"/>
  <c r="M359"/>
  <c r="K358"/>
  <c r="F358"/>
  <c r="K357"/>
  <c r="F357"/>
  <c r="G356"/>
  <c r="K356" s="1"/>
  <c r="K367" s="1"/>
  <c r="F356"/>
  <c r="K355"/>
  <c r="K369" s="1"/>
  <c r="F355"/>
  <c r="F369" s="1"/>
  <c r="K354"/>
  <c r="K368" s="1"/>
  <c r="F354"/>
  <c r="F368" s="1"/>
  <c r="K353"/>
  <c r="G353"/>
  <c r="F353"/>
  <c r="K351"/>
  <c r="K350"/>
  <c r="L349"/>
  <c r="L372" s="1"/>
  <c r="J349"/>
  <c r="I349"/>
  <c r="H349"/>
  <c r="H372" s="1"/>
  <c r="G349"/>
  <c r="D349"/>
  <c r="D372" s="1"/>
  <c r="L348"/>
  <c r="L371" s="1"/>
  <c r="J348"/>
  <c r="J371" s="1"/>
  <c r="I348"/>
  <c r="I371" s="1"/>
  <c r="H348"/>
  <c r="H371" s="1"/>
  <c r="G348"/>
  <c r="E348"/>
  <c r="E371" s="1"/>
  <c r="D348"/>
  <c r="D371" s="1"/>
  <c r="L347"/>
  <c r="L359" s="1"/>
  <c r="J347"/>
  <c r="J370" s="1"/>
  <c r="I347"/>
  <c r="I370" s="1"/>
  <c r="H347"/>
  <c r="H359" s="1"/>
  <c r="D347"/>
  <c r="D359" s="1"/>
  <c r="K346"/>
  <c r="F346"/>
  <c r="K345"/>
  <c r="F345"/>
  <c r="G344"/>
  <c r="K343"/>
  <c r="F343"/>
  <c r="K342"/>
  <c r="F342"/>
  <c r="G341"/>
  <c r="K339"/>
  <c r="K348" s="1"/>
  <c r="F339"/>
  <c r="F348" s="1"/>
  <c r="K338"/>
  <c r="G338"/>
  <c r="G347" s="1"/>
  <c r="F338"/>
  <c r="K336"/>
  <c r="K335"/>
  <c r="L333"/>
  <c r="L374" s="1"/>
  <c r="L331"/>
  <c r="L334" s="1"/>
  <c r="L376" s="1"/>
  <c r="J331"/>
  <c r="I331"/>
  <c r="H331"/>
  <c r="H334" s="1"/>
  <c r="G331"/>
  <c r="E331"/>
  <c r="D331"/>
  <c r="F331" s="1"/>
  <c r="L330"/>
  <c r="J330"/>
  <c r="J333" s="1"/>
  <c r="I330"/>
  <c r="I333" s="1"/>
  <c r="E330"/>
  <c r="D330"/>
  <c r="F330" s="1"/>
  <c r="L329"/>
  <c r="J329"/>
  <c r="I329"/>
  <c r="H329"/>
  <c r="E329"/>
  <c r="D329"/>
  <c r="K328"/>
  <c r="F328"/>
  <c r="G327"/>
  <c r="G330" s="1"/>
  <c r="F327"/>
  <c r="G326"/>
  <c r="G329" s="1"/>
  <c r="F326"/>
  <c r="F329" s="1"/>
  <c r="K325"/>
  <c r="F325"/>
  <c r="K324"/>
  <c r="F324"/>
  <c r="K323"/>
  <c r="G323"/>
  <c r="G460" s="1"/>
  <c r="F323"/>
  <c r="K322"/>
  <c r="F322"/>
  <c r="K321"/>
  <c r="F321"/>
  <c r="K320"/>
  <c r="G320"/>
  <c r="F320"/>
  <c r="K318"/>
  <c r="K317"/>
  <c r="L316"/>
  <c r="J316"/>
  <c r="J334" s="1"/>
  <c r="I316"/>
  <c r="H316"/>
  <c r="G316"/>
  <c r="F316"/>
  <c r="E316"/>
  <c r="E334" s="1"/>
  <c r="D316"/>
  <c r="D334" s="1"/>
  <c r="F334" s="1"/>
  <c r="L315"/>
  <c r="J315"/>
  <c r="I315"/>
  <c r="H315"/>
  <c r="G315"/>
  <c r="E315"/>
  <c r="E333" s="1"/>
  <c r="E374" s="1"/>
  <c r="D315"/>
  <c r="D333" s="1"/>
  <c r="D374" s="1"/>
  <c r="L314"/>
  <c r="L332" s="1"/>
  <c r="L373" s="1"/>
  <c r="J314"/>
  <c r="J332" s="1"/>
  <c r="J373" s="1"/>
  <c r="I314"/>
  <c r="I332" s="1"/>
  <c r="I373" s="1"/>
  <c r="H314"/>
  <c r="E314"/>
  <c r="E332" s="1"/>
  <c r="D314"/>
  <c r="D332" s="1"/>
  <c r="L313"/>
  <c r="K313" s="1"/>
  <c r="J313"/>
  <c r="I313"/>
  <c r="H313"/>
  <c r="G313"/>
  <c r="E313"/>
  <c r="D313"/>
  <c r="K312"/>
  <c r="F312"/>
  <c r="K311"/>
  <c r="F311"/>
  <c r="F315" s="1"/>
  <c r="K310"/>
  <c r="F310"/>
  <c r="F314" s="1"/>
  <c r="K309"/>
  <c r="F309"/>
  <c r="K308"/>
  <c r="K315" s="1"/>
  <c r="F308"/>
  <c r="K307"/>
  <c r="F307"/>
  <c r="K306"/>
  <c r="F306"/>
  <c r="K305"/>
  <c r="F305"/>
  <c r="K304"/>
  <c r="G304"/>
  <c r="F304"/>
  <c r="D302"/>
  <c r="I301"/>
  <c r="M298"/>
  <c r="L298"/>
  <c r="L301" s="1"/>
  <c r="J298"/>
  <c r="J301" s="1"/>
  <c r="I298"/>
  <c r="H298"/>
  <c r="H301" s="1"/>
  <c r="G298"/>
  <c r="G301" s="1"/>
  <c r="E298"/>
  <c r="E301" s="1"/>
  <c r="D298"/>
  <c r="D301" s="1"/>
  <c r="J297"/>
  <c r="L296"/>
  <c r="J296"/>
  <c r="I296"/>
  <c r="H296"/>
  <c r="G296"/>
  <c r="E296"/>
  <c r="L295"/>
  <c r="J295"/>
  <c r="I295"/>
  <c r="H295"/>
  <c r="G295"/>
  <c r="E295"/>
  <c r="D295"/>
  <c r="J294"/>
  <c r="I294"/>
  <c r="H294"/>
  <c r="G294"/>
  <c r="E294"/>
  <c r="D294"/>
  <c r="K293"/>
  <c r="F293"/>
  <c r="K292"/>
  <c r="F292"/>
  <c r="K291"/>
  <c r="F291"/>
  <c r="F288"/>
  <c r="N287"/>
  <c r="M287"/>
  <c r="F286"/>
  <c r="N285"/>
  <c r="M285"/>
  <c r="G285"/>
  <c r="K284"/>
  <c r="F284"/>
  <c r="K283"/>
  <c r="F283"/>
  <c r="L282"/>
  <c r="L294" s="1"/>
  <c r="K282"/>
  <c r="F282"/>
  <c r="K281"/>
  <c r="F281"/>
  <c r="F296" s="1"/>
  <c r="K280"/>
  <c r="K295" s="1"/>
  <c r="F280"/>
  <c r="D279"/>
  <c r="L278" s="1"/>
  <c r="F277"/>
  <c r="K276" s="1"/>
  <c r="F276"/>
  <c r="L275"/>
  <c r="J275"/>
  <c r="I275"/>
  <c r="H275"/>
  <c r="G275"/>
  <c r="F275"/>
  <c r="E275"/>
  <c r="D275"/>
  <c r="L274"/>
  <c r="J274"/>
  <c r="I274"/>
  <c r="H274"/>
  <c r="G274"/>
  <c r="E274"/>
  <c r="D274"/>
  <c r="L273"/>
  <c r="J273"/>
  <c r="I273"/>
  <c r="H273"/>
  <c r="G273"/>
  <c r="E273"/>
  <c r="D273"/>
  <c r="J272"/>
  <c r="I272"/>
  <c r="H272"/>
  <c r="G272"/>
  <c r="G297" s="1"/>
  <c r="K271"/>
  <c r="F271"/>
  <c r="K270"/>
  <c r="F270"/>
  <c r="L269"/>
  <c r="L272" s="1"/>
  <c r="K269"/>
  <c r="E269"/>
  <c r="D269"/>
  <c r="F269" s="1"/>
  <c r="K268"/>
  <c r="K275" s="1"/>
  <c r="F268"/>
  <c r="K267"/>
  <c r="F267"/>
  <c r="K266"/>
  <c r="F266"/>
  <c r="K265"/>
  <c r="F265"/>
  <c r="F274" s="1"/>
  <c r="K264"/>
  <c r="K273" s="1"/>
  <c r="F264"/>
  <c r="F273" s="1"/>
  <c r="K263"/>
  <c r="F263"/>
  <c r="F260"/>
  <c r="K259"/>
  <c r="F259"/>
  <c r="L255"/>
  <c r="K255"/>
  <c r="J255"/>
  <c r="I255"/>
  <c r="I258" s="1"/>
  <c r="H255"/>
  <c r="H258" s="1"/>
  <c r="G255"/>
  <c r="E255"/>
  <c r="D255"/>
  <c r="L254" s="1"/>
  <c r="K254"/>
  <c r="J254"/>
  <c r="J257" s="1"/>
  <c r="I254"/>
  <c r="I257" s="1"/>
  <c r="G254"/>
  <c r="F254"/>
  <c r="E254"/>
  <c r="D254"/>
  <c r="J253"/>
  <c r="J256" s="1"/>
  <c r="I253"/>
  <c r="H253"/>
  <c r="G253"/>
  <c r="L252"/>
  <c r="K252"/>
  <c r="F252"/>
  <c r="F255" s="1"/>
  <c r="L251"/>
  <c r="K251"/>
  <c r="F251"/>
  <c r="L250"/>
  <c r="L253" s="1"/>
  <c r="E250"/>
  <c r="D250"/>
  <c r="K249"/>
  <c r="F249"/>
  <c r="K248"/>
  <c r="F248"/>
  <c r="L247"/>
  <c r="D247"/>
  <c r="K247" s="1"/>
  <c r="K246"/>
  <c r="F246"/>
  <c r="K245"/>
  <c r="F245"/>
  <c r="L244"/>
  <c r="F244"/>
  <c r="D244"/>
  <c r="K244" s="1"/>
  <c r="L242"/>
  <c r="F242"/>
  <c r="L241" s="1"/>
  <c r="F241"/>
  <c r="L240"/>
  <c r="J240"/>
  <c r="J258" s="1"/>
  <c r="I240"/>
  <c r="H240"/>
  <c r="G240"/>
  <c r="F240"/>
  <c r="E240"/>
  <c r="D240"/>
  <c r="L239"/>
  <c r="K239"/>
  <c r="J239"/>
  <c r="I239"/>
  <c r="H239"/>
  <c r="G239"/>
  <c r="E239"/>
  <c r="E257" s="1"/>
  <c r="D239"/>
  <c r="J238"/>
  <c r="I238"/>
  <c r="I256" s="1"/>
  <c r="H238"/>
  <c r="H256" s="1"/>
  <c r="G238"/>
  <c r="G256" s="1"/>
  <c r="D238"/>
  <c r="K237"/>
  <c r="K240" s="1"/>
  <c r="F237"/>
  <c r="K236"/>
  <c r="F236"/>
  <c r="F239" s="1"/>
  <c r="E235"/>
  <c r="E238" s="1"/>
  <c r="D235"/>
  <c r="F235" s="1"/>
  <c r="K234"/>
  <c r="F234"/>
  <c r="K233"/>
  <c r="F233"/>
  <c r="K232"/>
  <c r="D232"/>
  <c r="F232" s="1"/>
  <c r="K231"/>
  <c r="F231"/>
  <c r="K230"/>
  <c r="F230"/>
  <c r="L229"/>
  <c r="K229"/>
  <c r="D229"/>
  <c r="M228"/>
  <c r="M227"/>
  <c r="L227"/>
  <c r="J227"/>
  <c r="I227"/>
  <c r="H227"/>
  <c r="G227"/>
  <c r="E227"/>
  <c r="D227"/>
  <c r="M226"/>
  <c r="L226"/>
  <c r="J226"/>
  <c r="I226"/>
  <c r="H226"/>
  <c r="G226"/>
  <c r="E226"/>
  <c r="D226"/>
  <c r="N223"/>
  <c r="M223"/>
  <c r="N222"/>
  <c r="M222"/>
  <c r="L222"/>
  <c r="J222"/>
  <c r="I222"/>
  <c r="H222"/>
  <c r="G222"/>
  <c r="E222"/>
  <c r="D222"/>
  <c r="M221"/>
  <c r="L220"/>
  <c r="J220"/>
  <c r="I220"/>
  <c r="H220"/>
  <c r="G220"/>
  <c r="E220"/>
  <c r="D220"/>
  <c r="L219"/>
  <c r="J219"/>
  <c r="I219"/>
  <c r="H219"/>
  <c r="G219"/>
  <c r="F219" s="1"/>
  <c r="E219"/>
  <c r="D219"/>
  <c r="J218"/>
  <c r="I218"/>
  <c r="H218"/>
  <c r="K217"/>
  <c r="F217"/>
  <c r="K216"/>
  <c r="F216"/>
  <c r="K215" s="1"/>
  <c r="F215"/>
  <c r="F213"/>
  <c r="K211"/>
  <c r="K222" s="1"/>
  <c r="F211"/>
  <c r="M210"/>
  <c r="K209"/>
  <c r="F209"/>
  <c r="K208"/>
  <c r="F208"/>
  <c r="L207"/>
  <c r="G207"/>
  <c r="E207"/>
  <c r="D207"/>
  <c r="K207" s="1"/>
  <c r="K206"/>
  <c r="F206"/>
  <c r="F220" s="1"/>
  <c r="K205"/>
  <c r="F205"/>
  <c r="G204"/>
  <c r="E204"/>
  <c r="E218" s="1"/>
  <c r="D204"/>
  <c r="F202"/>
  <c r="K201" s="1"/>
  <c r="F201"/>
  <c r="L200"/>
  <c r="J200"/>
  <c r="I200"/>
  <c r="H200"/>
  <c r="G200"/>
  <c r="E200"/>
  <c r="D200"/>
  <c r="N199"/>
  <c r="L199"/>
  <c r="J199"/>
  <c r="I199"/>
  <c r="H199"/>
  <c r="G199"/>
  <c r="E199"/>
  <c r="D199"/>
  <c r="N198"/>
  <c r="L198"/>
  <c r="K198"/>
  <c r="J198"/>
  <c r="I198"/>
  <c r="H198"/>
  <c r="G198"/>
  <c r="E198"/>
  <c r="D198"/>
  <c r="N197"/>
  <c r="J197"/>
  <c r="J221" s="1"/>
  <c r="I221" s="1"/>
  <c r="H221" s="1"/>
  <c r="I197"/>
  <c r="I210" s="1"/>
  <c r="H197"/>
  <c r="H210" s="1"/>
  <c r="K196"/>
  <c r="F196"/>
  <c r="K195"/>
  <c r="F195"/>
  <c r="L194"/>
  <c r="G194"/>
  <c r="F194"/>
  <c r="E194"/>
  <c r="D194"/>
  <c r="K194" s="1"/>
  <c r="K193"/>
  <c r="F193"/>
  <c r="K192"/>
  <c r="F192"/>
  <c r="G191"/>
  <c r="F191"/>
  <c r="E191"/>
  <c r="D191"/>
  <c r="K191" s="1"/>
  <c r="K190"/>
  <c r="K199" s="1"/>
  <c r="F190"/>
  <c r="F199" s="1"/>
  <c r="K189"/>
  <c r="F189"/>
  <c r="F198" s="1"/>
  <c r="G188"/>
  <c r="G197" s="1"/>
  <c r="E188"/>
  <c r="E197" s="1"/>
  <c r="E221" s="1"/>
  <c r="D188"/>
  <c r="N187" s="1"/>
  <c r="N186"/>
  <c r="K186" s="1"/>
  <c r="F186"/>
  <c r="F185"/>
  <c r="H183"/>
  <c r="J182"/>
  <c r="N181"/>
  <c r="L181"/>
  <c r="J181"/>
  <c r="I181"/>
  <c r="H181"/>
  <c r="H468" s="1"/>
  <c r="G181"/>
  <c r="E181"/>
  <c r="N180"/>
  <c r="L180"/>
  <c r="J180"/>
  <c r="K180" s="1"/>
  <c r="I180"/>
  <c r="G180"/>
  <c r="E180"/>
  <c r="D180"/>
  <c r="F180" s="1"/>
  <c r="N179"/>
  <c r="J179"/>
  <c r="I179"/>
  <c r="H179"/>
  <c r="H182" s="1"/>
  <c r="E179"/>
  <c r="D178"/>
  <c r="D465" s="1"/>
  <c r="K177"/>
  <c r="F177"/>
  <c r="L176"/>
  <c r="L179" s="1"/>
  <c r="K176"/>
  <c r="E176"/>
  <c r="D176"/>
  <c r="D179" s="1"/>
  <c r="K175"/>
  <c r="F175"/>
  <c r="K174"/>
  <c r="F174"/>
  <c r="L173"/>
  <c r="K173" s="1"/>
  <c r="E173"/>
  <c r="F173" s="1"/>
  <c r="K172"/>
  <c r="F172"/>
  <c r="K171"/>
  <c r="F171"/>
  <c r="L170"/>
  <c r="G170"/>
  <c r="G179" s="1"/>
  <c r="E170"/>
  <c r="D170"/>
  <c r="F168"/>
  <c r="F167"/>
  <c r="J166"/>
  <c r="I166"/>
  <c r="H166"/>
  <c r="G166"/>
  <c r="E166"/>
  <c r="D166"/>
  <c r="J165"/>
  <c r="J167" s="1"/>
  <c r="I165"/>
  <c r="I167" s="1"/>
  <c r="H165"/>
  <c r="G165"/>
  <c r="E165"/>
  <c r="D165"/>
  <c r="N164"/>
  <c r="N182" s="1"/>
  <c r="M164"/>
  <c r="J164"/>
  <c r="I164"/>
  <c r="I182" s="1"/>
  <c r="D164"/>
  <c r="K163"/>
  <c r="F163"/>
  <c r="F166" s="1"/>
  <c r="K162"/>
  <c r="F162"/>
  <c r="F165" s="1"/>
  <c r="F161"/>
  <c r="E161"/>
  <c r="E164" s="1"/>
  <c r="E182" s="1"/>
  <c r="K160"/>
  <c r="K166" s="1"/>
  <c r="F160"/>
  <c r="N159"/>
  <c r="K159"/>
  <c r="F159"/>
  <c r="G158"/>
  <c r="G164" s="1"/>
  <c r="E158"/>
  <c r="D158"/>
  <c r="F158" s="1"/>
  <c r="K157"/>
  <c r="F157"/>
  <c r="K156"/>
  <c r="K165" s="1"/>
  <c r="F156"/>
  <c r="L155"/>
  <c r="G155"/>
  <c r="K155" s="1"/>
  <c r="E155"/>
  <c r="D155"/>
  <c r="F155" s="1"/>
  <c r="N154"/>
  <c r="M154" s="1"/>
  <c r="M153"/>
  <c r="I152"/>
  <c r="N150"/>
  <c r="M150"/>
  <c r="N149"/>
  <c r="M149"/>
  <c r="N148"/>
  <c r="M148"/>
  <c r="M152" s="1"/>
  <c r="L148"/>
  <c r="J148"/>
  <c r="J152" s="1"/>
  <c r="I148"/>
  <c r="H148"/>
  <c r="G148"/>
  <c r="G152" s="1"/>
  <c r="E148"/>
  <c r="E152" s="1"/>
  <c r="D152" s="1"/>
  <c r="D148"/>
  <c r="L146"/>
  <c r="J146"/>
  <c r="I146"/>
  <c r="H146"/>
  <c r="G146"/>
  <c r="E146"/>
  <c r="D146"/>
  <c r="L145"/>
  <c r="J145"/>
  <c r="I145"/>
  <c r="H145"/>
  <c r="H153" s="1"/>
  <c r="G153" s="1"/>
  <c r="G145"/>
  <c r="E145"/>
  <c r="D145"/>
  <c r="N144"/>
  <c r="M144"/>
  <c r="J144"/>
  <c r="I144"/>
  <c r="H144"/>
  <c r="K143"/>
  <c r="F143"/>
  <c r="K142"/>
  <c r="F142"/>
  <c r="K141"/>
  <c r="E141"/>
  <c r="F141" s="1"/>
  <c r="F139"/>
  <c r="F137"/>
  <c r="F148" s="1"/>
  <c r="N136"/>
  <c r="M136"/>
  <c r="J136"/>
  <c r="I136"/>
  <c r="H136"/>
  <c r="E136"/>
  <c r="K135"/>
  <c r="F135"/>
  <c r="K134"/>
  <c r="F134"/>
  <c r="L133"/>
  <c r="L136" s="1"/>
  <c r="G133"/>
  <c r="G144" s="1"/>
  <c r="E133"/>
  <c r="D133"/>
  <c r="K133" s="1"/>
  <c r="K132"/>
  <c r="K146" s="1"/>
  <c r="F132"/>
  <c r="F146" s="1"/>
  <c r="K131"/>
  <c r="K145" s="1"/>
  <c r="F131"/>
  <c r="F145" s="1"/>
  <c r="G130"/>
  <c r="G136" s="1"/>
  <c r="E130"/>
  <c r="E144" s="1"/>
  <c r="D130"/>
  <c r="M129"/>
  <c r="F128"/>
  <c r="F127"/>
  <c r="L126"/>
  <c r="J126"/>
  <c r="I126"/>
  <c r="H126"/>
  <c r="G126"/>
  <c r="E126"/>
  <c r="D126"/>
  <c r="N125"/>
  <c r="L125"/>
  <c r="J125"/>
  <c r="I125"/>
  <c r="H125"/>
  <c r="G125"/>
  <c r="E125"/>
  <c r="D125"/>
  <c r="N124"/>
  <c r="L124"/>
  <c r="J124"/>
  <c r="I124"/>
  <c r="H124"/>
  <c r="G124"/>
  <c r="E124"/>
  <c r="D124"/>
  <c r="N123"/>
  <c r="N147" s="1"/>
  <c r="M123"/>
  <c r="J123"/>
  <c r="J147" s="1"/>
  <c r="I123"/>
  <c r="I147" s="1"/>
  <c r="H123"/>
  <c r="H147" s="1"/>
  <c r="K122"/>
  <c r="F122"/>
  <c r="K121"/>
  <c r="F121"/>
  <c r="F124" s="1"/>
  <c r="L120"/>
  <c r="G120"/>
  <c r="F120"/>
  <c r="E120"/>
  <c r="D120"/>
  <c r="K120" s="1"/>
  <c r="K119"/>
  <c r="F119"/>
  <c r="F126" s="1"/>
  <c r="K118"/>
  <c r="F118"/>
  <c r="G117"/>
  <c r="K117" s="1"/>
  <c r="E117"/>
  <c r="D117"/>
  <c r="F117" s="1"/>
  <c r="K116"/>
  <c r="F116"/>
  <c r="F125" s="1"/>
  <c r="K115"/>
  <c r="K124" s="1"/>
  <c r="F115"/>
  <c r="K114"/>
  <c r="G114"/>
  <c r="G123" s="1"/>
  <c r="G147" s="1"/>
  <c r="E114"/>
  <c r="E123" s="1"/>
  <c r="D114"/>
  <c r="F112"/>
  <c r="K112" s="1"/>
  <c r="F111"/>
  <c r="H110"/>
  <c r="H109"/>
  <c r="M108"/>
  <c r="H108"/>
  <c r="N107"/>
  <c r="H107"/>
  <c r="N106"/>
  <c r="L106"/>
  <c r="K106"/>
  <c r="J106"/>
  <c r="I106"/>
  <c r="G106"/>
  <c r="F106"/>
  <c r="E106"/>
  <c r="D106"/>
  <c r="N105"/>
  <c r="L105"/>
  <c r="J105"/>
  <c r="K105" s="1"/>
  <c r="I105"/>
  <c r="G105"/>
  <c r="E105"/>
  <c r="D105"/>
  <c r="F105" s="1"/>
  <c r="N104"/>
  <c r="M104"/>
  <c r="J104"/>
  <c r="J107" s="1"/>
  <c r="I107" s="1"/>
  <c r="I104"/>
  <c r="E104"/>
  <c r="J103"/>
  <c r="I103"/>
  <c r="H103"/>
  <c r="K102"/>
  <c r="F102"/>
  <c r="L101"/>
  <c r="K101"/>
  <c r="G101"/>
  <c r="G464" s="1"/>
  <c r="F101"/>
  <c r="L100"/>
  <c r="L104" s="1"/>
  <c r="G100"/>
  <c r="G103" s="1"/>
  <c r="E100"/>
  <c r="E103" s="1"/>
  <c r="D100"/>
  <c r="L99" s="1"/>
  <c r="J99"/>
  <c r="I99"/>
  <c r="H99"/>
  <c r="G99"/>
  <c r="E99"/>
  <c r="K98"/>
  <c r="F98"/>
  <c r="K97"/>
  <c r="F97"/>
  <c r="L96"/>
  <c r="K96"/>
  <c r="E96"/>
  <c r="D96"/>
  <c r="D460" s="1"/>
  <c r="L95"/>
  <c r="J95"/>
  <c r="I95"/>
  <c r="H95"/>
  <c r="D95"/>
  <c r="K94"/>
  <c r="F94"/>
  <c r="K93"/>
  <c r="F93"/>
  <c r="L92"/>
  <c r="G92"/>
  <c r="K92" s="1"/>
  <c r="F92"/>
  <c r="E92"/>
  <c r="D92"/>
  <c r="M91"/>
  <c r="F90"/>
  <c r="K89"/>
  <c r="F89"/>
  <c r="N88"/>
  <c r="N110" s="1"/>
  <c r="L88"/>
  <c r="J88"/>
  <c r="I88"/>
  <c r="G88"/>
  <c r="E88"/>
  <c r="D88"/>
  <c r="N87"/>
  <c r="N109" s="1"/>
  <c r="L87"/>
  <c r="J87"/>
  <c r="I87"/>
  <c r="G87"/>
  <c r="E87"/>
  <c r="D87"/>
  <c r="N86"/>
  <c r="M86"/>
  <c r="J86"/>
  <c r="J108" s="1"/>
  <c r="I86"/>
  <c r="I108" s="1"/>
  <c r="K85"/>
  <c r="F85"/>
  <c r="F88" s="1"/>
  <c r="K84"/>
  <c r="K87" s="1"/>
  <c r="F84"/>
  <c r="F87" s="1"/>
  <c r="G83"/>
  <c r="G86" s="1"/>
  <c r="F83"/>
  <c r="E83"/>
  <c r="D83"/>
  <c r="D448" s="1"/>
  <c r="K82"/>
  <c r="K88" s="1"/>
  <c r="F82"/>
  <c r="K81"/>
  <c r="F81"/>
  <c r="G80"/>
  <c r="K80" s="1"/>
  <c r="E80"/>
  <c r="D80"/>
  <c r="D86" s="1"/>
  <c r="K79"/>
  <c r="F79"/>
  <c r="K78"/>
  <c r="F78"/>
  <c r="L77"/>
  <c r="G77"/>
  <c r="E77"/>
  <c r="K77" s="1"/>
  <c r="N75"/>
  <c r="M75"/>
  <c r="L75"/>
  <c r="J75"/>
  <c r="I75"/>
  <c r="H75"/>
  <c r="G75"/>
  <c r="E75"/>
  <c r="D75"/>
  <c r="M72"/>
  <c r="L71"/>
  <c r="L501" s="1"/>
  <c r="J71"/>
  <c r="J501" s="1"/>
  <c r="I71"/>
  <c r="I501" s="1"/>
  <c r="H71"/>
  <c r="H501" s="1"/>
  <c r="G71"/>
  <c r="G501" s="1"/>
  <c r="E71"/>
  <c r="E501" s="1"/>
  <c r="D71"/>
  <c r="D501" s="1"/>
  <c r="I70"/>
  <c r="L69"/>
  <c r="L499" s="1"/>
  <c r="J69"/>
  <c r="J499" s="1"/>
  <c r="I69"/>
  <c r="I499" s="1"/>
  <c r="H499" s="1"/>
  <c r="H69"/>
  <c r="G69"/>
  <c r="F69"/>
  <c r="F499" s="1"/>
  <c r="E69"/>
  <c r="E499" s="1"/>
  <c r="D69"/>
  <c r="L68"/>
  <c r="L498" s="1"/>
  <c r="J68"/>
  <c r="J498" s="1"/>
  <c r="I68"/>
  <c r="I498" s="1"/>
  <c r="H68"/>
  <c r="H498" s="1"/>
  <c r="G68"/>
  <c r="E68"/>
  <c r="E498" s="1"/>
  <c r="D68"/>
  <c r="D498" s="1"/>
  <c r="J67"/>
  <c r="J497" s="1"/>
  <c r="I67"/>
  <c r="H67"/>
  <c r="H497" s="1"/>
  <c r="D67"/>
  <c r="K66"/>
  <c r="K496" s="1"/>
  <c r="F66"/>
  <c r="F496" s="1"/>
  <c r="K65"/>
  <c r="K495" s="1"/>
  <c r="F65"/>
  <c r="F495" s="1"/>
  <c r="K64"/>
  <c r="K494" s="1"/>
  <c r="F64"/>
  <c r="F62"/>
  <c r="F60"/>
  <c r="F75" s="1"/>
  <c r="N59"/>
  <c r="M59"/>
  <c r="K58"/>
  <c r="K493" s="1"/>
  <c r="F58"/>
  <c r="F493" s="1"/>
  <c r="K57"/>
  <c r="K492" s="1"/>
  <c r="F57"/>
  <c r="F492" s="1"/>
  <c r="L56"/>
  <c r="L491" s="1"/>
  <c r="G56"/>
  <c r="G491" s="1"/>
  <c r="E56"/>
  <c r="E491" s="1"/>
  <c r="D56"/>
  <c r="D491" s="1"/>
  <c r="K55"/>
  <c r="K490" s="1"/>
  <c r="F55"/>
  <c r="F490" s="1"/>
  <c r="K54"/>
  <c r="K489" s="1"/>
  <c r="F54"/>
  <c r="F489" s="1"/>
  <c r="G53"/>
  <c r="G488" s="1"/>
  <c r="F53"/>
  <c r="E53"/>
  <c r="E488" s="1"/>
  <c r="D53"/>
  <c r="D488" s="1"/>
  <c r="L52"/>
  <c r="J52"/>
  <c r="J61" s="1"/>
  <c r="G52"/>
  <c r="F51"/>
  <c r="F50"/>
  <c r="J49"/>
  <c r="I49"/>
  <c r="H49"/>
  <c r="G49"/>
  <c r="E49"/>
  <c r="D49"/>
  <c r="F49" s="1"/>
  <c r="L48"/>
  <c r="L486" s="1"/>
  <c r="J48"/>
  <c r="J486" s="1"/>
  <c r="I48"/>
  <c r="I486" s="1"/>
  <c r="H48"/>
  <c r="H486" s="1"/>
  <c r="G48"/>
  <c r="G486" s="1"/>
  <c r="E48"/>
  <c r="E52" s="1"/>
  <c r="D48"/>
  <c r="D486" s="1"/>
  <c r="L485" s="1"/>
  <c r="L47"/>
  <c r="J47"/>
  <c r="J485" s="1"/>
  <c r="I485" s="1"/>
  <c r="H485" s="1"/>
  <c r="G485" s="1"/>
  <c r="I47"/>
  <c r="H47"/>
  <c r="G47"/>
  <c r="F47"/>
  <c r="E47"/>
  <c r="E485" s="1"/>
  <c r="D485" s="1"/>
  <c r="D47"/>
  <c r="J46"/>
  <c r="J59" s="1"/>
  <c r="I46"/>
  <c r="I484" s="1"/>
  <c r="H46"/>
  <c r="H484" s="1"/>
  <c r="K45"/>
  <c r="K483" s="1"/>
  <c r="F45"/>
  <c r="F483" s="1"/>
  <c r="K44"/>
  <c r="K482" s="1"/>
  <c r="F44"/>
  <c r="F482" s="1"/>
  <c r="L43"/>
  <c r="L481" s="1"/>
  <c r="G43"/>
  <c r="G481" s="1"/>
  <c r="E43"/>
  <c r="D43"/>
  <c r="D481" s="1"/>
  <c r="K42"/>
  <c r="K480" s="1"/>
  <c r="F42"/>
  <c r="F480" s="1"/>
  <c r="K41"/>
  <c r="K479" s="1"/>
  <c r="F41"/>
  <c r="F479" s="1"/>
  <c r="G40"/>
  <c r="G478" s="1"/>
  <c r="F40"/>
  <c r="E40"/>
  <c r="D40"/>
  <c r="D478" s="1"/>
  <c r="K39"/>
  <c r="F39"/>
  <c r="K38"/>
  <c r="K476" s="1"/>
  <c r="F38"/>
  <c r="F476" s="1"/>
  <c r="G37"/>
  <c r="G475" s="1"/>
  <c r="F37"/>
  <c r="E37"/>
  <c r="E46" s="1"/>
  <c r="D37"/>
  <c r="K37" s="1"/>
  <c r="K35"/>
  <c r="F35"/>
  <c r="F473" s="1"/>
  <c r="F34"/>
  <c r="F472" s="1"/>
  <c r="E472" s="1"/>
  <c r="J151" l="1"/>
  <c r="F485"/>
  <c r="D74"/>
  <c r="H74"/>
  <c r="L74"/>
  <c r="E86"/>
  <c r="E108" s="1"/>
  <c r="L91"/>
  <c r="K95"/>
  <c r="K99"/>
  <c r="K100"/>
  <c r="D103"/>
  <c r="F152"/>
  <c r="K111"/>
  <c r="N129"/>
  <c r="F130"/>
  <c r="D144"/>
  <c r="D497" s="1"/>
  <c r="D136"/>
  <c r="L67"/>
  <c r="K68"/>
  <c r="K34"/>
  <c r="D46"/>
  <c r="L46"/>
  <c r="K47"/>
  <c r="K485" s="1"/>
  <c r="F48"/>
  <c r="F52" s="1"/>
  <c r="K50"/>
  <c r="F56"/>
  <c r="H59"/>
  <c r="K60"/>
  <c r="E67"/>
  <c r="E497" s="1"/>
  <c r="G498"/>
  <c r="K69"/>
  <c r="J70"/>
  <c r="J500" s="1"/>
  <c r="E74"/>
  <c r="I74"/>
  <c r="F77"/>
  <c r="K109"/>
  <c r="N91"/>
  <c r="G95"/>
  <c r="F95" s="1"/>
  <c r="E95" s="1"/>
  <c r="E107" s="1"/>
  <c r="G109"/>
  <c r="F109" s="1"/>
  <c r="E109" s="1"/>
  <c r="D109" s="1"/>
  <c r="K123"/>
  <c r="K126"/>
  <c r="K125"/>
  <c r="E225"/>
  <c r="K179"/>
  <c r="E210"/>
  <c r="G46"/>
  <c r="F43"/>
  <c r="K40"/>
  <c r="I487"/>
  <c r="H487" s="1"/>
  <c r="K48"/>
  <c r="K52" s="1"/>
  <c r="D52"/>
  <c r="K51" s="1"/>
  <c r="H52"/>
  <c r="H61" s="1"/>
  <c r="G61" s="1"/>
  <c r="K53"/>
  <c r="E59"/>
  <c r="I59"/>
  <c r="F61"/>
  <c r="F494"/>
  <c r="E494" s="1"/>
  <c r="F67"/>
  <c r="I497"/>
  <c r="F71"/>
  <c r="J74"/>
  <c r="K83"/>
  <c r="K86" s="1"/>
  <c r="L86"/>
  <c r="L108" s="1"/>
  <c r="D99"/>
  <c r="F100"/>
  <c r="G104"/>
  <c r="G108" s="1"/>
  <c r="F114"/>
  <c r="F123" s="1"/>
  <c r="D123"/>
  <c r="D147" s="1"/>
  <c r="L123"/>
  <c r="M147"/>
  <c r="M151" s="1"/>
  <c r="K127"/>
  <c r="K128"/>
  <c r="K129" s="1"/>
  <c r="J129" s="1"/>
  <c r="I129" s="1"/>
  <c r="F153"/>
  <c r="E153" s="1"/>
  <c r="D153" s="1"/>
  <c r="D504" s="1"/>
  <c r="F164"/>
  <c r="G210"/>
  <c r="K43"/>
  <c r="F46"/>
  <c r="F70" s="1"/>
  <c r="K49"/>
  <c r="I52"/>
  <c r="I61" s="1"/>
  <c r="K56"/>
  <c r="L61"/>
  <c r="L63" s="1"/>
  <c r="L72" s="1"/>
  <c r="G67"/>
  <c r="F68"/>
  <c r="H70"/>
  <c r="G74"/>
  <c r="F80"/>
  <c r="F86" s="1"/>
  <c r="I151"/>
  <c r="H151" s="1"/>
  <c r="N108"/>
  <c r="N151" s="1"/>
  <c r="M89"/>
  <c r="F96"/>
  <c r="F99" s="1"/>
  <c r="D104"/>
  <c r="L103" s="1"/>
  <c r="K103" s="1"/>
  <c r="E147"/>
  <c r="K130"/>
  <c r="K144" s="1"/>
  <c r="G182"/>
  <c r="K182" s="1"/>
  <c r="D182"/>
  <c r="M182"/>
  <c r="N185"/>
  <c r="J300"/>
  <c r="L107"/>
  <c r="L129"/>
  <c r="F133"/>
  <c r="F136" s="1"/>
  <c r="L152"/>
  <c r="K158"/>
  <c r="K161"/>
  <c r="K164" s="1"/>
  <c r="L164"/>
  <c r="L167" s="1"/>
  <c r="K167" s="1"/>
  <c r="F176"/>
  <c r="G183"/>
  <c r="F183" s="1"/>
  <c r="E183" s="1"/>
  <c r="D183" s="1"/>
  <c r="H184"/>
  <c r="N184"/>
  <c r="L184" s="1"/>
  <c r="F200"/>
  <c r="G218"/>
  <c r="G221" s="1"/>
  <c r="F207"/>
  <c r="N210"/>
  <c r="F227"/>
  <c r="F222"/>
  <c r="K235"/>
  <c r="K238" s="1"/>
  <c r="G258"/>
  <c r="K272"/>
  <c r="L297"/>
  <c r="L285"/>
  <c r="J374"/>
  <c r="I359"/>
  <c r="H152"/>
  <c r="K170"/>
  <c r="L464"/>
  <c r="L187"/>
  <c r="K188"/>
  <c r="K197" s="1"/>
  <c r="D197"/>
  <c r="D221" s="1"/>
  <c r="L197"/>
  <c r="L210" s="1"/>
  <c r="N221"/>
  <c r="N500" s="1"/>
  <c r="M500" s="1"/>
  <c r="K200"/>
  <c r="L203"/>
  <c r="D218"/>
  <c r="K204"/>
  <c r="K218" s="1"/>
  <c r="L214"/>
  <c r="K219"/>
  <c r="K220"/>
  <c r="D256"/>
  <c r="K241"/>
  <c r="L257"/>
  <c r="D253"/>
  <c r="F250"/>
  <c r="K302"/>
  <c r="J302" s="1"/>
  <c r="I302" s="1"/>
  <c r="H302" s="1"/>
  <c r="G302" s="1"/>
  <c r="G504" s="1"/>
  <c r="G314"/>
  <c r="G332" s="1"/>
  <c r="H332"/>
  <c r="H373" s="1"/>
  <c r="F371"/>
  <c r="L138"/>
  <c r="K138" s="1"/>
  <c r="J138" s="1"/>
  <c r="L144"/>
  <c r="N165"/>
  <c r="M167"/>
  <c r="F178"/>
  <c r="F181" s="1"/>
  <c r="L212"/>
  <c r="K242"/>
  <c r="K250"/>
  <c r="G257"/>
  <c r="H297"/>
  <c r="H300" s="1"/>
  <c r="G300" s="1"/>
  <c r="H285"/>
  <c r="K274"/>
  <c r="K331"/>
  <c r="K332"/>
  <c r="F367"/>
  <c r="N111"/>
  <c r="L140"/>
  <c r="L150" s="1"/>
  <c r="L153"/>
  <c r="K153" s="1"/>
  <c r="J153" s="1"/>
  <c r="I153" s="1"/>
  <c r="N167"/>
  <c r="F170"/>
  <c r="K178"/>
  <c r="K181" s="1"/>
  <c r="D181"/>
  <c r="F188"/>
  <c r="F197" s="1"/>
  <c r="F221" s="1"/>
  <c r="F204"/>
  <c r="F218" s="1"/>
  <c r="F226"/>
  <c r="L238"/>
  <c r="D257"/>
  <c r="L243"/>
  <c r="F247"/>
  <c r="H257"/>
  <c r="K257" s="1"/>
  <c r="I297"/>
  <c r="I500" s="1"/>
  <c r="F295"/>
  <c r="F298"/>
  <c r="F301" s="1"/>
  <c r="K314"/>
  <c r="K316"/>
  <c r="D373"/>
  <c r="F332"/>
  <c r="K329"/>
  <c r="H333"/>
  <c r="G333" s="1"/>
  <c r="I374"/>
  <c r="H374" s="1"/>
  <c r="F333"/>
  <c r="F374" s="1"/>
  <c r="G370"/>
  <c r="G359"/>
  <c r="I372"/>
  <c r="K371"/>
  <c r="K374" s="1"/>
  <c r="K327"/>
  <c r="K488" i="2"/>
  <c r="K79"/>
  <c r="K438" i="1"/>
  <c r="N228"/>
  <c r="D272"/>
  <c r="F279"/>
  <c r="F294"/>
  <c r="K326"/>
  <c r="K330"/>
  <c r="I334"/>
  <c r="L218"/>
  <c r="L221" s="1"/>
  <c r="K221" s="1"/>
  <c r="F229"/>
  <c r="F238" s="1"/>
  <c r="F272"/>
  <c r="K279"/>
  <c r="K294" s="1"/>
  <c r="I285"/>
  <c r="L287"/>
  <c r="F313"/>
  <c r="H405"/>
  <c r="I439"/>
  <c r="H439" s="1"/>
  <c r="F438"/>
  <c r="F385" i="2"/>
  <c r="F517" s="1"/>
  <c r="K517" s="1"/>
  <c r="F514"/>
  <c r="K385"/>
  <c r="K514"/>
  <c r="H33" i="1"/>
  <c r="H471" s="1"/>
  <c r="H32"/>
  <c r="H31"/>
  <c r="L30"/>
  <c r="J30"/>
  <c r="J468" s="1"/>
  <c r="I30"/>
  <c r="I468" s="1"/>
  <c r="G30"/>
  <c r="G468" s="1"/>
  <c r="E30"/>
  <c r="E468" s="1"/>
  <c r="D30"/>
  <c r="D468" s="1"/>
  <c r="L467" s="1"/>
  <c r="L29"/>
  <c r="J29"/>
  <c r="J467" s="1"/>
  <c r="I29"/>
  <c r="I467" s="1"/>
  <c r="G29"/>
  <c r="G467" s="1"/>
  <c r="E29"/>
  <c r="E467" s="1"/>
  <c r="D29"/>
  <c r="D467" s="1"/>
  <c r="J28"/>
  <c r="J466" s="1"/>
  <c r="I28"/>
  <c r="K27"/>
  <c r="K465" s="1"/>
  <c r="F27"/>
  <c r="F465" s="1"/>
  <c r="K26"/>
  <c r="F26"/>
  <c r="F464" s="1"/>
  <c r="L25"/>
  <c r="L463" s="1"/>
  <c r="G25"/>
  <c r="G463" s="1"/>
  <c r="F25"/>
  <c r="F463" s="1"/>
  <c r="E25"/>
  <c r="E463" s="1"/>
  <c r="D463" s="1"/>
  <c r="D25"/>
  <c r="K24"/>
  <c r="K462" s="1"/>
  <c r="F24"/>
  <c r="F462" s="1"/>
  <c r="K23"/>
  <c r="K461" s="1"/>
  <c r="F23"/>
  <c r="F461" s="1"/>
  <c r="L22"/>
  <c r="L460" s="1"/>
  <c r="K22"/>
  <c r="K460" s="1"/>
  <c r="F22"/>
  <c r="F460" s="1"/>
  <c r="E22"/>
  <c r="E460" s="1"/>
  <c r="K21"/>
  <c r="K459" s="1"/>
  <c r="F21"/>
  <c r="F459" s="1"/>
  <c r="K20"/>
  <c r="K458" s="1"/>
  <c r="F20"/>
  <c r="F458" s="1"/>
  <c r="L19"/>
  <c r="L457" s="1"/>
  <c r="G19"/>
  <c r="G457" s="1"/>
  <c r="E19"/>
  <c r="D19"/>
  <c r="D457" s="1"/>
  <c r="L18"/>
  <c r="L456" s="1"/>
  <c r="G18"/>
  <c r="D18"/>
  <c r="K17"/>
  <c r="F17"/>
  <c r="F455" s="1"/>
  <c r="L16"/>
  <c r="F16"/>
  <c r="F454" s="1"/>
  <c r="L15"/>
  <c r="L453" s="1"/>
  <c r="J15"/>
  <c r="J453" s="1"/>
  <c r="I15"/>
  <c r="I453" s="1"/>
  <c r="H453" s="1"/>
  <c r="H15"/>
  <c r="G15"/>
  <c r="G453" s="1"/>
  <c r="E15"/>
  <c r="E453" s="1"/>
  <c r="D15"/>
  <c r="D453" s="1"/>
  <c r="L14"/>
  <c r="K14"/>
  <c r="K452" s="1"/>
  <c r="J14"/>
  <c r="J17" s="1"/>
  <c r="I14"/>
  <c r="I452" s="1"/>
  <c r="H14"/>
  <c r="H452" s="1"/>
  <c r="G14"/>
  <c r="F14"/>
  <c r="F452" s="1"/>
  <c r="E14"/>
  <c r="E452" s="1"/>
  <c r="D14"/>
  <c r="D452" s="1"/>
  <c r="J13"/>
  <c r="J451" s="1"/>
  <c r="I13"/>
  <c r="I31" s="1"/>
  <c r="K12"/>
  <c r="K450" s="1"/>
  <c r="F12"/>
  <c r="F450" s="1"/>
  <c r="K11"/>
  <c r="K449" s="1"/>
  <c r="F11"/>
  <c r="F449" s="1"/>
  <c r="G10"/>
  <c r="G448" s="1"/>
  <c r="E10"/>
  <c r="E448" s="1"/>
  <c r="K9"/>
  <c r="K447" s="1"/>
  <c r="F9"/>
  <c r="F447" s="1"/>
  <c r="K8"/>
  <c r="K446" s="1"/>
  <c r="F8"/>
  <c r="F446" s="1"/>
  <c r="G7"/>
  <c r="G445" s="1"/>
  <c r="E7"/>
  <c r="D7"/>
  <c r="F7" s="1"/>
  <c r="F445" s="1"/>
  <c r="E445" s="1"/>
  <c r="D445" s="1"/>
  <c r="K6"/>
  <c r="K444" s="1"/>
  <c r="F6"/>
  <c r="F444" s="1"/>
  <c r="K5"/>
  <c r="K443" s="1"/>
  <c r="F5"/>
  <c r="F443" s="1"/>
  <c r="L4"/>
  <c r="L442" s="1"/>
  <c r="G4"/>
  <c r="G442" s="1"/>
  <c r="E4"/>
  <c r="F4" s="1"/>
  <c r="F442" s="1"/>
  <c r="E442" s="1"/>
  <c r="D4"/>
  <c r="D442" s="1"/>
  <c r="I469" l="1"/>
  <c r="I73"/>
  <c r="G151"/>
  <c r="F18"/>
  <c r="G13"/>
  <c r="D13"/>
  <c r="G452"/>
  <c r="K15"/>
  <c r="I17"/>
  <c r="E18"/>
  <c r="J18"/>
  <c r="J33" s="1"/>
  <c r="E28"/>
  <c r="I466"/>
  <c r="H466" s="1"/>
  <c r="D32"/>
  <c r="D33"/>
  <c r="I300"/>
  <c r="F179"/>
  <c r="N225"/>
  <c r="M225" s="1"/>
  <c r="N503"/>
  <c r="M503" s="1"/>
  <c r="H500"/>
  <c r="G497"/>
  <c r="L147"/>
  <c r="L151" s="1"/>
  <c r="K104"/>
  <c r="F491"/>
  <c r="F59"/>
  <c r="L110"/>
  <c r="L113" s="1"/>
  <c r="L89"/>
  <c r="L109" s="1"/>
  <c r="K475"/>
  <c r="K7"/>
  <c r="K445" s="1"/>
  <c r="K10"/>
  <c r="J452"/>
  <c r="F15"/>
  <c r="F453" s="1"/>
  <c r="K4"/>
  <c r="K442" s="1"/>
  <c r="F10"/>
  <c r="E13"/>
  <c r="I451"/>
  <c r="H451" s="1"/>
  <c r="L452"/>
  <c r="K16"/>
  <c r="F19"/>
  <c r="F457" s="1"/>
  <c r="E457" s="1"/>
  <c r="K25"/>
  <c r="K463" s="1"/>
  <c r="F29"/>
  <c r="F467" s="1"/>
  <c r="K29"/>
  <c r="K467" s="1"/>
  <c r="F30"/>
  <c r="F468" s="1"/>
  <c r="K30"/>
  <c r="K468" s="1"/>
  <c r="J31"/>
  <c r="E32"/>
  <c r="E272"/>
  <c r="F285"/>
  <c r="F297"/>
  <c r="L149"/>
  <c r="L258"/>
  <c r="L228"/>
  <c r="L223"/>
  <c r="K464"/>
  <c r="K333"/>
  <c r="K297"/>
  <c r="K285"/>
  <c r="J285" s="1"/>
  <c r="K185"/>
  <c r="N227"/>
  <c r="N226"/>
  <c r="H129"/>
  <c r="I138"/>
  <c r="F501"/>
  <c r="K488"/>
  <c r="K67"/>
  <c r="K497" s="1"/>
  <c r="K147"/>
  <c r="H504"/>
  <c r="K71"/>
  <c r="K74" s="1"/>
  <c r="K75"/>
  <c r="L484"/>
  <c r="L70"/>
  <c r="L500" s="1"/>
  <c r="K498"/>
  <c r="F144"/>
  <c r="F497" s="1"/>
  <c r="E151"/>
  <c r="L454"/>
  <c r="G28"/>
  <c r="G466" s="1"/>
  <c r="L28"/>
  <c r="L466" s="1"/>
  <c r="L33"/>
  <c r="F32"/>
  <c r="D297"/>
  <c r="D300" s="1"/>
  <c r="D285"/>
  <c r="L256"/>
  <c r="F257"/>
  <c r="G373"/>
  <c r="F253"/>
  <c r="E253" s="1"/>
  <c r="F210"/>
  <c r="L182"/>
  <c r="K491"/>
  <c r="K136"/>
  <c r="F147"/>
  <c r="F103"/>
  <c r="F104"/>
  <c r="E61"/>
  <c r="D61" s="1"/>
  <c r="K61"/>
  <c r="F63"/>
  <c r="D210"/>
  <c r="L59"/>
  <c r="D484"/>
  <c r="D70"/>
  <c r="D500" s="1"/>
  <c r="D59"/>
  <c r="L497"/>
  <c r="K210"/>
  <c r="J210" s="1"/>
  <c r="E70"/>
  <c r="L13"/>
  <c r="I18"/>
  <c r="I33" s="1"/>
  <c r="I36" s="1"/>
  <c r="K19"/>
  <c r="K457" s="1"/>
  <c r="D28"/>
  <c r="D466" s="1"/>
  <c r="L465" s="1"/>
  <c r="H469"/>
  <c r="H73"/>
  <c r="G32"/>
  <c r="H470"/>
  <c r="G470" s="1"/>
  <c r="F470" s="1"/>
  <c r="E470" s="1"/>
  <c r="D470" s="1"/>
  <c r="L32"/>
  <c r="G33"/>
  <c r="F302"/>
  <c r="E302" s="1"/>
  <c r="D225"/>
  <c r="N224" s="1"/>
  <c r="M224" s="1"/>
  <c r="L224" s="1"/>
  <c r="F182"/>
  <c r="F498"/>
  <c r="F475"/>
  <c r="E475" s="1"/>
  <c r="D475" s="1"/>
  <c r="F74"/>
  <c r="G484"/>
  <c r="G70"/>
  <c r="G500" s="1"/>
  <c r="G59"/>
  <c r="G107"/>
  <c r="F488"/>
  <c r="D107"/>
  <c r="F107" s="1"/>
  <c r="K46"/>
  <c r="K70" s="1"/>
  <c r="F504"/>
  <c r="E504" s="1"/>
  <c r="D108"/>
  <c r="E297" l="1"/>
  <c r="E285"/>
  <c r="F28"/>
  <c r="F466" s="1"/>
  <c r="I455"/>
  <c r="I16"/>
  <c r="I32" s="1"/>
  <c r="D451"/>
  <c r="D31"/>
  <c r="J16"/>
  <c r="J32" s="1"/>
  <c r="E63"/>
  <c r="D63" s="1"/>
  <c r="K62" s="1"/>
  <c r="F72"/>
  <c r="K59"/>
  <c r="K253"/>
  <c r="E256"/>
  <c r="L300"/>
  <c r="L487"/>
  <c r="E466"/>
  <c r="K453"/>
  <c r="K18"/>
  <c r="G451"/>
  <c r="G31"/>
  <c r="F33"/>
  <c r="L469"/>
  <c r="K227"/>
  <c r="K226"/>
  <c r="E451"/>
  <c r="E31"/>
  <c r="K472"/>
  <c r="J472" s="1"/>
  <c r="I472" s="1"/>
  <c r="J36"/>
  <c r="K107"/>
  <c r="G487"/>
  <c r="H36"/>
  <c r="J469"/>
  <c r="J73"/>
  <c r="D151"/>
  <c r="F108"/>
  <c r="F151" s="1"/>
  <c r="L31"/>
  <c r="L73" s="1"/>
  <c r="L471"/>
  <c r="L36"/>
  <c r="L76" s="1"/>
  <c r="G129"/>
  <c r="F129" s="1"/>
  <c r="E129" s="1"/>
  <c r="D129" s="1"/>
  <c r="H138"/>
  <c r="G138" s="1"/>
  <c r="F138" s="1"/>
  <c r="E138" s="1"/>
  <c r="D138" s="1"/>
  <c r="K137" s="1"/>
  <c r="K148" s="1"/>
  <c r="K152" s="1"/>
  <c r="K28"/>
  <c r="K466" s="1"/>
  <c r="K454"/>
  <c r="K32"/>
  <c r="F448"/>
  <c r="F13"/>
  <c r="F451" s="1"/>
  <c r="K448"/>
  <c r="K13"/>
  <c r="K451" s="1"/>
  <c r="L154"/>
  <c r="L225"/>
  <c r="K225" s="1"/>
  <c r="J225" s="1"/>
  <c r="I225" s="1"/>
  <c r="H225" s="1"/>
  <c r="G225" s="1"/>
  <c r="F225" s="1"/>
  <c r="E33"/>
  <c r="K33" s="1"/>
  <c r="K36" s="1"/>
  <c r="L451"/>
  <c r="K108"/>
  <c r="K151" s="1"/>
  <c r="G469" l="1"/>
  <c r="G73"/>
  <c r="G503" s="1"/>
  <c r="L503"/>
  <c r="I503"/>
  <c r="E300"/>
  <c r="K256"/>
  <c r="F256"/>
  <c r="F300" s="1"/>
  <c r="E72"/>
  <c r="K31"/>
  <c r="G36"/>
  <c r="D469"/>
  <c r="L468" s="1"/>
  <c r="D73"/>
  <c r="D503" s="1"/>
  <c r="N502" s="1"/>
  <c r="F31"/>
  <c r="J503"/>
  <c r="E469"/>
  <c r="E73"/>
  <c r="H503"/>
  <c r="K300"/>
  <c r="F469" l="1"/>
  <c r="F73"/>
  <c r="K469"/>
  <c r="K73"/>
  <c r="D72"/>
  <c r="N501"/>
  <c r="D140"/>
  <c r="D149"/>
  <c r="D203"/>
  <c r="D212"/>
  <c r="D214"/>
  <c r="D223"/>
  <c r="D278"/>
  <c r="D287"/>
  <c r="D289"/>
  <c r="D299"/>
  <c r="D502"/>
  <c r="E340"/>
  <c r="E341"/>
  <c r="E344"/>
  <c r="E347"/>
  <c r="E370"/>
  <c r="E373"/>
  <c r="E503"/>
  <c r="F341"/>
  <c r="F344"/>
  <c r="F347"/>
  <c r="F370"/>
  <c r="F373"/>
  <c r="F503"/>
  <c r="K341"/>
  <c r="K344"/>
  <c r="K347"/>
  <c r="K370"/>
  <c r="K373"/>
  <c r="K503"/>
  <c r="E140"/>
  <c r="E149"/>
  <c r="E203"/>
  <c r="E212"/>
  <c r="E214"/>
  <c r="E223"/>
  <c r="E278"/>
  <c r="E287"/>
  <c r="E289"/>
  <c r="E299"/>
  <c r="E349"/>
  <c r="E372"/>
  <c r="E502"/>
  <c r="H63"/>
  <c r="H72"/>
  <c r="H76"/>
  <c r="G63"/>
  <c r="G72"/>
  <c r="J91"/>
  <c r="J110"/>
  <c r="J169"/>
  <c r="J184"/>
  <c r="J471"/>
  <c r="I91"/>
  <c r="I110"/>
  <c r="I169"/>
  <c r="I184"/>
  <c r="I471"/>
  <c r="K90"/>
  <c r="K91"/>
  <c r="K110"/>
  <c r="K168"/>
  <c r="K169"/>
  <c r="K184"/>
  <c r="E243"/>
  <c r="E258"/>
  <c r="D243"/>
  <c r="D258"/>
  <c r="K258"/>
  <c r="G319"/>
  <c r="G334"/>
  <c r="K334"/>
  <c r="K471"/>
  <c r="J484"/>
  <c r="J487"/>
  <c r="K484"/>
  <c r="K202"/>
  <c r="K203"/>
  <c r="G337"/>
  <c r="K337"/>
  <c r="K277"/>
  <c r="K278"/>
  <c r="K486"/>
  <c r="K487"/>
  <c r="G91"/>
  <c r="G110"/>
  <c r="G113"/>
  <c r="G140"/>
  <c r="G149"/>
  <c r="G154"/>
  <c r="H113"/>
  <c r="H140"/>
  <c r="H149"/>
  <c r="H154"/>
  <c r="F91"/>
  <c r="F110"/>
  <c r="F113"/>
  <c r="F140"/>
  <c r="F149"/>
  <c r="F154"/>
  <c r="K154"/>
  <c r="H187"/>
  <c r="H261"/>
  <c r="H474"/>
  <c r="J63"/>
  <c r="J72"/>
  <c r="J76"/>
  <c r="I63"/>
  <c r="I72"/>
  <c r="E484"/>
  <c r="E486"/>
  <c r="E487"/>
  <c r="D487"/>
  <c r="F484"/>
  <c r="F340"/>
  <c r="F349"/>
  <c r="F486"/>
  <c r="F487"/>
  <c r="F212"/>
  <c r="F214"/>
  <c r="F223"/>
  <c r="F278"/>
  <c r="F287"/>
  <c r="F289"/>
  <c r="F299"/>
  <c r="F372"/>
  <c r="F502"/>
  <c r="E261"/>
  <c r="E262"/>
  <c r="J203"/>
  <c r="J212"/>
  <c r="J214"/>
  <c r="J223"/>
  <c r="J224"/>
  <c r="I203"/>
  <c r="I212"/>
  <c r="I214"/>
  <c r="I223"/>
  <c r="I224"/>
  <c r="H203"/>
  <c r="H212"/>
  <c r="H214"/>
  <c r="H223"/>
  <c r="H224"/>
  <c r="G203"/>
  <c r="G212"/>
  <c r="G214"/>
  <c r="G223"/>
  <c r="G224"/>
  <c r="F224"/>
  <c r="E224"/>
  <c r="D224"/>
  <c r="K212"/>
  <c r="K213"/>
  <c r="K214"/>
  <c r="K223"/>
  <c r="K224"/>
  <c r="L289"/>
  <c r="L299"/>
  <c r="M289"/>
  <c r="M299"/>
  <c r="K113"/>
  <c r="K187"/>
  <c r="D261"/>
  <c r="F261"/>
  <c r="K261"/>
  <c r="K474"/>
  <c r="J113"/>
  <c r="J187"/>
  <c r="J261"/>
  <c r="J474"/>
  <c r="I113"/>
  <c r="I187"/>
  <c r="I261"/>
  <c r="I474"/>
  <c r="L261"/>
  <c r="L474"/>
  <c r="D262"/>
  <c r="F262"/>
  <c r="G262"/>
  <c r="H262"/>
  <c r="I262"/>
  <c r="J262"/>
  <c r="K262"/>
  <c r="L262"/>
  <c r="G261"/>
  <c r="K63"/>
  <c r="K481"/>
  <c r="K260"/>
  <c r="K139"/>
  <c r="K140"/>
  <c r="G169"/>
  <c r="G184"/>
  <c r="G187"/>
  <c r="J278"/>
  <c r="J287"/>
  <c r="I278"/>
  <c r="I287"/>
  <c r="K287"/>
  <c r="H278"/>
  <c r="F243"/>
  <c r="K243"/>
  <c r="F169"/>
  <c r="F391"/>
  <c r="F456"/>
  <c r="F471"/>
  <c r="E91"/>
  <c r="E169"/>
  <c r="E456"/>
  <c r="E471"/>
  <c r="D91"/>
  <c r="D169"/>
  <c r="D456"/>
  <c r="D471"/>
  <c r="L183"/>
  <c r="L470"/>
  <c r="K183"/>
  <c r="E405"/>
  <c r="K405"/>
  <c r="K470"/>
  <c r="J89"/>
  <c r="J109"/>
  <c r="J183"/>
  <c r="J470"/>
  <c r="I89"/>
  <c r="I109"/>
  <c r="I183"/>
  <c r="I470"/>
  <c r="G456"/>
  <c r="G471"/>
  <c r="I454"/>
  <c r="J454"/>
  <c r="E500"/>
  <c r="F500"/>
  <c r="F481"/>
  <c r="K288"/>
  <c r="K289"/>
  <c r="K296"/>
  <c r="K499"/>
  <c r="K500"/>
  <c r="K72"/>
  <c r="D290"/>
  <c r="E290"/>
  <c r="F290"/>
  <c r="K290"/>
  <c r="N289"/>
  <c r="L290"/>
  <c r="K286"/>
  <c r="K298"/>
  <c r="K501"/>
  <c r="K301"/>
  <c r="K473"/>
  <c r="G352"/>
  <c r="G361"/>
  <c r="G363"/>
  <c r="G369"/>
  <c r="G499"/>
  <c r="D296"/>
  <c r="D499"/>
  <c r="E478"/>
  <c r="F478"/>
  <c r="K478"/>
  <c r="E36"/>
  <c r="E76"/>
  <c r="D36"/>
  <c r="D110"/>
  <c r="L455"/>
  <c r="K455"/>
  <c r="J455"/>
  <c r="E110"/>
  <c r="J140"/>
  <c r="J150"/>
  <c r="I140"/>
  <c r="D113"/>
  <c r="D154"/>
  <c r="I149"/>
  <c r="I154"/>
  <c r="J149"/>
  <c r="J154"/>
  <c r="E184"/>
  <c r="E187"/>
  <c r="D184"/>
  <c r="D187"/>
  <c r="F187"/>
  <c r="K299"/>
  <c r="K303"/>
  <c r="J289"/>
  <c r="J299"/>
  <c r="E150"/>
  <c r="D150"/>
  <c r="F150"/>
  <c r="K149"/>
  <c r="K150"/>
  <c r="E113"/>
  <c r="E154"/>
  <c r="E481"/>
  <c r="K340"/>
  <c r="K477"/>
  <c r="K349"/>
  <c r="K352"/>
  <c r="J456"/>
  <c r="I456"/>
  <c r="K319"/>
  <c r="K391"/>
  <c r="K456"/>
  <c r="F184"/>
  <c r="F228"/>
  <c r="E228"/>
  <c r="G228"/>
  <c r="G150"/>
  <c r="H150"/>
  <c r="I150"/>
  <c r="F36"/>
  <c r="F474"/>
  <c r="E474"/>
  <c r="G474"/>
  <c r="F203"/>
  <c r="G278"/>
  <c r="G287"/>
  <c r="G289"/>
  <c r="G299"/>
  <c r="G303"/>
  <c r="I289"/>
  <c r="H287"/>
  <c r="H289"/>
  <c r="H299"/>
  <c r="H303"/>
  <c r="L502"/>
  <c r="L303"/>
  <c r="E359"/>
  <c r="G372"/>
  <c r="K372"/>
  <c r="H228"/>
  <c r="F258"/>
  <c r="D303"/>
  <c r="I299"/>
  <c r="I303"/>
  <c r="K361"/>
  <c r="F359"/>
  <c r="F405"/>
  <c r="D228"/>
  <c r="K228"/>
  <c r="I228"/>
  <c r="J228"/>
  <c r="E303"/>
  <c r="F303"/>
  <c r="L302"/>
  <c r="J303"/>
  <c r="E477"/>
  <c r="F477"/>
  <c r="J359"/>
  <c r="K359"/>
  <c r="D76"/>
  <c r="D474"/>
  <c r="K363"/>
  <c r="F376"/>
  <c r="E376"/>
  <c r="D376"/>
  <c r="G376"/>
  <c r="K376"/>
  <c r="E439"/>
  <c r="F439"/>
  <c r="K439"/>
  <c r="G76"/>
  <c r="G502"/>
  <c r="I76"/>
  <c r="H502"/>
  <c r="I502"/>
  <c r="J502"/>
  <c r="K502"/>
  <c r="F76"/>
  <c r="N504"/>
  <c r="K504"/>
  <c r="M504"/>
  <c r="L504"/>
  <c r="J504"/>
  <c r="I504"/>
  <c r="D505"/>
  <c r="K76"/>
  <c r="F505"/>
  <c r="N505"/>
  <c r="L505"/>
  <c r="K505"/>
  <c r="K507"/>
  <c r="I505"/>
  <c r="H505"/>
  <c r="G505"/>
  <c r="J505"/>
  <c r="E505"/>
</calcChain>
</file>

<file path=xl/comments1.xml><?xml version="1.0" encoding="utf-8"?>
<comments xmlns="http://schemas.openxmlformats.org/spreadsheetml/2006/main">
  <authors>
    <author>maricica</author>
  </authors>
  <commentLis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73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47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323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395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460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</commentList>
</comments>
</file>

<file path=xl/comments2.xml><?xml version="1.0" encoding="utf-8"?>
<comments xmlns="http://schemas.openxmlformats.org/spreadsheetml/2006/main">
  <authors>
    <author>maricica</author>
  </authors>
  <commentLis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78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54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332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407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474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</commentList>
</comments>
</file>

<file path=xl/sharedStrings.xml><?xml version="1.0" encoding="utf-8"?>
<sst xmlns="http://schemas.openxmlformats.org/spreadsheetml/2006/main" count="1340" uniqueCount="66">
  <si>
    <t>CONTRACTAT REALIZAT DECONTAT AN 2023</t>
  </si>
  <si>
    <t>UNITATEA SPITALICEASCA</t>
  </si>
  <si>
    <t>PERIOADA</t>
  </si>
  <si>
    <t>LUNA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</si>
  <si>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</si>
  <si>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</si>
  <si>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</si>
  <si>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</si>
  <si>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</si>
  <si>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</si>
  <si>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</si>
  <si>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2023</t>
  </si>
  <si>
    <t>NORMA HRANA 2023</t>
  </si>
  <si>
    <t>DRG, din care: ucraineni</t>
  </si>
  <si>
    <t>SPITALUL JUDETEAN DE URGENTA VASLUI</t>
  </si>
  <si>
    <t>IAN</t>
  </si>
  <si>
    <t>CONTRACTAT</t>
  </si>
  <si>
    <t>REALIZAT</t>
  </si>
  <si>
    <t>Decont SIUI</t>
  </si>
  <si>
    <t>DISPONIBIL</t>
  </si>
  <si>
    <t>FEB</t>
  </si>
  <si>
    <t>DIPONIBIL</t>
  </si>
  <si>
    <t>MAR</t>
  </si>
  <si>
    <t>TRIM I</t>
  </si>
  <si>
    <t>REALIZ REGUL,</t>
  </si>
  <si>
    <t>DECONT REGULARIZARE</t>
  </si>
  <si>
    <t>TOTAL DECONT</t>
  </si>
  <si>
    <t>disponibil</t>
  </si>
  <si>
    <t>APR</t>
  </si>
  <si>
    <t>MAI</t>
  </si>
  <si>
    <t>IUNIE</t>
  </si>
  <si>
    <t>TRIM II</t>
  </si>
  <si>
    <t>SEM I</t>
  </si>
  <si>
    <t>IULIE</t>
  </si>
  <si>
    <t>AUGUST</t>
  </si>
  <si>
    <t>SEPTEMBRIE</t>
  </si>
  <si>
    <t>TRIM III</t>
  </si>
  <si>
    <t>DECONTAT</t>
  </si>
  <si>
    <t>OCTOMBRIE</t>
  </si>
  <si>
    <t>NOIEMBRIE</t>
  </si>
  <si>
    <t>REGULARIZARE</t>
  </si>
  <si>
    <t>REALIZAT REG</t>
  </si>
  <si>
    <t>DECONTAT ANT</t>
  </si>
  <si>
    <t>DECEMBRIE</t>
  </si>
  <si>
    <t>TRIM IV</t>
  </si>
  <si>
    <t>SEM II</t>
  </si>
  <si>
    <t>TOTAL AN 2023</t>
  </si>
  <si>
    <t>SPITALUL MUNICIPAL ELENA BELDIMAN</t>
  </si>
  <si>
    <t>DECONT REG</t>
  </si>
  <si>
    <t>DECONT ANT</t>
  </si>
  <si>
    <t>SPITALUL MUNICIPAL DIMITRIE CASTROIAN HUSI</t>
  </si>
  <si>
    <t>REALIZ REG.</t>
  </si>
  <si>
    <t>RGULARIZARE</t>
  </si>
  <si>
    <t>SPITALUL DE PSIHIATRIE MURGENI</t>
  </si>
  <si>
    <t>REALIZ. REG</t>
  </si>
  <si>
    <t>REGULARIZARE TRIM IV</t>
  </si>
  <si>
    <t>RELIZAT REG</t>
  </si>
  <si>
    <t xml:space="preserve">SPITALIS </t>
  </si>
  <si>
    <t>realiz reg</t>
  </si>
  <si>
    <t>SC RECUMED SRL VASLUI</t>
  </si>
  <si>
    <t>TOTAL SPITALE</t>
  </si>
  <si>
    <t>total REALIZAT REG (3 trim)</t>
  </si>
  <si>
    <t>CA</t>
  </si>
  <si>
    <t>realizat</t>
  </si>
  <si>
    <t>REALIZARI REG</t>
  </si>
  <si>
    <t>DECONT SIUI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</si>
</sst>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</font>
    <font>
      <i/>
      <sz val="6"/>
      <name val="Arial"/>
      <family val="2"/>
    </font>
    <font>
      <i/>
      <sz val="8"/>
      <color indexed="10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  <charset val="238"/>
    </font>
    <font>
      <sz val="5"/>
      <name val="Arial"/>
      <family val="2"/>
    </font>
    <font>
      <sz val="6"/>
      <color theme="8" tint="-0.249977111117893"/>
      <name val="Arial"/>
      <family val="2"/>
    </font>
    <font>
      <sz val="8"/>
      <name val="Times New Roman"/>
      <family val="1"/>
      <charset val="238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</font>
    <font>
      <sz val="5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5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/>
    <xf numFmtId="4" fontId="4" fillId="5" borderId="6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6" borderId="6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6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" fontId="4" fillId="6" borderId="7" xfId="0" applyNumberFormat="1" applyFont="1" applyFill="1" applyBorder="1" applyAlignment="1">
      <alignment horizontal="right"/>
    </xf>
    <xf numFmtId="0" fontId="5" fillId="0" borderId="7" xfId="0" applyFont="1" applyBorder="1"/>
    <xf numFmtId="4" fontId="7" fillId="0" borderId="7" xfId="0" applyNumberFormat="1" applyFont="1" applyBorder="1"/>
    <xf numFmtId="4" fontId="5" fillId="0" borderId="7" xfId="0" applyNumberFormat="1" applyFont="1" applyBorder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5" fillId="6" borderId="7" xfId="0" applyNumberFormat="1" applyFont="1" applyFill="1" applyBorder="1" applyAlignment="1">
      <alignment horizontal="right"/>
    </xf>
    <xf numFmtId="4" fontId="8" fillId="6" borderId="7" xfId="0" applyNumberFormat="1" applyFont="1" applyFill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4" fontId="11" fillId="0" borderId="7" xfId="0" applyNumberFormat="1" applyFont="1" applyBorder="1"/>
    <xf numFmtId="4" fontId="4" fillId="7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6" borderId="7" xfId="0" applyNumberFormat="1" applyFont="1" applyFill="1" applyBorder="1" applyAlignment="1">
      <alignment horizontal="right"/>
    </xf>
    <xf numFmtId="0" fontId="4" fillId="0" borderId="0" xfId="2" applyFont="1"/>
    <xf numFmtId="2" fontId="5" fillId="6" borderId="0" xfId="3" applyNumberFormat="1" applyFont="1" applyFill="1"/>
    <xf numFmtId="4" fontId="5" fillId="0" borderId="7" xfId="0" applyNumberFormat="1" applyFont="1" applyBorder="1"/>
    <xf numFmtId="4" fontId="17" fillId="5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4" fillId="8" borderId="7" xfId="0" applyNumberFormat="1" applyFont="1" applyFill="1" applyBorder="1"/>
    <xf numFmtId="4" fontId="4" fillId="8" borderId="7" xfId="0" applyNumberFormat="1" applyFont="1" applyFill="1" applyBorder="1" applyAlignment="1">
      <alignment horizontal="right"/>
    </xf>
    <xf numFmtId="0" fontId="0" fillId="8" borderId="0" xfId="0" applyFill="1"/>
    <xf numFmtId="0" fontId="5" fillId="8" borderId="7" xfId="0" applyFont="1" applyFill="1" applyBorder="1"/>
    <xf numFmtId="4" fontId="12" fillId="9" borderId="7" xfId="0" applyNumberFormat="1" applyFont="1" applyFill="1" applyBorder="1"/>
    <xf numFmtId="4" fontId="4" fillId="9" borderId="7" xfId="0" applyNumberFormat="1" applyFont="1" applyFill="1" applyBorder="1" applyAlignment="1">
      <alignment horizontal="right"/>
    </xf>
    <xf numFmtId="0" fontId="0" fillId="9" borderId="0" xfId="0" applyFill="1"/>
    <xf numFmtId="0" fontId="5" fillId="9" borderId="7" xfId="0" applyFont="1" applyFill="1" applyBorder="1"/>
    <xf numFmtId="4" fontId="14" fillId="9" borderId="7" xfId="0" applyNumberFormat="1" applyFont="1" applyFill="1" applyBorder="1"/>
    <xf numFmtId="4" fontId="4" fillId="5" borderId="7" xfId="0" applyNumberFormat="1" applyFont="1" applyFill="1" applyBorder="1"/>
    <xf numFmtId="4" fontId="4" fillId="10" borderId="7" xfId="0" applyNumberFormat="1" applyFont="1" applyFill="1" applyBorder="1"/>
    <xf numFmtId="4" fontId="4" fillId="10" borderId="7" xfId="0" applyNumberFormat="1" applyFont="1" applyFill="1" applyBorder="1" applyAlignment="1">
      <alignment horizontal="right"/>
    </xf>
    <xf numFmtId="0" fontId="0" fillId="10" borderId="0" xfId="0" applyFill="1"/>
    <xf numFmtId="0" fontId="5" fillId="10" borderId="7" xfId="0" applyFont="1" applyFill="1" applyBorder="1"/>
    <xf numFmtId="4" fontId="12" fillId="10" borderId="7" xfId="0" applyNumberFormat="1" applyFont="1" applyFill="1" applyBorder="1"/>
    <xf numFmtId="4" fontId="9" fillId="10" borderId="7" xfId="0" applyNumberFormat="1" applyFont="1" applyFill="1" applyBorder="1" applyAlignment="1">
      <alignment horizontal="right"/>
    </xf>
    <xf numFmtId="4" fontId="14" fillId="10" borderId="7" xfId="0" applyNumberFormat="1" applyFont="1" applyFill="1" applyBorder="1"/>
    <xf numFmtId="4" fontId="18" fillId="9" borderId="7" xfId="0" applyNumberFormat="1" applyFont="1" applyFill="1" applyBorder="1"/>
    <xf numFmtId="4" fontId="18" fillId="9" borderId="7" xfId="0" applyNumberFormat="1" applyFont="1" applyFill="1" applyBorder="1" applyAlignment="1">
      <alignment horizontal="right"/>
    </xf>
    <xf numFmtId="0" fontId="19" fillId="9" borderId="0" xfId="0" applyFont="1" applyFill="1"/>
    <xf numFmtId="0" fontId="18" fillId="9" borderId="7" xfId="0" applyFont="1" applyFill="1" applyBorder="1"/>
    <xf numFmtId="4" fontId="4" fillId="11" borderId="7" xfId="0" applyNumberFormat="1" applyFont="1" applyFill="1" applyBorder="1"/>
    <xf numFmtId="4" fontId="4" fillId="11" borderId="7" xfId="0" applyNumberFormat="1" applyFont="1" applyFill="1" applyBorder="1" applyAlignment="1">
      <alignment horizontal="right"/>
    </xf>
    <xf numFmtId="0" fontId="0" fillId="11" borderId="0" xfId="0" applyFill="1"/>
    <xf numFmtId="0" fontId="5" fillId="11" borderId="7" xfId="0" applyFont="1" applyFill="1" applyBorder="1"/>
    <xf numFmtId="4" fontId="21" fillId="12" borderId="7" xfId="0" applyNumberFormat="1" applyFont="1" applyFill="1" applyBorder="1"/>
    <xf numFmtId="4" fontId="21" fillId="12" borderId="7" xfId="0" applyNumberFormat="1" applyFont="1" applyFill="1" applyBorder="1" applyAlignment="1">
      <alignment horizontal="right"/>
    </xf>
    <xf numFmtId="0" fontId="0" fillId="12" borderId="0" xfId="0" applyFill="1"/>
    <xf numFmtId="0" fontId="5" fillId="12" borderId="7" xfId="0" applyFont="1" applyFill="1" applyBorder="1"/>
    <xf numFmtId="4" fontId="0" fillId="12" borderId="0" xfId="0" applyNumberFormat="1" applyFill="1"/>
    <xf numFmtId="4" fontId="22" fillId="12" borderId="7" xfId="0" applyNumberFormat="1" applyFont="1" applyFill="1" applyBorder="1"/>
    <xf numFmtId="164" fontId="5" fillId="12" borderId="7" xfId="1" applyFont="1" applyFill="1" applyBorder="1"/>
    <xf numFmtId="164" fontId="5" fillId="0" borderId="7" xfId="1" applyFont="1" applyBorder="1"/>
    <xf numFmtId="0" fontId="15" fillId="0" borderId="0" xfId="0" applyFont="1"/>
    <xf numFmtId="4" fontId="4" fillId="0" borderId="10" xfId="0" applyNumberFormat="1" applyFont="1" applyBorder="1" applyAlignment="1">
      <alignment horizontal="right"/>
    </xf>
    <xf numFmtId="4" fontId="7" fillId="10" borderId="7" xfId="0" applyNumberFormat="1" applyFont="1" applyFill="1" applyBorder="1"/>
    <xf numFmtId="4" fontId="5" fillId="10" borderId="7" xfId="0" applyNumberFormat="1" applyFont="1" applyFill="1" applyBorder="1" applyAlignment="1">
      <alignment horizontal="right"/>
    </xf>
    <xf numFmtId="4" fontId="5" fillId="10" borderId="10" xfId="0" applyNumberFormat="1" applyFont="1" applyFill="1" applyBorder="1" applyAlignment="1">
      <alignment horizontal="right"/>
    </xf>
    <xf numFmtId="164" fontId="5" fillId="10" borderId="7" xfId="1" applyFont="1" applyFill="1" applyBorder="1"/>
    <xf numFmtId="4" fontId="23" fillId="10" borderId="7" xfId="0" applyNumberFormat="1" applyFont="1" applyFill="1" applyBorder="1"/>
    <xf numFmtId="4" fontId="13" fillId="10" borderId="7" xfId="0" applyNumberFormat="1" applyFont="1" applyFill="1" applyBorder="1" applyAlignment="1">
      <alignment horizontal="right"/>
    </xf>
    <xf numFmtId="4" fontId="0" fillId="10" borderId="0" xfId="0" applyNumberFormat="1" applyFill="1"/>
    <xf numFmtId="4" fontId="13" fillId="10" borderId="10" xfId="0" applyNumberFormat="1" applyFont="1" applyFill="1" applyBorder="1" applyAlignment="1">
      <alignment horizontal="right"/>
    </xf>
    <xf numFmtId="4" fontId="6" fillId="5" borderId="7" xfId="0" applyNumberFormat="1" applyFont="1" applyFill="1" applyBorder="1"/>
    <xf numFmtId="0" fontId="4" fillId="5" borderId="0" xfId="2" applyFont="1" applyFill="1"/>
    <xf numFmtId="2" fontId="4" fillId="5" borderId="0" xfId="2" applyNumberFormat="1" applyFont="1" applyFill="1"/>
    <xf numFmtId="4" fontId="4" fillId="5" borderId="10" xfId="0" applyNumberFormat="1" applyFont="1" applyFill="1" applyBorder="1" applyAlignment="1">
      <alignment horizontal="right"/>
    </xf>
    <xf numFmtId="4" fontId="4" fillId="13" borderId="7" xfId="0" applyNumberFormat="1" applyFont="1" applyFill="1" applyBorder="1"/>
    <xf numFmtId="4" fontId="4" fillId="13" borderId="7" xfId="0" applyNumberFormat="1" applyFont="1" applyFill="1" applyBorder="1" applyAlignment="1">
      <alignment horizontal="right"/>
    </xf>
    <xf numFmtId="4" fontId="4" fillId="13" borderId="10" xfId="0" applyNumberFormat="1" applyFont="1" applyFill="1" applyBorder="1" applyAlignment="1">
      <alignment horizontal="right"/>
    </xf>
    <xf numFmtId="0" fontId="5" fillId="13" borderId="7" xfId="0" applyFont="1" applyFill="1" applyBorder="1"/>
    <xf numFmtId="4" fontId="7" fillId="9" borderId="7" xfId="0" applyNumberFormat="1" applyFont="1" applyFill="1" applyBorder="1"/>
    <xf numFmtId="4" fontId="9" fillId="9" borderId="7" xfId="0" applyNumberFormat="1" applyFont="1" applyFill="1" applyBorder="1" applyAlignment="1">
      <alignment horizontal="right"/>
    </xf>
    <xf numFmtId="4" fontId="9" fillId="9" borderId="10" xfId="0" applyNumberFormat="1" applyFont="1" applyFill="1" applyBorder="1" applyAlignment="1">
      <alignment horizontal="right"/>
    </xf>
    <xf numFmtId="164" fontId="5" fillId="9" borderId="7" xfId="0" applyNumberFormat="1" applyFont="1" applyFill="1" applyBorder="1"/>
    <xf numFmtId="4" fontId="23" fillId="9" borderId="7" xfId="0" applyNumberFormat="1" applyFont="1" applyFill="1" applyBorder="1"/>
    <xf numFmtId="4" fontId="7" fillId="7" borderId="7" xfId="0" applyNumberFormat="1" applyFont="1" applyFill="1" applyBorder="1"/>
    <xf numFmtId="4" fontId="4" fillId="7" borderId="10" xfId="0" applyNumberFormat="1" applyFont="1" applyFill="1" applyBorder="1" applyAlignment="1">
      <alignment horizontal="right"/>
    </xf>
    <xf numFmtId="4" fontId="23" fillId="7" borderId="7" xfId="0" applyNumberFormat="1" applyFont="1" applyFill="1" applyBorder="1"/>
    <xf numFmtId="4" fontId="4" fillId="14" borderId="7" xfId="0" applyNumberFormat="1" applyFont="1" applyFill="1" applyBorder="1"/>
    <xf numFmtId="4" fontId="4" fillId="14" borderId="7" xfId="0" applyNumberFormat="1" applyFont="1" applyFill="1" applyBorder="1" applyAlignment="1">
      <alignment horizontal="right"/>
    </xf>
    <xf numFmtId="4" fontId="4" fillId="14" borderId="10" xfId="0" applyNumberFormat="1" applyFont="1" applyFill="1" applyBorder="1" applyAlignment="1">
      <alignment horizontal="right"/>
    </xf>
    <xf numFmtId="0" fontId="5" fillId="14" borderId="7" xfId="0" applyFont="1" applyFill="1" applyBorder="1"/>
    <xf numFmtId="4" fontId="21" fillId="8" borderId="7" xfId="0" applyNumberFormat="1" applyFont="1" applyFill="1" applyBorder="1"/>
    <xf numFmtId="4" fontId="21" fillId="8" borderId="7" xfId="0" applyNumberFormat="1" applyFont="1" applyFill="1" applyBorder="1" applyAlignment="1">
      <alignment horizontal="right"/>
    </xf>
    <xf numFmtId="4" fontId="21" fillId="8" borderId="10" xfId="0" applyNumberFormat="1" applyFont="1" applyFill="1" applyBorder="1" applyAlignment="1">
      <alignment horizontal="right"/>
    </xf>
    <xf numFmtId="4" fontId="22" fillId="8" borderId="7" xfId="0" applyNumberFormat="1" applyFont="1" applyFill="1" applyBorder="1"/>
    <xf numFmtId="4" fontId="7" fillId="5" borderId="7" xfId="0" applyNumberFormat="1" applyFont="1" applyFill="1" applyBorder="1"/>
    <xf numFmtId="4" fontId="5" fillId="5" borderId="7" xfId="0" applyNumberFormat="1" applyFont="1" applyFill="1" applyBorder="1"/>
    <xf numFmtId="4" fontId="5" fillId="5" borderId="10" xfId="0" applyNumberFormat="1" applyFont="1" applyFill="1" applyBorder="1" applyAlignment="1">
      <alignment horizontal="right"/>
    </xf>
    <xf numFmtId="2" fontId="4" fillId="5" borderId="0" xfId="3" applyNumberFormat="1" applyFont="1" applyFill="1"/>
    <xf numFmtId="4" fontId="4" fillId="15" borderId="7" xfId="0" applyNumberFormat="1" applyFont="1" applyFill="1" applyBorder="1"/>
    <xf numFmtId="4" fontId="4" fillId="15" borderId="7" xfId="0" applyNumberFormat="1" applyFont="1" applyFill="1" applyBorder="1" applyAlignment="1">
      <alignment horizontal="right"/>
    </xf>
    <xf numFmtId="4" fontId="4" fillId="15" borderId="10" xfId="0" applyNumberFormat="1" applyFont="1" applyFill="1" applyBorder="1" applyAlignment="1">
      <alignment horizontal="right"/>
    </xf>
    <xf numFmtId="4" fontId="23" fillId="13" borderId="7" xfId="0" applyNumberFormat="1" applyFont="1" applyFill="1" applyBorder="1"/>
    <xf numFmtId="0" fontId="0" fillId="13" borderId="0" xfId="0" applyFill="1"/>
    <xf numFmtId="4" fontId="18" fillId="9" borderId="0" xfId="0" applyNumberFormat="1" applyFont="1" applyFill="1" applyAlignment="1">
      <alignment horizontal="right"/>
    </xf>
    <xf numFmtId="4" fontId="21" fillId="16" borderId="7" xfId="0" applyNumberFormat="1" applyFont="1" applyFill="1" applyBorder="1"/>
    <xf numFmtId="4" fontId="21" fillId="16" borderId="7" xfId="0" applyNumberFormat="1" applyFont="1" applyFill="1" applyBorder="1" applyAlignment="1">
      <alignment horizontal="right"/>
    </xf>
    <xf numFmtId="4" fontId="22" fillId="16" borderId="7" xfId="0" applyNumberFormat="1" applyFont="1" applyFill="1" applyBorder="1"/>
    <xf numFmtId="4" fontId="6" fillId="0" borderId="7" xfId="0" applyNumberFormat="1" applyFont="1" applyBorder="1"/>
    <xf numFmtId="0" fontId="5" fillId="6" borderId="7" xfId="0" applyFont="1" applyFill="1" applyBorder="1"/>
    <xf numFmtId="164" fontId="26" fillId="5" borderId="0" xfId="1" applyFont="1" applyFill="1" applyAlignment="1">
      <alignment horizontal="right"/>
    </xf>
    <xf numFmtId="4" fontId="4" fillId="5" borderId="6" xfId="0" applyNumberFormat="1" applyFont="1" applyFill="1" applyBorder="1"/>
    <xf numFmtId="4" fontId="4" fillId="9" borderId="7" xfId="0" applyNumberFormat="1" applyFont="1" applyFill="1" applyBorder="1"/>
    <xf numFmtId="4" fontId="21" fillId="17" borderId="7" xfId="0" applyNumberFormat="1" applyFont="1" applyFill="1" applyBorder="1"/>
    <xf numFmtId="4" fontId="21" fillId="17" borderId="7" xfId="0" applyNumberFormat="1" applyFont="1" applyFill="1" applyBorder="1" applyAlignment="1">
      <alignment horizontal="right"/>
    </xf>
    <xf numFmtId="0" fontId="0" fillId="17" borderId="0" xfId="0" applyFill="1"/>
    <xf numFmtId="0" fontId="5" fillId="17" borderId="7" xfId="0" applyFont="1" applyFill="1" applyBorder="1"/>
    <xf numFmtId="4" fontId="22" fillId="17" borderId="7" xfId="0" applyNumberFormat="1" applyFont="1" applyFill="1" applyBorder="1"/>
    <xf numFmtId="164" fontId="26" fillId="0" borderId="0" xfId="1" applyFont="1" applyAlignment="1">
      <alignment horizontal="right"/>
    </xf>
    <xf numFmtId="164" fontId="26" fillId="6" borderId="7" xfId="1" applyFont="1" applyFill="1" applyBorder="1" applyAlignment="1">
      <alignment horizontal="right"/>
    </xf>
    <xf numFmtId="164" fontId="0" fillId="0" borderId="0" xfId="0" applyNumberFormat="1"/>
    <xf numFmtId="2" fontId="5" fillId="13" borderId="7" xfId="0" applyNumberFormat="1" applyFont="1" applyFill="1" applyBorder="1"/>
    <xf numFmtId="0" fontId="30" fillId="0" borderId="0" xfId="0" applyFont="1"/>
    <xf numFmtId="0" fontId="31" fillId="0" borderId="0" xfId="0" applyFont="1"/>
    <xf numFmtId="164" fontId="31" fillId="0" borderId="0" xfId="1" applyFont="1" applyAlignment="1">
      <alignment horizontal="right"/>
    </xf>
    <xf numFmtId="2" fontId="4" fillId="0" borderId="0" xfId="2" applyNumberFormat="1" applyFont="1"/>
    <xf numFmtId="4" fontId="5" fillId="0" borderId="0" xfId="0" applyNumberFormat="1" applyFont="1"/>
    <xf numFmtId="0" fontId="32" fillId="0" borderId="0" xfId="0" applyFont="1"/>
    <xf numFmtId="164" fontId="33" fillId="0" borderId="0" xfId="1" applyFont="1"/>
    <xf numFmtId="164" fontId="32" fillId="0" borderId="0" xfId="0" applyNumberFormat="1" applyFont="1"/>
    <xf numFmtId="164" fontId="34" fillId="0" borderId="0" xfId="0" applyNumberFormat="1" applyFont="1"/>
    <xf numFmtId="164" fontId="32" fillId="0" borderId="0" xfId="1" applyFont="1"/>
    <xf numFmtId="0" fontId="5" fillId="0" borderId="0" xfId="0" applyFont="1" applyAlignment="1">
      <alignment horizontal="left"/>
    </xf>
    <xf numFmtId="4" fontId="11" fillId="10" borderId="7" xfId="0" applyNumberFormat="1" applyFont="1" applyFill="1" applyBorder="1"/>
    <xf numFmtId="4" fontId="3" fillId="10" borderId="9" xfId="0" applyNumberFormat="1" applyFont="1" applyFill="1" applyBorder="1" applyAlignment="1">
      <alignment horizontal="right"/>
    </xf>
    <xf numFmtId="4" fontId="6" fillId="10" borderId="7" xfId="0" applyNumberFormat="1" applyFont="1" applyFill="1" applyBorder="1"/>
    <xf numFmtId="4" fontId="37" fillId="0" borderId="7" xfId="0" applyNumberFormat="1" applyFont="1" applyBorder="1"/>
    <xf numFmtId="4" fontId="13" fillId="10" borderId="7" xfId="0" applyNumberFormat="1" applyFont="1" applyFill="1" applyBorder="1"/>
    <xf numFmtId="4" fontId="21" fillId="18" borderId="7" xfId="0" applyNumberFormat="1" applyFont="1" applyFill="1" applyBorder="1"/>
    <xf numFmtId="4" fontId="21" fillId="18" borderId="7" xfId="0" applyNumberFormat="1" applyFont="1" applyFill="1" applyBorder="1" applyAlignment="1">
      <alignment horizontal="right"/>
    </xf>
    <xf numFmtId="0" fontId="0" fillId="18" borderId="0" xfId="0" applyFill="1"/>
    <xf numFmtId="0" fontId="5" fillId="18" borderId="7" xfId="0" applyFont="1" applyFill="1" applyBorder="1"/>
    <xf numFmtId="4" fontId="22" fillId="18" borderId="7" xfId="0" applyNumberFormat="1" applyFont="1" applyFill="1" applyBorder="1"/>
    <xf numFmtId="4" fontId="0" fillId="18" borderId="0" xfId="0" applyNumberFormat="1" applyFill="1"/>
    <xf numFmtId="4" fontId="5" fillId="5" borderId="9" xfId="0" applyNumberFormat="1" applyFont="1" applyFill="1" applyBorder="1" applyAlignment="1">
      <alignment horizontal="right"/>
    </xf>
    <xf numFmtId="4" fontId="28" fillId="18" borderId="7" xfId="0" applyNumberFormat="1" applyFont="1" applyFill="1" applyBorder="1"/>
    <xf numFmtId="4" fontId="28" fillId="18" borderId="7" xfId="0" applyNumberFormat="1" applyFont="1" applyFill="1" applyBorder="1" applyAlignment="1">
      <alignment horizontal="right"/>
    </xf>
    <xf numFmtId="4" fontId="29" fillId="18" borderId="7" xfId="0" applyNumberFormat="1" applyFont="1" applyFill="1" applyBorder="1"/>
    <xf numFmtId="4" fontId="38" fillId="10" borderId="0" xfId="0" applyNumberFormat="1" applyFont="1" applyFill="1"/>
    <xf numFmtId="0" fontId="38" fillId="10" borderId="0" xfId="0" applyFont="1" applyFill="1"/>
    <xf numFmtId="4" fontId="39" fillId="18" borderId="7" xfId="0" applyNumberFormat="1" applyFont="1" applyFill="1" applyBorder="1"/>
    <xf numFmtId="4" fontId="39" fillId="18" borderId="7" xfId="0" applyNumberFormat="1" applyFont="1" applyFill="1" applyBorder="1" applyAlignment="1">
      <alignment horizontal="right"/>
    </xf>
    <xf numFmtId="4" fontId="39" fillId="18" borderId="10" xfId="0" applyNumberFormat="1" applyFont="1" applyFill="1" applyBorder="1" applyAlignment="1">
      <alignment horizontal="right"/>
    </xf>
    <xf numFmtId="0" fontId="39" fillId="18" borderId="7" xfId="0" applyFont="1" applyFill="1" applyBorder="1"/>
    <xf numFmtId="4" fontId="31" fillId="18" borderId="0" xfId="0" applyNumberFormat="1" applyFont="1" applyFill="1"/>
    <xf numFmtId="4" fontId="37" fillId="18" borderId="7" xfId="0" applyNumberFormat="1" applyFont="1" applyFill="1" applyBorder="1"/>
    <xf numFmtId="0" fontId="2" fillId="18" borderId="0" xfId="0" applyFont="1" applyFill="1"/>
    <xf numFmtId="10" fontId="5" fillId="10" borderId="0" xfId="4" applyNumberFormat="1" applyFont="1" applyFill="1"/>
    <xf numFmtId="4" fontId="40" fillId="0" borderId="0" xfId="0" applyNumberFormat="1" applyFont="1"/>
    <xf numFmtId="2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textRotation="255" wrapText="1"/>
    </xf>
    <xf numFmtId="0" fontId="15" fillId="4" borderId="5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0" fillId="12" borderId="7" xfId="0" applyFont="1" applyFill="1" applyBorder="1" applyAlignment="1">
      <alignment vertical="center" textRotation="45" wrapText="1"/>
    </xf>
    <xf numFmtId="0" fontId="4" fillId="7" borderId="8" xfId="0" applyFont="1" applyFill="1" applyBorder="1" applyAlignment="1">
      <alignment horizontal="center" vertical="center" textRotation="255" wrapText="1"/>
    </xf>
    <xf numFmtId="0" fontId="4" fillId="7" borderId="5" xfId="0" applyFont="1" applyFill="1" applyBorder="1" applyAlignment="1">
      <alignment horizontal="center" vertical="center" textRotation="255" wrapText="1"/>
    </xf>
    <xf numFmtId="0" fontId="15" fillId="7" borderId="5" xfId="0" applyFont="1" applyFill="1" applyBorder="1" applyAlignment="1">
      <alignment horizontal="center" vertical="center" textRotation="255" wrapText="1"/>
    </xf>
    <xf numFmtId="0" fontId="0" fillId="7" borderId="5" xfId="0" applyFill="1" applyBorder="1" applyAlignment="1">
      <alignment textRotation="255"/>
    </xf>
    <xf numFmtId="2" fontId="24" fillId="0" borderId="8" xfId="0" applyNumberFormat="1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20" fillId="8" borderId="7" xfId="0" applyFont="1" applyFill="1" applyBorder="1" applyAlignment="1">
      <alignment vertical="center" textRotation="4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15" fillId="2" borderId="5" xfId="0" applyFont="1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textRotation="255"/>
    </xf>
    <xf numFmtId="0" fontId="25" fillId="9" borderId="8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20" fillId="16" borderId="7" xfId="0" applyFont="1" applyFill="1" applyBorder="1" applyAlignment="1">
      <alignment vertical="center" textRotation="45" wrapText="1"/>
    </xf>
    <xf numFmtId="0" fontId="0" fillId="7" borderId="5" xfId="0" applyFill="1" applyBorder="1" applyAlignment="1">
      <alignment textRotation="255" wrapText="1"/>
    </xf>
    <xf numFmtId="0" fontId="25" fillId="9" borderId="6" xfId="0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/>
    </xf>
    <xf numFmtId="2" fontId="3" fillId="8" borderId="5" xfId="0" applyNumberFormat="1" applyFont="1" applyFill="1" applyBorder="1" applyAlignment="1">
      <alignment horizontal="center" vertical="center"/>
    </xf>
    <xf numFmtId="0" fontId="20" fillId="18" borderId="7" xfId="0" applyFont="1" applyFill="1" applyBorder="1" applyAlignment="1">
      <alignment vertical="center" textRotation="45" wrapText="1"/>
    </xf>
    <xf numFmtId="0" fontId="20" fillId="17" borderId="7" xfId="0" applyFont="1" applyFill="1" applyBorder="1" applyAlignment="1">
      <alignment vertical="center" textRotation="45" wrapText="1"/>
    </xf>
    <xf numFmtId="0" fontId="4" fillId="16" borderId="8" xfId="0" applyFont="1" applyFill="1" applyBorder="1" applyAlignment="1">
      <alignment horizontal="center" vertical="center" textRotation="255" wrapText="1"/>
    </xf>
    <xf numFmtId="0" fontId="4" fillId="16" borderId="5" xfId="0" applyFont="1" applyFill="1" applyBorder="1" applyAlignment="1">
      <alignment horizontal="center" vertical="center" textRotation="255" wrapText="1"/>
    </xf>
    <xf numFmtId="0" fontId="15" fillId="16" borderId="5" xfId="0" applyFont="1" applyFill="1" applyBorder="1" applyAlignment="1">
      <alignment horizontal="center" vertical="center" textRotation="255" wrapText="1"/>
    </xf>
    <xf numFmtId="0" fontId="0" fillId="16" borderId="5" xfId="0" applyFill="1" applyBorder="1" applyAlignment="1">
      <alignment textRotation="255"/>
    </xf>
    <xf numFmtId="2" fontId="3" fillId="10" borderId="8" xfId="0" applyNumberFormat="1" applyFont="1" applyFill="1" applyBorder="1" applyAlignment="1">
      <alignment horizontal="center" vertical="center"/>
    </xf>
    <xf numFmtId="2" fontId="3" fillId="10" borderId="5" xfId="0" applyNumberFormat="1" applyFont="1" applyFill="1" applyBorder="1" applyAlignment="1">
      <alignment horizontal="center" vertical="center"/>
    </xf>
    <xf numFmtId="0" fontId="27" fillId="18" borderId="8" xfId="0" applyFont="1" applyFill="1" applyBorder="1" applyAlignment="1">
      <alignment vertical="center" textRotation="45" wrapText="1"/>
    </xf>
    <xf numFmtId="0" fontId="27" fillId="18" borderId="5" xfId="0" applyFont="1" applyFill="1" applyBorder="1" applyAlignment="1">
      <alignment vertical="center" textRotation="45" wrapText="1"/>
    </xf>
    <xf numFmtId="0" fontId="4" fillId="16" borderId="6" xfId="0" applyFont="1" applyFill="1" applyBorder="1" applyAlignment="1">
      <alignment horizontal="center" vertical="center" textRotation="255" wrapText="1"/>
    </xf>
    <xf numFmtId="2" fontId="3" fillId="15" borderId="8" xfId="0" applyNumberFormat="1" applyFont="1" applyFill="1" applyBorder="1" applyAlignment="1">
      <alignment horizontal="center" vertical="center"/>
    </xf>
    <xf numFmtId="2" fontId="3" fillId="15" borderId="5" xfId="0" applyNumberFormat="1" applyFont="1" applyFill="1" applyBorder="1" applyAlignment="1">
      <alignment horizontal="center" vertical="center"/>
    </xf>
    <xf numFmtId="2" fontId="3" fillId="15" borderId="6" xfId="0" applyNumberFormat="1" applyFont="1" applyFill="1" applyBorder="1" applyAlignment="1">
      <alignment horizontal="center" vertical="center"/>
    </xf>
    <xf numFmtId="0" fontId="31" fillId="18" borderId="8" xfId="0" applyFont="1" applyFill="1" applyBorder="1" applyAlignment="1">
      <alignment vertical="center" textRotation="45" wrapText="1"/>
    </xf>
    <xf numFmtId="0" fontId="31" fillId="18" borderId="5" xfId="0" applyFont="1" applyFill="1" applyBorder="1" applyAlignment="1">
      <alignment vertical="center" textRotation="45" wrapText="1"/>
    </xf>
    <xf numFmtId="0" fontId="31" fillId="18" borderId="6" xfId="0" applyFont="1" applyFill="1" applyBorder="1" applyAlignment="1">
      <alignment vertical="center" textRotation="45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1"/>
  <sheetViews>
    <sheetView topLeftCell="A487" zoomScale="120" zoomScaleNormal="120" workbookViewId="0">
      <selection activeCell="D515" sqref="D515"/>
    </sheetView>
  </sheetViews>
  <sheetFormatPr defaultRowHeight="15"/>
  <cols>
    <col min="1" max="1" width="6.140625" customWidth="1"/>
    <col min="2" max="2" width="9.42578125" style="2" customWidth="1"/>
    <col min="3" max="3" width="13.42578125" customWidth="1"/>
    <col min="4" max="4" width="13.28515625" customWidth="1"/>
    <col min="5" max="5" width="11" customWidth="1"/>
    <col min="6" max="6" width="12.85546875" customWidth="1"/>
    <col min="7" max="7" width="12.140625" customWidth="1"/>
    <col min="8" max="8" width="10.42578125" customWidth="1"/>
    <col min="9" max="9" width="0.140625" hidden="1" customWidth="1"/>
    <col min="10" max="10" width="9.140625" hidden="1" customWidth="1"/>
    <col min="11" max="11" width="12" customWidth="1"/>
    <col min="12" max="12" width="10.140625" customWidth="1"/>
    <col min="13" max="13" width="13.85546875" hidden="1" customWidth="1"/>
    <col min="14" max="14" width="13.7109375" style="4" bestFit="1" customWidth="1"/>
    <col min="15" max="15" width="16.42578125" bestFit="1" customWidth="1"/>
    <col min="16" max="16" width="14.7109375" bestFit="1" customWidth="1"/>
    <col min="18" max="18" width="14.5703125" bestFit="1" customWidth="1"/>
    <col min="20" max="20" width="16.140625" bestFit="1" customWidth="1"/>
  </cols>
  <sheetData>
    <row r="1" spans="1:14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.75" thickBot="1">
      <c r="A2" s="5"/>
      <c r="C2" s="3"/>
      <c r="D2" s="3"/>
      <c r="E2" s="3"/>
      <c r="F2" s="3"/>
      <c r="G2" s="3"/>
      <c r="H2" s="3"/>
      <c r="I2" s="3"/>
      <c r="J2" s="3"/>
      <c r="K2" s="6"/>
      <c r="L2" s="3"/>
    </row>
    <row r="3" spans="1:14" ht="122.25" customHeight="1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0" t="s">
        <v>12</v>
      </c>
      <c r="N3" s="13" t="s">
        <v>13</v>
      </c>
    </row>
    <row r="4" spans="1:14">
      <c r="A4" s="174" t="s">
        <v>14</v>
      </c>
      <c r="B4" s="178" t="s">
        <v>15</v>
      </c>
      <c r="C4" s="14" t="s">
        <v>16</v>
      </c>
      <c r="D4" s="15">
        <f>4703821.58-470899.63</f>
        <v>4232921.95</v>
      </c>
      <c r="E4" s="15">
        <f>559899.63-220170.51</f>
        <v>339729.12</v>
      </c>
      <c r="F4" s="16">
        <f t="shared" ref="F4:F12" si="0">D4+E4</f>
        <v>4572651.07</v>
      </c>
      <c r="G4" s="15">
        <f>380536.05-94574.78</f>
        <v>285961.27</v>
      </c>
      <c r="H4" s="15">
        <v>0</v>
      </c>
      <c r="I4" s="15">
        <v>0</v>
      </c>
      <c r="J4" s="15">
        <v>0</v>
      </c>
      <c r="K4" s="16">
        <f t="shared" ref="K4:K12" si="1">J4+I4+H4+G4+E4+D4</f>
        <v>4858612.34</v>
      </c>
      <c r="L4" s="17">
        <f>275486+36980</f>
        <v>312466</v>
      </c>
      <c r="M4" s="18"/>
      <c r="N4" s="19"/>
    </row>
    <row r="5" spans="1:14">
      <c r="A5" s="175"/>
      <c r="B5" s="178"/>
      <c r="C5" s="20" t="s">
        <v>17</v>
      </c>
      <c r="D5" s="21">
        <v>4232055.01</v>
      </c>
      <c r="E5" s="21">
        <v>339729.12</v>
      </c>
      <c r="F5" s="21">
        <f t="shared" si="0"/>
        <v>4571784.13</v>
      </c>
      <c r="G5" s="21">
        <v>285961.27</v>
      </c>
      <c r="H5" s="22">
        <v>0</v>
      </c>
      <c r="I5" s="22">
        <v>0</v>
      </c>
      <c r="J5" s="22">
        <v>0</v>
      </c>
      <c r="K5" s="21">
        <f t="shared" si="1"/>
        <v>4857745.3999999994</v>
      </c>
      <c r="L5" s="23">
        <v>312466</v>
      </c>
      <c r="M5" s="18"/>
      <c r="N5" s="24"/>
    </row>
    <row r="6" spans="1:14">
      <c r="A6" s="175"/>
      <c r="B6" s="178"/>
      <c r="C6" s="25" t="s">
        <v>18</v>
      </c>
      <c r="D6" s="26">
        <v>4232055.01</v>
      </c>
      <c r="E6" s="26">
        <v>339729.12</v>
      </c>
      <c r="F6" s="26">
        <f t="shared" si="0"/>
        <v>4571784.13</v>
      </c>
      <c r="G6" s="26">
        <v>285961.27</v>
      </c>
      <c r="H6" s="27">
        <v>0</v>
      </c>
      <c r="I6" s="27">
        <v>0</v>
      </c>
      <c r="J6" s="27">
        <v>0</v>
      </c>
      <c r="K6" s="26">
        <f t="shared" si="1"/>
        <v>4857745.3999999994</v>
      </c>
      <c r="L6" s="28">
        <v>312466</v>
      </c>
      <c r="M6" s="18"/>
      <c r="N6" s="24"/>
    </row>
    <row r="7" spans="1:14">
      <c r="A7" s="175"/>
      <c r="B7" s="179" t="s">
        <v>20</v>
      </c>
      <c r="C7" s="20" t="s">
        <v>16</v>
      </c>
      <c r="D7" s="22">
        <f>4703821.58-243211.9-1873.9</f>
        <v>4458735.7799999993</v>
      </c>
      <c r="E7" s="22">
        <f>559899.63-146777.44</f>
        <v>413122.19</v>
      </c>
      <c r="F7" s="21">
        <f t="shared" si="0"/>
        <v>4871857.97</v>
      </c>
      <c r="G7" s="22">
        <f>402011.29-91822.55</f>
        <v>310188.74</v>
      </c>
      <c r="H7" s="22">
        <v>0</v>
      </c>
      <c r="I7" s="22">
        <v>0</v>
      </c>
      <c r="J7" s="30">
        <v>0</v>
      </c>
      <c r="K7" s="21">
        <f t="shared" si="1"/>
        <v>5182046.709999999</v>
      </c>
      <c r="L7" s="23">
        <v>302830</v>
      </c>
      <c r="N7" s="24"/>
    </row>
    <row r="8" spans="1:14">
      <c r="A8" s="175"/>
      <c r="B8" s="178"/>
      <c r="C8" s="20" t="s">
        <v>17</v>
      </c>
      <c r="D8" s="21">
        <v>4224925.8600000003</v>
      </c>
      <c r="E8" s="21">
        <v>413122.19</v>
      </c>
      <c r="F8" s="21">
        <f t="shared" si="0"/>
        <v>4638048.0500000007</v>
      </c>
      <c r="G8" s="21">
        <v>310188.74</v>
      </c>
      <c r="H8" s="22">
        <v>0</v>
      </c>
      <c r="I8" s="22">
        <v>0</v>
      </c>
      <c r="J8" s="30">
        <v>0</v>
      </c>
      <c r="K8" s="21">
        <f t="shared" si="1"/>
        <v>4948236.79</v>
      </c>
      <c r="L8" s="23">
        <v>302830</v>
      </c>
      <c r="N8" s="24"/>
    </row>
    <row r="9" spans="1:14">
      <c r="A9" s="175"/>
      <c r="B9" s="178"/>
      <c r="C9" s="25" t="s">
        <v>18</v>
      </c>
      <c r="D9" s="26">
        <v>4224925.8600000003</v>
      </c>
      <c r="E9" s="26">
        <v>413122.19</v>
      </c>
      <c r="F9" s="26">
        <f t="shared" si="0"/>
        <v>4638048.0500000007</v>
      </c>
      <c r="G9" s="26">
        <v>310188.74</v>
      </c>
      <c r="H9" s="27">
        <v>0</v>
      </c>
      <c r="I9" s="27">
        <v>0</v>
      </c>
      <c r="J9" s="27">
        <v>0</v>
      </c>
      <c r="K9" s="26">
        <f t="shared" si="1"/>
        <v>4948236.79</v>
      </c>
      <c r="L9" s="28">
        <v>302830</v>
      </c>
      <c r="M9" s="18"/>
      <c r="N9" s="24"/>
    </row>
    <row r="10" spans="1:14">
      <c r="A10" s="175"/>
      <c r="B10" s="179" t="s">
        <v>22</v>
      </c>
      <c r="C10" s="20" t="s">
        <v>16</v>
      </c>
      <c r="D10" s="22">
        <v>4703821.58</v>
      </c>
      <c r="E10" s="22">
        <f>559899.63-75686.33</f>
        <v>484213.3</v>
      </c>
      <c r="F10" s="21">
        <f t="shared" si="0"/>
        <v>5188034.88</v>
      </c>
      <c r="G10" s="22">
        <f>402011.29-1207.11</f>
        <v>400804.18</v>
      </c>
      <c r="H10" s="22">
        <v>0</v>
      </c>
      <c r="I10" s="22">
        <v>0</v>
      </c>
      <c r="J10" s="30">
        <v>0</v>
      </c>
      <c r="K10" s="21">
        <f t="shared" si="1"/>
        <v>5588839.0600000005</v>
      </c>
      <c r="L10" s="23">
        <v>354321</v>
      </c>
      <c r="N10" s="24"/>
    </row>
    <row r="11" spans="1:14">
      <c r="A11" s="175"/>
      <c r="B11" s="178"/>
      <c r="C11" s="20" t="s">
        <v>17</v>
      </c>
      <c r="D11" s="21">
        <v>4918613.26</v>
      </c>
      <c r="E11" s="21">
        <v>489553.01</v>
      </c>
      <c r="F11" s="21">
        <f t="shared" si="0"/>
        <v>5408166.2699999996</v>
      </c>
      <c r="G11" s="21">
        <v>399843.79</v>
      </c>
      <c r="H11" s="22">
        <v>0</v>
      </c>
      <c r="I11" s="22">
        <v>0</v>
      </c>
      <c r="J11" s="30">
        <v>0</v>
      </c>
      <c r="K11" s="21">
        <f t="shared" si="1"/>
        <v>5808010.0599999996</v>
      </c>
      <c r="L11" s="23">
        <v>354321</v>
      </c>
      <c r="N11" s="24"/>
    </row>
    <row r="12" spans="1:14">
      <c r="A12" s="175"/>
      <c r="B12" s="178"/>
      <c r="C12" s="25" t="s">
        <v>18</v>
      </c>
      <c r="D12" s="26">
        <v>4703817.83</v>
      </c>
      <c r="E12" s="26">
        <v>489553.01</v>
      </c>
      <c r="F12" s="26">
        <f t="shared" si="0"/>
        <v>5193370.84</v>
      </c>
      <c r="G12" s="26">
        <v>399843.79</v>
      </c>
      <c r="H12" s="27">
        <v>0</v>
      </c>
      <c r="I12" s="27">
        <v>0</v>
      </c>
      <c r="J12" s="27">
        <v>0</v>
      </c>
      <c r="K12" s="26">
        <f t="shared" si="1"/>
        <v>5593214.6299999999</v>
      </c>
      <c r="L12" s="28">
        <v>354321</v>
      </c>
      <c r="N12" s="24"/>
    </row>
    <row r="13" spans="1:14">
      <c r="A13" s="175"/>
      <c r="B13" s="180" t="s">
        <v>23</v>
      </c>
      <c r="C13" s="20" t="s">
        <v>16</v>
      </c>
      <c r="D13" s="21">
        <f t="shared" ref="D13:G15" si="2">D10+D7+D4</f>
        <v>13395479.309999999</v>
      </c>
      <c r="E13" s="21">
        <f t="shared" si="2"/>
        <v>1237064.6099999999</v>
      </c>
      <c r="F13" s="21">
        <f t="shared" si="2"/>
        <v>14632543.92</v>
      </c>
      <c r="G13" s="21">
        <f t="shared" si="2"/>
        <v>996954.19</v>
      </c>
      <c r="H13" s="21">
        <v>223286.33</v>
      </c>
      <c r="I13" s="21">
        <f t="shared" ref="I13:K15" si="3">I10+I7+I4</f>
        <v>0</v>
      </c>
      <c r="J13" s="21">
        <f t="shared" si="3"/>
        <v>0</v>
      </c>
      <c r="K13" s="21">
        <f t="shared" si="3"/>
        <v>15629498.109999999</v>
      </c>
      <c r="L13" s="23">
        <f>L10+L7+L4+16984</f>
        <v>986601</v>
      </c>
      <c r="M13" s="18"/>
      <c r="N13" s="24"/>
    </row>
    <row r="14" spans="1:14">
      <c r="A14" s="175"/>
      <c r="B14" s="181"/>
      <c r="C14" s="20" t="s">
        <v>17</v>
      </c>
      <c r="D14" s="21">
        <f t="shared" si="2"/>
        <v>13375594.130000001</v>
      </c>
      <c r="E14" s="21">
        <f t="shared" si="2"/>
        <v>1242404.3199999998</v>
      </c>
      <c r="F14" s="21">
        <f t="shared" si="2"/>
        <v>14617998.449999999</v>
      </c>
      <c r="G14" s="21">
        <f t="shared" si="2"/>
        <v>995993.8</v>
      </c>
      <c r="H14" s="21">
        <f>H11+H8+H5</f>
        <v>0</v>
      </c>
      <c r="I14" s="21">
        <f t="shared" si="3"/>
        <v>0</v>
      </c>
      <c r="J14" s="21">
        <f t="shared" si="3"/>
        <v>0</v>
      </c>
      <c r="K14" s="21">
        <f t="shared" si="3"/>
        <v>15613992.25</v>
      </c>
      <c r="L14" s="23">
        <f>L11+L8+L5</f>
        <v>969617</v>
      </c>
      <c r="N14" s="24"/>
    </row>
    <row r="15" spans="1:14">
      <c r="A15" s="175"/>
      <c r="B15" s="181"/>
      <c r="C15" s="31" t="s">
        <v>18</v>
      </c>
      <c r="D15" s="21">
        <f t="shared" si="2"/>
        <v>13160798.700000001</v>
      </c>
      <c r="E15" s="21">
        <f t="shared" si="2"/>
        <v>1242404.3199999998</v>
      </c>
      <c r="F15" s="21">
        <f t="shared" si="2"/>
        <v>14403203.02</v>
      </c>
      <c r="G15" s="21">
        <f t="shared" si="2"/>
        <v>995993.8</v>
      </c>
      <c r="H15" s="21">
        <f>H12+H9+H6</f>
        <v>0</v>
      </c>
      <c r="I15" s="21">
        <f t="shared" si="3"/>
        <v>0</v>
      </c>
      <c r="J15" s="21">
        <f t="shared" si="3"/>
        <v>0</v>
      </c>
      <c r="K15" s="21">
        <f t="shared" si="3"/>
        <v>15399196.82</v>
      </c>
      <c r="L15" s="23">
        <f>L12+L9+L6</f>
        <v>969617</v>
      </c>
      <c r="N15" s="24"/>
    </row>
    <row r="16" spans="1:14">
      <c r="A16" s="175"/>
      <c r="B16" s="181"/>
      <c r="C16" s="54" t="s">
        <v>24</v>
      </c>
      <c r="D16" s="51">
        <v>13395479.310000001</v>
      </c>
      <c r="E16" s="51">
        <v>1237064.6100000001</v>
      </c>
      <c r="F16" s="51">
        <f t="shared" ref="F16:F25" si="4">D16+E16</f>
        <v>14632543.92</v>
      </c>
      <c r="G16" s="51">
        <v>996954.19</v>
      </c>
      <c r="H16" s="51">
        <v>223286.33</v>
      </c>
      <c r="I16" s="51">
        <f>I17+I18</f>
        <v>0</v>
      </c>
      <c r="J16" s="51">
        <f>J17+J18</f>
        <v>0</v>
      </c>
      <c r="K16" s="51">
        <f>F16+G16</f>
        <v>15629498.109999999</v>
      </c>
      <c r="L16" s="51">
        <f>L18</f>
        <v>986601</v>
      </c>
      <c r="M16" s="81"/>
      <c r="N16" s="53"/>
    </row>
    <row r="17" spans="1:14">
      <c r="A17" s="175"/>
      <c r="B17" s="181"/>
      <c r="C17" s="54" t="s">
        <v>25</v>
      </c>
      <c r="D17" s="80">
        <v>234680.61</v>
      </c>
      <c r="E17" s="80">
        <v>-5339.71</v>
      </c>
      <c r="F17" s="80">
        <f t="shared" si="4"/>
        <v>229340.9</v>
      </c>
      <c r="G17" s="80">
        <v>960.39</v>
      </c>
      <c r="H17" s="80">
        <v>223286.33</v>
      </c>
      <c r="I17" s="80">
        <f>I14-I15</f>
        <v>0</v>
      </c>
      <c r="J17" s="80">
        <f>J14-J15</f>
        <v>0</v>
      </c>
      <c r="K17" s="80">
        <f>F17+G17</f>
        <v>230301.29</v>
      </c>
      <c r="L17" s="80">
        <v>16984</v>
      </c>
      <c r="M17" s="81"/>
      <c r="N17" s="53"/>
    </row>
    <row r="18" spans="1:14">
      <c r="A18" s="175"/>
      <c r="B18" s="181"/>
      <c r="C18" s="56" t="s">
        <v>26</v>
      </c>
      <c r="D18" s="80">
        <f>D15+D17</f>
        <v>13395479.310000001</v>
      </c>
      <c r="E18" s="80">
        <f>E15+E17</f>
        <v>1237064.6099999999</v>
      </c>
      <c r="F18" s="80">
        <f t="shared" si="4"/>
        <v>14632543.92</v>
      </c>
      <c r="G18" s="80">
        <f>G15+G17</f>
        <v>996954.19000000006</v>
      </c>
      <c r="H18" s="80">
        <v>223286.33</v>
      </c>
      <c r="I18" s="80">
        <f>I15+I17</f>
        <v>0</v>
      </c>
      <c r="J18" s="80">
        <f>J15+J17</f>
        <v>0</v>
      </c>
      <c r="K18" s="80">
        <f>K15+K17</f>
        <v>15629498.109999999</v>
      </c>
      <c r="L18" s="80">
        <f>L15+L17</f>
        <v>986601</v>
      </c>
      <c r="M18" s="146"/>
      <c r="N18" s="53"/>
    </row>
    <row r="19" spans="1:14">
      <c r="A19" s="176"/>
      <c r="B19" s="182" t="s">
        <v>28</v>
      </c>
      <c r="C19" s="20" t="s">
        <v>16</v>
      </c>
      <c r="D19" s="22">
        <f>4703821.58-783970.26</f>
        <v>3919851.3200000003</v>
      </c>
      <c r="E19" s="22">
        <f>559899.63-112604.71</f>
        <v>447294.92</v>
      </c>
      <c r="F19" s="21">
        <f t="shared" si="4"/>
        <v>4367146.24</v>
      </c>
      <c r="G19" s="22">
        <f>402011.29-118924.25</f>
        <v>283087.03999999998</v>
      </c>
      <c r="H19" s="22">
        <v>0</v>
      </c>
      <c r="I19" s="22">
        <v>0</v>
      </c>
      <c r="J19" s="30">
        <v>0</v>
      </c>
      <c r="K19" s="21">
        <f t="shared" ref="K19:K31" si="5">J19+I19+H19+G19+E19+D19</f>
        <v>4650233.28</v>
      </c>
      <c r="L19" s="23">
        <f>279547.71+28349-17454.71-20</f>
        <v>290422</v>
      </c>
      <c r="N19" s="24"/>
    </row>
    <row r="20" spans="1:14">
      <c r="A20" s="176"/>
      <c r="B20" s="183"/>
      <c r="C20" s="20" t="s">
        <v>17</v>
      </c>
      <c r="D20" s="21">
        <v>3919776.91</v>
      </c>
      <c r="E20" s="21">
        <v>447294.92</v>
      </c>
      <c r="F20" s="21">
        <f t="shared" si="4"/>
        <v>4367071.83</v>
      </c>
      <c r="G20" s="21">
        <v>283087.03999999998</v>
      </c>
      <c r="H20" s="22">
        <v>0</v>
      </c>
      <c r="I20" s="22">
        <v>0</v>
      </c>
      <c r="J20" s="30">
        <v>0</v>
      </c>
      <c r="K20" s="21">
        <f t="shared" si="5"/>
        <v>4650158.87</v>
      </c>
      <c r="L20" s="23">
        <v>290422</v>
      </c>
      <c r="N20" s="24"/>
    </row>
    <row r="21" spans="1:14">
      <c r="A21" s="176"/>
      <c r="B21" s="183"/>
      <c r="C21" s="31" t="s">
        <v>18</v>
      </c>
      <c r="D21" s="33">
        <v>3919776.91</v>
      </c>
      <c r="E21" s="33">
        <v>447294.92</v>
      </c>
      <c r="F21" s="21">
        <f t="shared" si="4"/>
        <v>4367071.83</v>
      </c>
      <c r="G21" s="33">
        <v>283087.03999999998</v>
      </c>
      <c r="H21" s="22">
        <v>0</v>
      </c>
      <c r="I21" s="22">
        <v>0</v>
      </c>
      <c r="J21" s="22">
        <v>0</v>
      </c>
      <c r="K21" s="21">
        <f t="shared" si="5"/>
        <v>4650158.87</v>
      </c>
      <c r="L21" s="34">
        <v>290422</v>
      </c>
      <c r="N21" s="24"/>
    </row>
    <row r="22" spans="1:14">
      <c r="A22" s="176"/>
      <c r="B22" s="182" t="s">
        <v>29</v>
      </c>
      <c r="C22" s="20" t="s">
        <v>16</v>
      </c>
      <c r="D22" s="22">
        <v>4703821.58</v>
      </c>
      <c r="E22" s="22">
        <f>559899.63-105668.98</f>
        <v>454230.65</v>
      </c>
      <c r="F22" s="21">
        <f t="shared" si="4"/>
        <v>5158052.2300000004</v>
      </c>
      <c r="G22" s="22">
        <v>402011.29</v>
      </c>
      <c r="H22" s="22">
        <v>0</v>
      </c>
      <c r="I22" s="22">
        <v>0</v>
      </c>
      <c r="J22" s="22">
        <v>0</v>
      </c>
      <c r="K22" s="21">
        <f t="shared" si="5"/>
        <v>5560063.5199999996</v>
      </c>
      <c r="L22" s="23">
        <f>297002.42+32084.58</f>
        <v>329087</v>
      </c>
      <c r="N22" s="24"/>
    </row>
    <row r="23" spans="1:14">
      <c r="A23" s="176"/>
      <c r="B23" s="183"/>
      <c r="C23" s="20" t="s">
        <v>17</v>
      </c>
      <c r="D23" s="21">
        <v>5016441.8</v>
      </c>
      <c r="E23" s="21">
        <v>454230.65</v>
      </c>
      <c r="F23" s="21">
        <f t="shared" si="4"/>
        <v>5470672.4500000002</v>
      </c>
      <c r="G23" s="35">
        <v>353325.81</v>
      </c>
      <c r="H23" s="22">
        <v>0</v>
      </c>
      <c r="I23" s="22">
        <v>0</v>
      </c>
      <c r="J23" s="22">
        <v>0</v>
      </c>
      <c r="K23" s="21">
        <f t="shared" si="5"/>
        <v>5823998.2599999998</v>
      </c>
      <c r="L23" s="36">
        <v>329087</v>
      </c>
      <c r="N23" s="24"/>
    </row>
    <row r="24" spans="1:14">
      <c r="A24" s="176"/>
      <c r="B24" s="183"/>
      <c r="C24" s="31" t="s">
        <v>18</v>
      </c>
      <c r="D24" s="33">
        <v>4703780.99</v>
      </c>
      <c r="E24" s="33">
        <v>454230.65</v>
      </c>
      <c r="F24" s="21">
        <f t="shared" si="4"/>
        <v>5158011.6400000006</v>
      </c>
      <c r="G24" s="21">
        <v>353325.81</v>
      </c>
      <c r="H24" s="22">
        <v>0</v>
      </c>
      <c r="I24" s="22">
        <v>0</v>
      </c>
      <c r="J24" s="22">
        <v>0</v>
      </c>
      <c r="K24" s="21">
        <f t="shared" si="5"/>
        <v>5511337.4500000002</v>
      </c>
      <c r="L24" s="23">
        <v>329087</v>
      </c>
      <c r="N24" s="24"/>
    </row>
    <row r="25" spans="1:14">
      <c r="A25" s="176"/>
      <c r="B25" s="179" t="s">
        <v>30</v>
      </c>
      <c r="C25" s="37" t="s">
        <v>16</v>
      </c>
      <c r="D25" s="22">
        <f>4703821.58-74502.55</f>
        <v>4629319.03</v>
      </c>
      <c r="E25" s="22">
        <f>559899.63-102362.09</f>
        <v>457537.54000000004</v>
      </c>
      <c r="F25" s="21">
        <f t="shared" si="4"/>
        <v>5086856.57</v>
      </c>
      <c r="G25" s="38">
        <f>402011.29-172682.41</f>
        <v>229328.87999999998</v>
      </c>
      <c r="H25" s="26">
        <v>0</v>
      </c>
      <c r="I25" s="26">
        <v>0</v>
      </c>
      <c r="J25" s="26">
        <v>0</v>
      </c>
      <c r="K25" s="26">
        <f t="shared" si="5"/>
        <v>5316185.45</v>
      </c>
      <c r="L25" s="28">
        <f>294712+20801</f>
        <v>315513</v>
      </c>
      <c r="N25" s="24"/>
    </row>
    <row r="26" spans="1:14">
      <c r="A26" s="176"/>
      <c r="B26" s="178"/>
      <c r="C26" s="37" t="s">
        <v>17</v>
      </c>
      <c r="D26" s="26">
        <v>4310961.34</v>
      </c>
      <c r="E26" s="26">
        <v>438498.88</v>
      </c>
      <c r="F26" s="26">
        <f>SUM(D26:E26)</f>
        <v>4749460.22</v>
      </c>
      <c r="G26" s="26">
        <v>283100.67</v>
      </c>
      <c r="H26" s="26">
        <v>0</v>
      </c>
      <c r="I26" s="26">
        <v>0</v>
      </c>
      <c r="J26" s="26">
        <v>0</v>
      </c>
      <c r="K26" s="26">
        <f t="shared" si="5"/>
        <v>5032560.8899999997</v>
      </c>
      <c r="L26" s="28">
        <v>294712</v>
      </c>
      <c r="N26" s="24"/>
    </row>
    <row r="27" spans="1:14">
      <c r="A27" s="176"/>
      <c r="B27" s="178"/>
      <c r="C27" s="31" t="s">
        <v>18</v>
      </c>
      <c r="D27" s="39">
        <v>4310961.34</v>
      </c>
      <c r="E27" s="39">
        <v>438498.88</v>
      </c>
      <c r="F27" s="26">
        <f>SUM(D27:E27)</f>
        <v>4749460.22</v>
      </c>
      <c r="G27" s="39">
        <v>283100.67</v>
      </c>
      <c r="H27" s="39">
        <v>0</v>
      </c>
      <c r="I27" s="39">
        <v>0</v>
      </c>
      <c r="J27" s="39">
        <v>0</v>
      </c>
      <c r="K27" s="26">
        <f t="shared" si="5"/>
        <v>5032560.8899999997</v>
      </c>
      <c r="L27" s="29">
        <v>294712</v>
      </c>
      <c r="N27" s="24"/>
    </row>
    <row r="28" spans="1:14">
      <c r="A28" s="176"/>
      <c r="B28" s="184" t="s">
        <v>31</v>
      </c>
      <c r="C28" s="20" t="s">
        <v>16</v>
      </c>
      <c r="D28" s="21">
        <f>D25+D22+D19</f>
        <v>13252991.93</v>
      </c>
      <c r="E28" s="21">
        <f>E25+E22+E19</f>
        <v>1359063.11</v>
      </c>
      <c r="F28" s="21">
        <f>F25+F22+F19</f>
        <v>14612055.040000001</v>
      </c>
      <c r="G28" s="21">
        <f>G25+G22+G19</f>
        <v>914427.21</v>
      </c>
      <c r="H28" s="21">
        <v>302927.35999999999</v>
      </c>
      <c r="I28" s="21">
        <f t="shared" ref="I28:J30" si="6">I25+I22+I19</f>
        <v>0</v>
      </c>
      <c r="J28" s="21">
        <f t="shared" si="6"/>
        <v>0</v>
      </c>
      <c r="K28" s="21">
        <f t="shared" si="5"/>
        <v>15829409.609999999</v>
      </c>
      <c r="L28" s="23">
        <f>L25+L22+L19</f>
        <v>935022</v>
      </c>
      <c r="N28" s="24"/>
    </row>
    <row r="29" spans="1:14">
      <c r="A29" s="176"/>
      <c r="B29" s="184"/>
      <c r="C29" s="20" t="s">
        <v>17</v>
      </c>
      <c r="D29" s="21">
        <f>D26+D23+D20</f>
        <v>13247180.050000001</v>
      </c>
      <c r="E29" s="21">
        <f>E26+E23+E20</f>
        <v>1340024.45</v>
      </c>
      <c r="F29" s="21">
        <f>D29+E29</f>
        <v>14587204.5</v>
      </c>
      <c r="G29" s="21">
        <f>G26+G23+G20</f>
        <v>919513.52</v>
      </c>
      <c r="H29" s="21">
        <v>302927.35999999999</v>
      </c>
      <c r="I29" s="21">
        <f t="shared" si="6"/>
        <v>0</v>
      </c>
      <c r="J29" s="21">
        <f t="shared" si="6"/>
        <v>0</v>
      </c>
      <c r="K29" s="21">
        <f t="shared" si="5"/>
        <v>15809645.380000001</v>
      </c>
      <c r="L29" s="23">
        <f>L26+L23+L20</f>
        <v>914221</v>
      </c>
      <c r="M29" s="18"/>
      <c r="N29" s="24"/>
    </row>
    <row r="30" spans="1:14">
      <c r="A30" s="176"/>
      <c r="B30" s="184"/>
      <c r="C30" s="31" t="s">
        <v>18</v>
      </c>
      <c r="D30" s="33">
        <f>D27+D24+D21</f>
        <v>12934519.24</v>
      </c>
      <c r="E30" s="33">
        <f>E27+E24+E21</f>
        <v>1340024.45</v>
      </c>
      <c r="F30" s="21">
        <f>D30+E30</f>
        <v>14274543.689999999</v>
      </c>
      <c r="G30" s="33">
        <f>G27+G24+G21</f>
        <v>919513.52</v>
      </c>
      <c r="H30" s="33">
        <v>302927.35999999999</v>
      </c>
      <c r="I30" s="33">
        <f t="shared" si="6"/>
        <v>0</v>
      </c>
      <c r="J30" s="33">
        <f t="shared" si="6"/>
        <v>0</v>
      </c>
      <c r="K30" s="21">
        <f t="shared" si="5"/>
        <v>15496984.57</v>
      </c>
      <c r="L30" s="34">
        <f>L27+L24+L21</f>
        <v>914221</v>
      </c>
      <c r="N30" s="24"/>
    </row>
    <row r="31" spans="1:14">
      <c r="A31" s="176"/>
      <c r="B31" s="180" t="s">
        <v>32</v>
      </c>
      <c r="C31" s="40" t="s">
        <v>16</v>
      </c>
      <c r="D31" s="41">
        <f>D13+D28</f>
        <v>26648471.239999998</v>
      </c>
      <c r="E31" s="41">
        <f>E13+E28</f>
        <v>2596127.7199999997</v>
      </c>
      <c r="F31" s="41">
        <f>D31+E31</f>
        <v>29244598.959999997</v>
      </c>
      <c r="G31" s="41">
        <f>G13+G28</f>
        <v>1911381.4</v>
      </c>
      <c r="H31" s="41">
        <f>H13+H28</f>
        <v>526213.68999999994</v>
      </c>
      <c r="I31" s="41">
        <f>I13+I28</f>
        <v>0</v>
      </c>
      <c r="J31" s="41">
        <f>J13+J28</f>
        <v>0</v>
      </c>
      <c r="K31" s="41">
        <f t="shared" si="5"/>
        <v>31682194.049999997</v>
      </c>
      <c r="L31" s="41">
        <f>L13+L28</f>
        <v>1921623</v>
      </c>
      <c r="M31" s="42"/>
      <c r="N31" s="43"/>
    </row>
    <row r="32" spans="1:14">
      <c r="A32" s="176"/>
      <c r="B32" s="181"/>
      <c r="C32" s="20" t="s">
        <v>17</v>
      </c>
      <c r="D32" s="21">
        <f t="shared" ref="D32:L32" si="7">D16+D29</f>
        <v>26642659.359999999</v>
      </c>
      <c r="E32" s="21">
        <f t="shared" si="7"/>
        <v>2577089.06</v>
      </c>
      <c r="F32" s="21">
        <f t="shared" si="7"/>
        <v>29219748.420000002</v>
      </c>
      <c r="G32" s="21">
        <f t="shared" si="7"/>
        <v>1916467.71</v>
      </c>
      <c r="H32" s="21">
        <f t="shared" si="7"/>
        <v>526213.68999999994</v>
      </c>
      <c r="I32" s="21">
        <f t="shared" si="7"/>
        <v>0</v>
      </c>
      <c r="J32" s="21">
        <f t="shared" si="7"/>
        <v>0</v>
      </c>
      <c r="K32" s="21">
        <f t="shared" si="7"/>
        <v>31439143.490000002</v>
      </c>
      <c r="L32" s="23">
        <f t="shared" si="7"/>
        <v>1900822</v>
      </c>
      <c r="N32" s="24"/>
    </row>
    <row r="33" spans="1:14">
      <c r="A33" s="176"/>
      <c r="B33" s="181"/>
      <c r="C33" s="31" t="s">
        <v>18</v>
      </c>
      <c r="D33" s="21">
        <f t="shared" ref="D33:J33" si="8">D18+D30</f>
        <v>26329998.550000001</v>
      </c>
      <c r="E33" s="21">
        <f t="shared" si="8"/>
        <v>2577089.0599999996</v>
      </c>
      <c r="F33" s="21">
        <f t="shared" si="8"/>
        <v>28907087.609999999</v>
      </c>
      <c r="G33" s="21">
        <f t="shared" si="8"/>
        <v>1916467.71</v>
      </c>
      <c r="H33" s="21">
        <f t="shared" si="8"/>
        <v>526213.68999999994</v>
      </c>
      <c r="I33" s="21">
        <f t="shared" si="8"/>
        <v>0</v>
      </c>
      <c r="J33" s="21">
        <f t="shared" si="8"/>
        <v>0</v>
      </c>
      <c r="K33" s="21">
        <f>J33+I33+H33+G33+E33+D33</f>
        <v>31349769.009999998</v>
      </c>
      <c r="L33" s="34">
        <f>L30+L18</f>
        <v>1900822</v>
      </c>
      <c r="N33" s="24"/>
    </row>
    <row r="34" spans="1:14">
      <c r="A34" s="176"/>
      <c r="B34" s="178"/>
      <c r="C34" s="44" t="s">
        <v>24</v>
      </c>
      <c r="D34" s="45">
        <v>26648471.239999998</v>
      </c>
      <c r="E34" s="45">
        <v>2596127.7200000002</v>
      </c>
      <c r="F34" s="45">
        <f>D34+E34</f>
        <v>29244598.959999997</v>
      </c>
      <c r="G34" s="45">
        <v>1911381.4</v>
      </c>
      <c r="H34" s="45">
        <v>526213.68999999994</v>
      </c>
      <c r="I34" s="45"/>
      <c r="J34" s="45"/>
      <c r="K34" s="45">
        <f>F34+G34+H34</f>
        <v>31682194.049999997</v>
      </c>
      <c r="L34" s="45">
        <v>1921623</v>
      </c>
      <c r="M34" s="46"/>
      <c r="N34" s="47"/>
    </row>
    <row r="35" spans="1:14">
      <c r="A35" s="176"/>
      <c r="B35" s="178"/>
      <c r="C35" s="44" t="s">
        <v>25</v>
      </c>
      <c r="D35" s="45">
        <v>318472.69</v>
      </c>
      <c r="E35" s="45">
        <v>19038.66</v>
      </c>
      <c r="F35" s="45">
        <f>D35+E35</f>
        <v>337511.35</v>
      </c>
      <c r="G35" s="45">
        <v>-5086.3100000000004</v>
      </c>
      <c r="H35" s="45"/>
      <c r="I35" s="45"/>
      <c r="J35" s="45"/>
      <c r="K35" s="45">
        <f>F35+G35</f>
        <v>332425.03999999998</v>
      </c>
      <c r="L35" s="45">
        <v>20801</v>
      </c>
      <c r="M35" s="46"/>
      <c r="N35" s="47"/>
    </row>
    <row r="36" spans="1:14">
      <c r="A36" s="176"/>
      <c r="B36" s="178"/>
      <c r="C36" s="48" t="s">
        <v>26</v>
      </c>
      <c r="D36" s="45">
        <f>D33+D35</f>
        <v>26648471.240000002</v>
      </c>
      <c r="E36" s="45">
        <f>E33+E35</f>
        <v>2596127.7199999997</v>
      </c>
      <c r="F36" s="45">
        <f>D36+E36</f>
        <v>29244598.960000001</v>
      </c>
      <c r="G36" s="45">
        <f t="shared" ref="G36:L36" si="9">G33+G35</f>
        <v>1911381.4</v>
      </c>
      <c r="H36" s="45">
        <f t="shared" si="9"/>
        <v>526213.68999999994</v>
      </c>
      <c r="I36" s="45">
        <f t="shared" si="9"/>
        <v>0</v>
      </c>
      <c r="J36" s="45">
        <f t="shared" si="9"/>
        <v>0</v>
      </c>
      <c r="K36" s="45">
        <f t="shared" si="9"/>
        <v>31682194.049999997</v>
      </c>
      <c r="L36" s="45">
        <f t="shared" si="9"/>
        <v>1921623</v>
      </c>
      <c r="M36" s="46"/>
      <c r="N36" s="47"/>
    </row>
    <row r="37" spans="1:14">
      <c r="A37" s="176"/>
      <c r="B37" s="171" t="s">
        <v>33</v>
      </c>
      <c r="C37" s="20" t="s">
        <v>16</v>
      </c>
      <c r="D37" s="21">
        <f>5187115.21-952745.86</f>
        <v>4234369.3499999996</v>
      </c>
      <c r="E37" s="21">
        <f>552196.65-185263.55</f>
        <v>366933.10000000003</v>
      </c>
      <c r="F37" s="21">
        <f t="shared" ref="F37:F45" si="10">SUM(D37:E37)</f>
        <v>4601302.4499999993</v>
      </c>
      <c r="G37" s="21">
        <f>500010-191655</f>
        <v>308355</v>
      </c>
      <c r="H37" s="49">
        <v>0</v>
      </c>
      <c r="I37" s="49">
        <v>0</v>
      </c>
      <c r="J37" s="49">
        <v>0</v>
      </c>
      <c r="K37" s="21">
        <f>D37+E37+G37+H37+I37+J37</f>
        <v>4909657.4499999993</v>
      </c>
      <c r="L37" s="23">
        <v>280104</v>
      </c>
      <c r="N37" s="24"/>
    </row>
    <row r="38" spans="1:14">
      <c r="A38" s="176"/>
      <c r="B38" s="172"/>
      <c r="C38" s="20" t="s">
        <v>17</v>
      </c>
      <c r="D38" s="21">
        <v>4234369.3499999996</v>
      </c>
      <c r="E38" s="21">
        <v>366933.1</v>
      </c>
      <c r="F38" s="21">
        <f t="shared" si="10"/>
        <v>4601302.4499999993</v>
      </c>
      <c r="G38" s="21">
        <v>308335</v>
      </c>
      <c r="H38" s="49">
        <v>0</v>
      </c>
      <c r="I38" s="49">
        <v>0</v>
      </c>
      <c r="J38" s="49">
        <v>0</v>
      </c>
      <c r="K38" s="21">
        <f>D38+E38+G38+H38+I38+J38</f>
        <v>4909637.4499999993</v>
      </c>
      <c r="L38" s="23">
        <v>280104</v>
      </c>
      <c r="N38" s="24"/>
    </row>
    <row r="39" spans="1:14">
      <c r="A39" s="176"/>
      <c r="B39" s="172"/>
      <c r="C39" s="20" t="s">
        <v>18</v>
      </c>
      <c r="D39" s="21">
        <v>4234369.3499999996</v>
      </c>
      <c r="E39" s="21">
        <v>366933.1</v>
      </c>
      <c r="F39" s="21">
        <f t="shared" si="10"/>
        <v>4601302.4499999993</v>
      </c>
      <c r="G39" s="21">
        <v>308335</v>
      </c>
      <c r="H39" s="49">
        <v>0</v>
      </c>
      <c r="I39" s="49">
        <v>0</v>
      </c>
      <c r="J39" s="49">
        <v>0</v>
      </c>
      <c r="K39" s="21">
        <f>D39+E39+G39+H39+I39+J39</f>
        <v>4909637.4499999993</v>
      </c>
      <c r="L39" s="23">
        <v>280104</v>
      </c>
      <c r="N39" s="24"/>
    </row>
    <row r="40" spans="1:14">
      <c r="A40" s="176"/>
      <c r="B40" s="171" t="s">
        <v>34</v>
      </c>
      <c r="C40" s="20" t="s">
        <v>16</v>
      </c>
      <c r="D40" s="21">
        <f>5187115.21-849248.61</f>
        <v>4337866.5999999996</v>
      </c>
      <c r="E40" s="21">
        <f>552196.65-154032.49</f>
        <v>398164.16000000003</v>
      </c>
      <c r="F40" s="21">
        <f t="shared" si="10"/>
        <v>4736030.76</v>
      </c>
      <c r="G40" s="21">
        <f>500010-186668</f>
        <v>313342</v>
      </c>
      <c r="H40" s="49">
        <v>0</v>
      </c>
      <c r="I40" s="49">
        <v>0</v>
      </c>
      <c r="J40" s="49">
        <v>0</v>
      </c>
      <c r="K40" s="21">
        <f t="shared" ref="K40:K45" si="11">J40+I40+H40+G40+E40+D40</f>
        <v>5049372.76</v>
      </c>
      <c r="L40" s="23">
        <v>295647</v>
      </c>
      <c r="N40" s="24"/>
    </row>
    <row r="41" spans="1:14">
      <c r="A41" s="176"/>
      <c r="B41" s="172"/>
      <c r="C41" s="20" t="s">
        <v>17</v>
      </c>
      <c r="D41" s="21">
        <v>4337866.5999999996</v>
      </c>
      <c r="E41" s="21">
        <v>398164.16</v>
      </c>
      <c r="F41" s="21">
        <f t="shared" si="10"/>
        <v>4736030.76</v>
      </c>
      <c r="G41" s="21">
        <v>313342</v>
      </c>
      <c r="H41" s="49">
        <v>0</v>
      </c>
      <c r="I41" s="49">
        <v>0</v>
      </c>
      <c r="J41" s="49">
        <v>0</v>
      </c>
      <c r="K41" s="21">
        <f t="shared" si="11"/>
        <v>5049372.76</v>
      </c>
      <c r="L41" s="23">
        <v>295647</v>
      </c>
      <c r="N41" s="24"/>
    </row>
    <row r="42" spans="1:14">
      <c r="A42" s="176"/>
      <c r="B42" s="172"/>
      <c r="C42" s="20" t="s">
        <v>18</v>
      </c>
      <c r="D42" s="21">
        <v>4337866.5999999996</v>
      </c>
      <c r="E42" s="21">
        <v>398164.16</v>
      </c>
      <c r="F42" s="21">
        <f t="shared" si="10"/>
        <v>4736030.76</v>
      </c>
      <c r="G42" s="21">
        <v>313342</v>
      </c>
      <c r="H42" s="49">
        <v>0</v>
      </c>
      <c r="I42" s="49">
        <v>0</v>
      </c>
      <c r="J42" s="49">
        <v>0</v>
      </c>
      <c r="K42" s="21">
        <f t="shared" si="11"/>
        <v>5049372.76</v>
      </c>
      <c r="L42" s="23">
        <v>295647</v>
      </c>
      <c r="N42" s="24"/>
    </row>
    <row r="43" spans="1:14">
      <c r="A43" s="176"/>
      <c r="B43" s="171" t="s">
        <v>35</v>
      </c>
      <c r="C43" s="20" t="s">
        <v>16</v>
      </c>
      <c r="D43" s="21">
        <f>5187115.21-430486.02-130360.91</f>
        <v>4626268.2799999993</v>
      </c>
      <c r="E43" s="21">
        <f>552196.65-100000-111570.83</f>
        <v>340625.82</v>
      </c>
      <c r="F43" s="21">
        <f t="shared" si="10"/>
        <v>4966894.0999999996</v>
      </c>
      <c r="G43" s="21">
        <f>500010-100000-99041</f>
        <v>300969</v>
      </c>
      <c r="H43" s="49">
        <v>0</v>
      </c>
      <c r="I43" s="49">
        <v>0</v>
      </c>
      <c r="J43" s="49">
        <v>0</v>
      </c>
      <c r="K43" s="21">
        <f t="shared" si="11"/>
        <v>5267863.0999999996</v>
      </c>
      <c r="L43" s="23">
        <f>532889.79-248473.79+5566</f>
        <v>289982</v>
      </c>
      <c r="N43" s="24"/>
    </row>
    <row r="44" spans="1:14">
      <c r="A44" s="176"/>
      <c r="B44" s="172"/>
      <c r="C44" s="20" t="s">
        <v>17</v>
      </c>
      <c r="D44" s="21">
        <v>4579233.46</v>
      </c>
      <c r="E44" s="21">
        <v>341434.49</v>
      </c>
      <c r="F44" s="21">
        <f t="shared" si="10"/>
        <v>4920667.95</v>
      </c>
      <c r="G44" s="21">
        <v>300176</v>
      </c>
      <c r="H44" s="49">
        <v>0</v>
      </c>
      <c r="I44" s="49">
        <v>0</v>
      </c>
      <c r="J44" s="49">
        <v>0</v>
      </c>
      <c r="K44" s="21">
        <f t="shared" si="11"/>
        <v>5220843.95</v>
      </c>
      <c r="L44" s="23">
        <v>284416</v>
      </c>
      <c r="N44" s="24"/>
    </row>
    <row r="45" spans="1:14">
      <c r="A45" s="176"/>
      <c r="B45" s="172"/>
      <c r="C45" s="20" t="s">
        <v>18</v>
      </c>
      <c r="D45" s="21">
        <v>4579233.46</v>
      </c>
      <c r="E45" s="21">
        <v>341434.49</v>
      </c>
      <c r="F45" s="21">
        <f t="shared" si="10"/>
        <v>4920667.95</v>
      </c>
      <c r="G45" s="21">
        <v>300176</v>
      </c>
      <c r="H45" s="49">
        <v>0</v>
      </c>
      <c r="I45" s="49">
        <v>0</v>
      </c>
      <c r="J45" s="49">
        <v>0</v>
      </c>
      <c r="K45" s="21">
        <f t="shared" si="11"/>
        <v>5220843.95</v>
      </c>
      <c r="L45" s="23">
        <v>284416</v>
      </c>
      <c r="N45" s="24"/>
    </row>
    <row r="46" spans="1:14">
      <c r="A46" s="176"/>
      <c r="B46" s="171" t="s">
        <v>36</v>
      </c>
      <c r="C46" s="50" t="s">
        <v>16</v>
      </c>
      <c r="D46" s="51">
        <f t="shared" ref="D46:L46" si="12">D37+D40+D43</f>
        <v>13198504.229999999</v>
      </c>
      <c r="E46" s="51">
        <f t="shared" si="12"/>
        <v>1105723.08</v>
      </c>
      <c r="F46" s="51">
        <f t="shared" si="12"/>
        <v>14304227.309999999</v>
      </c>
      <c r="G46" s="51">
        <f t="shared" si="12"/>
        <v>922666</v>
      </c>
      <c r="H46" s="51">
        <f t="shared" si="12"/>
        <v>0</v>
      </c>
      <c r="I46" s="51">
        <f t="shared" si="12"/>
        <v>0</v>
      </c>
      <c r="J46" s="51">
        <f t="shared" si="12"/>
        <v>0</v>
      </c>
      <c r="K46" s="51">
        <f t="shared" si="12"/>
        <v>15226893.309999999</v>
      </c>
      <c r="L46" s="51">
        <f t="shared" si="12"/>
        <v>865733</v>
      </c>
      <c r="M46" s="52"/>
      <c r="N46" s="53"/>
    </row>
    <row r="47" spans="1:14">
      <c r="A47" s="176"/>
      <c r="B47" s="172"/>
      <c r="C47" s="50" t="s">
        <v>17</v>
      </c>
      <c r="D47" s="51">
        <f t="shared" ref="D47:L47" si="13">D38+D41+D44</f>
        <v>13151469.41</v>
      </c>
      <c r="E47" s="51">
        <f t="shared" si="13"/>
        <v>1106531.75</v>
      </c>
      <c r="F47" s="51">
        <f t="shared" si="13"/>
        <v>14258001.16</v>
      </c>
      <c r="G47" s="51">
        <f t="shared" si="13"/>
        <v>921853</v>
      </c>
      <c r="H47" s="51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15179854.16</v>
      </c>
      <c r="L47" s="51">
        <f t="shared" si="13"/>
        <v>860167</v>
      </c>
      <c r="M47" s="52"/>
      <c r="N47" s="53"/>
    </row>
    <row r="48" spans="1:14">
      <c r="A48" s="176"/>
      <c r="B48" s="172"/>
      <c r="C48" s="50" t="s">
        <v>18</v>
      </c>
      <c r="D48" s="51">
        <f t="shared" ref="D48:L48" si="14">D39+D42+D45</f>
        <v>13151469.41</v>
      </c>
      <c r="E48" s="51">
        <f t="shared" si="14"/>
        <v>1106531.75</v>
      </c>
      <c r="F48" s="51">
        <f t="shared" si="14"/>
        <v>14258001.16</v>
      </c>
      <c r="G48" s="51">
        <f t="shared" si="14"/>
        <v>921853</v>
      </c>
      <c r="H48" s="51">
        <f t="shared" si="14"/>
        <v>0</v>
      </c>
      <c r="I48" s="51">
        <f t="shared" si="14"/>
        <v>0</v>
      </c>
      <c r="J48" s="51">
        <f t="shared" si="14"/>
        <v>0</v>
      </c>
      <c r="K48" s="51">
        <f t="shared" si="14"/>
        <v>15179854.16</v>
      </c>
      <c r="L48" s="51">
        <f t="shared" si="14"/>
        <v>860167</v>
      </c>
      <c r="M48" s="52"/>
      <c r="N48" s="53"/>
    </row>
    <row r="49" spans="1:14">
      <c r="A49" s="176"/>
      <c r="B49" s="172"/>
      <c r="C49" s="20" t="s">
        <v>37</v>
      </c>
      <c r="D49" s="21">
        <f>D39+D42+D45</f>
        <v>13151469.41</v>
      </c>
      <c r="E49" s="21">
        <f>E39+E42+E45</f>
        <v>1106531.75</v>
      </c>
      <c r="F49" s="21">
        <f>D49+E49</f>
        <v>14258001.16</v>
      </c>
      <c r="G49" s="21">
        <f>G39+G42+G45</f>
        <v>921853</v>
      </c>
      <c r="H49" s="21">
        <f>H39+H42+H55</f>
        <v>0</v>
      </c>
      <c r="I49" s="21">
        <f>I39+I42+I55</f>
        <v>0</v>
      </c>
      <c r="J49" s="21">
        <f>J39+J42+J55</f>
        <v>0</v>
      </c>
      <c r="K49" s="21">
        <f>K39+K42+K55</f>
        <v>15321599.449999999</v>
      </c>
      <c r="L49" s="21">
        <v>860167</v>
      </c>
      <c r="N49" s="24"/>
    </row>
    <row r="50" spans="1:14">
      <c r="A50" s="176"/>
      <c r="B50" s="173"/>
      <c r="C50" s="54" t="s">
        <v>24</v>
      </c>
      <c r="D50" s="55">
        <v>13198504.23</v>
      </c>
      <c r="E50" s="55">
        <v>1105723.08</v>
      </c>
      <c r="F50" s="55">
        <f>D50+E50</f>
        <v>14304227.310000001</v>
      </c>
      <c r="G50" s="55">
        <v>922666</v>
      </c>
      <c r="H50" s="55"/>
      <c r="I50" s="55"/>
      <c r="J50" s="55"/>
      <c r="K50" s="55">
        <f>F50+G50</f>
        <v>15226893.310000001</v>
      </c>
      <c r="L50" s="55">
        <v>865733</v>
      </c>
      <c r="M50" s="52"/>
      <c r="N50" s="53"/>
    </row>
    <row r="51" spans="1:14">
      <c r="A51" s="176"/>
      <c r="B51" s="173"/>
      <c r="C51" s="54" t="s">
        <v>25</v>
      </c>
      <c r="D51" s="55">
        <v>47034.82</v>
      </c>
      <c r="E51" s="55">
        <v>-808.67</v>
      </c>
      <c r="F51" s="55">
        <f>D51+E51</f>
        <v>46226.15</v>
      </c>
      <c r="G51" s="55">
        <v>813</v>
      </c>
      <c r="H51" s="55"/>
      <c r="I51" s="55"/>
      <c r="J51" s="55"/>
      <c r="K51" s="55">
        <f>F51+G51</f>
        <v>47039.15</v>
      </c>
      <c r="L51" s="55">
        <v>5566</v>
      </c>
      <c r="M51" s="52"/>
      <c r="N51" s="53"/>
    </row>
    <row r="52" spans="1:14">
      <c r="A52" s="176"/>
      <c r="B52" s="173"/>
      <c r="C52" s="56" t="s">
        <v>26</v>
      </c>
      <c r="D52" s="55">
        <f t="shared" ref="D52:L52" si="15">D48+D51</f>
        <v>13198504.23</v>
      </c>
      <c r="E52" s="55">
        <f t="shared" si="15"/>
        <v>1105723.08</v>
      </c>
      <c r="F52" s="55">
        <f t="shared" si="15"/>
        <v>14304227.310000001</v>
      </c>
      <c r="G52" s="55">
        <f t="shared" si="15"/>
        <v>922666</v>
      </c>
      <c r="H52" s="55">
        <f t="shared" si="15"/>
        <v>0</v>
      </c>
      <c r="I52" s="55">
        <f t="shared" si="15"/>
        <v>0</v>
      </c>
      <c r="J52" s="55">
        <f t="shared" si="15"/>
        <v>0</v>
      </c>
      <c r="K52" s="55">
        <f t="shared" si="15"/>
        <v>15226893.310000001</v>
      </c>
      <c r="L52" s="55">
        <f t="shared" si="15"/>
        <v>865733</v>
      </c>
      <c r="M52" s="52"/>
      <c r="N52" s="53"/>
    </row>
    <row r="53" spans="1:14">
      <c r="A53" s="176"/>
      <c r="B53" s="171" t="s">
        <v>38</v>
      </c>
      <c r="C53" s="20" t="s">
        <v>16</v>
      </c>
      <c r="D53" s="21">
        <f>5187115.21-544731.21</f>
        <v>4642384</v>
      </c>
      <c r="E53" s="21">
        <f>552196.65-141225.41</f>
        <v>410971.24</v>
      </c>
      <c r="F53" s="21">
        <f t="shared" ref="F53:F58" si="16">SUM(D53:E53)</f>
        <v>5053355.24</v>
      </c>
      <c r="G53" s="21">
        <f>500010-190776</f>
        <v>309234</v>
      </c>
      <c r="H53" s="49">
        <v>0</v>
      </c>
      <c r="I53" s="49">
        <v>0</v>
      </c>
      <c r="J53" s="49">
        <v>0</v>
      </c>
      <c r="K53" s="21">
        <f>D53+E53+G53+H53+I53+J53</f>
        <v>5362589.24</v>
      </c>
      <c r="L53" s="23">
        <v>313676</v>
      </c>
      <c r="N53" s="24"/>
    </row>
    <row r="54" spans="1:14">
      <c r="A54" s="176"/>
      <c r="B54" s="172"/>
      <c r="C54" s="20" t="s">
        <v>17</v>
      </c>
      <c r="D54" s="21">
        <v>4642384</v>
      </c>
      <c r="E54" s="21">
        <v>410971.24</v>
      </c>
      <c r="F54" s="21">
        <f t="shared" si="16"/>
        <v>5053355.24</v>
      </c>
      <c r="G54" s="21">
        <v>309234</v>
      </c>
      <c r="H54" s="49">
        <v>0</v>
      </c>
      <c r="I54" s="49">
        <v>0</v>
      </c>
      <c r="J54" s="49">
        <v>0</v>
      </c>
      <c r="K54" s="21">
        <f>D54+E54+G54+H54+I54+J54</f>
        <v>5362589.24</v>
      </c>
      <c r="L54" s="23">
        <v>313676</v>
      </c>
      <c r="N54" s="24"/>
    </row>
    <row r="55" spans="1:14">
      <c r="A55" s="176"/>
      <c r="B55" s="172"/>
      <c r="C55" s="20" t="s">
        <v>18</v>
      </c>
      <c r="D55" s="21">
        <v>4642384</v>
      </c>
      <c r="E55" s="21">
        <v>410971.24</v>
      </c>
      <c r="F55" s="21">
        <f t="shared" si="16"/>
        <v>5053355.24</v>
      </c>
      <c r="G55" s="21">
        <v>309234</v>
      </c>
      <c r="H55" s="49">
        <v>0</v>
      </c>
      <c r="I55" s="49">
        <v>0</v>
      </c>
      <c r="J55" s="49">
        <v>0</v>
      </c>
      <c r="K55" s="21">
        <f>D55+E55+G55+H55+I55+J55</f>
        <v>5362589.24</v>
      </c>
      <c r="L55" s="23">
        <v>313676</v>
      </c>
      <c r="N55" s="24"/>
    </row>
    <row r="56" spans="1:14">
      <c r="A56" s="176"/>
      <c r="B56" s="171" t="s">
        <v>39</v>
      </c>
      <c r="C56" s="20" t="s">
        <v>16</v>
      </c>
      <c r="D56" s="21">
        <f>303278.95+4883836.3-410269.36</f>
        <v>4776845.8899999997</v>
      </c>
      <c r="E56" s="21">
        <f>24473.52+377723.11+41225.41-15508.22</f>
        <v>427913.82000000007</v>
      </c>
      <c r="F56" s="21">
        <f t="shared" si="16"/>
        <v>5204759.71</v>
      </c>
      <c r="G56" s="21">
        <f>1528+398482-71222</f>
        <v>328788</v>
      </c>
      <c r="H56" s="49">
        <v>0</v>
      </c>
      <c r="I56" s="49">
        <v>0</v>
      </c>
      <c r="J56" s="49">
        <v>0</v>
      </c>
      <c r="K56" s="21">
        <f t="shared" ref="K56:K66" si="17">D56+E56+G56+H56+I56+J56</f>
        <v>5533547.71</v>
      </c>
      <c r="L56" s="23">
        <f>25742.37+308228.63-1628</f>
        <v>332343</v>
      </c>
      <c r="N56" s="24"/>
    </row>
    <row r="57" spans="1:14">
      <c r="A57" s="176"/>
      <c r="B57" s="172"/>
      <c r="C57" s="20" t="s">
        <v>17</v>
      </c>
      <c r="D57" s="21">
        <v>4805921.1500000004</v>
      </c>
      <c r="E57" s="21">
        <v>441478.32</v>
      </c>
      <c r="F57" s="21">
        <f t="shared" si="16"/>
        <v>5247399.4700000007</v>
      </c>
      <c r="G57" s="21">
        <v>326661</v>
      </c>
      <c r="H57" s="49">
        <v>0</v>
      </c>
      <c r="I57" s="49">
        <v>0</v>
      </c>
      <c r="J57" s="49">
        <v>0</v>
      </c>
      <c r="K57" s="21">
        <f t="shared" si="17"/>
        <v>5574060.4700000007</v>
      </c>
      <c r="L57" s="23">
        <v>333971</v>
      </c>
      <c r="N57" s="24"/>
    </row>
    <row r="58" spans="1:14">
      <c r="A58" s="176"/>
      <c r="B58" s="172"/>
      <c r="C58" s="20" t="s">
        <v>18</v>
      </c>
      <c r="D58" s="21">
        <v>4805921.1500000004</v>
      </c>
      <c r="E58" s="21">
        <v>441748.32</v>
      </c>
      <c r="F58" s="21">
        <f t="shared" si="16"/>
        <v>5247669.4700000007</v>
      </c>
      <c r="G58" s="21">
        <v>326661</v>
      </c>
      <c r="H58" s="49">
        <v>0</v>
      </c>
      <c r="I58" s="49">
        <v>0</v>
      </c>
      <c r="J58" s="49">
        <v>0</v>
      </c>
      <c r="K58" s="21">
        <f t="shared" si="17"/>
        <v>5574330.4700000007</v>
      </c>
      <c r="L58" s="23">
        <v>333971</v>
      </c>
      <c r="N58" s="24"/>
    </row>
    <row r="59" spans="1:14">
      <c r="A59" s="176"/>
      <c r="B59" s="185" t="s">
        <v>40</v>
      </c>
      <c r="C59" s="57" t="s">
        <v>16</v>
      </c>
      <c r="D59" s="58">
        <f t="shared" ref="D59:N59" si="18">D56+D53+D46</f>
        <v>22617734.119999997</v>
      </c>
      <c r="E59" s="58">
        <f t="shared" si="18"/>
        <v>1944608.1400000001</v>
      </c>
      <c r="F59" s="58">
        <f t="shared" si="18"/>
        <v>24562342.259999998</v>
      </c>
      <c r="G59" s="58">
        <f t="shared" si="18"/>
        <v>1560688</v>
      </c>
      <c r="H59" s="58">
        <f t="shared" si="18"/>
        <v>0</v>
      </c>
      <c r="I59" s="58">
        <f t="shared" si="18"/>
        <v>0</v>
      </c>
      <c r="J59" s="58">
        <f t="shared" si="18"/>
        <v>0</v>
      </c>
      <c r="K59" s="58">
        <f t="shared" si="18"/>
        <v>26123030.259999998</v>
      </c>
      <c r="L59" s="58">
        <f t="shared" si="18"/>
        <v>1511752</v>
      </c>
      <c r="M59" s="58">
        <f t="shared" si="18"/>
        <v>0</v>
      </c>
      <c r="N59" s="58">
        <f t="shared" si="18"/>
        <v>0</v>
      </c>
    </row>
    <row r="60" spans="1:14">
      <c r="A60" s="176"/>
      <c r="B60" s="186"/>
      <c r="C60" s="57" t="s">
        <v>41</v>
      </c>
      <c r="D60" s="58">
        <v>22617734.120000001</v>
      </c>
      <c r="E60" s="58">
        <v>1944608.14</v>
      </c>
      <c r="F60" s="58">
        <f>D60+E60</f>
        <v>24562342.260000002</v>
      </c>
      <c r="G60" s="58">
        <v>1560688</v>
      </c>
      <c r="H60" s="58"/>
      <c r="I60" s="58"/>
      <c r="J60" s="58"/>
      <c r="K60" s="58">
        <f>F60+G60</f>
        <v>26123030.260000002</v>
      </c>
      <c r="L60" s="58">
        <v>1511752</v>
      </c>
      <c r="M60" s="59"/>
      <c r="N60" s="60"/>
    </row>
    <row r="61" spans="1:14">
      <c r="A61" s="176"/>
      <c r="B61" s="186"/>
      <c r="C61" s="57" t="s">
        <v>42</v>
      </c>
      <c r="D61" s="58">
        <f>D52+D55+D58</f>
        <v>22646809.380000003</v>
      </c>
      <c r="E61" s="58">
        <f>E52+E55+E58</f>
        <v>1958442.6400000001</v>
      </c>
      <c r="F61" s="58">
        <f>F58+F55+F48</f>
        <v>24559025.870000001</v>
      </c>
      <c r="G61" s="58">
        <f>G52+G55+G58</f>
        <v>1558561</v>
      </c>
      <c r="H61" s="58">
        <f>H52+H55+H58</f>
        <v>0</v>
      </c>
      <c r="I61" s="58">
        <f>I52+I55+I58</f>
        <v>0</v>
      </c>
      <c r="J61" s="58">
        <f>J52+J55+J58</f>
        <v>0</v>
      </c>
      <c r="K61" s="58">
        <f>F61+G61</f>
        <v>26117586.870000001</v>
      </c>
      <c r="L61" s="58">
        <f>L52+L55+L58</f>
        <v>1513380</v>
      </c>
      <c r="M61" s="59"/>
      <c r="N61" s="60"/>
    </row>
    <row r="62" spans="1:14">
      <c r="A62" s="176"/>
      <c r="B62" s="186"/>
      <c r="C62" s="57" t="s">
        <v>25</v>
      </c>
      <c r="D62" s="58">
        <v>-29075.26</v>
      </c>
      <c r="E62" s="58">
        <v>-13834.5</v>
      </c>
      <c r="F62" s="58">
        <f>D62+E62</f>
        <v>-42909.759999999995</v>
      </c>
      <c r="G62" s="58">
        <v>2127</v>
      </c>
      <c r="H62" s="58"/>
      <c r="I62" s="58"/>
      <c r="J62" s="58"/>
      <c r="K62" s="58">
        <f>F62+G62</f>
        <v>-40782.759999999995</v>
      </c>
      <c r="L62" s="58">
        <v>-1628</v>
      </c>
      <c r="M62" s="59"/>
      <c r="N62" s="60"/>
    </row>
    <row r="63" spans="1:14">
      <c r="A63" s="176"/>
      <c r="B63" s="186"/>
      <c r="C63" s="57" t="s">
        <v>26</v>
      </c>
      <c r="D63" s="58">
        <f>D61+D62</f>
        <v>22617734.120000001</v>
      </c>
      <c r="E63" s="58">
        <f t="shared" ref="E63:L63" si="19">E61+E62</f>
        <v>1944608.1400000001</v>
      </c>
      <c r="F63" s="58">
        <f t="shared" si="19"/>
        <v>24516116.109999999</v>
      </c>
      <c r="G63" s="58">
        <f t="shared" si="19"/>
        <v>1560688</v>
      </c>
      <c r="H63" s="58">
        <f t="shared" si="19"/>
        <v>0</v>
      </c>
      <c r="I63" s="58">
        <f t="shared" si="19"/>
        <v>0</v>
      </c>
      <c r="J63" s="58">
        <f t="shared" si="19"/>
        <v>0</v>
      </c>
      <c r="K63" s="58">
        <f>F63+G63</f>
        <v>26076804.109999999</v>
      </c>
      <c r="L63" s="58">
        <f t="shared" si="19"/>
        <v>1511752</v>
      </c>
      <c r="M63" s="59"/>
      <c r="N63" s="60"/>
    </row>
    <row r="64" spans="1:14">
      <c r="A64" s="176"/>
      <c r="B64" s="171" t="s">
        <v>43</v>
      </c>
      <c r="C64" s="20" t="s">
        <v>16</v>
      </c>
      <c r="D64" s="21">
        <v>5187115.12</v>
      </c>
      <c r="E64" s="21">
        <v>372216.39</v>
      </c>
      <c r="F64" s="21">
        <f>SUM(D64:E64)</f>
        <v>5559331.5099999998</v>
      </c>
      <c r="G64" s="21">
        <v>326758</v>
      </c>
      <c r="H64" s="49">
        <v>0</v>
      </c>
      <c r="I64" s="49">
        <v>0</v>
      </c>
      <c r="J64" s="49">
        <v>0</v>
      </c>
      <c r="K64" s="21">
        <f t="shared" si="17"/>
        <v>5886089.5099999998</v>
      </c>
      <c r="L64" s="23">
        <v>1465.51</v>
      </c>
      <c r="N64" s="24"/>
    </row>
    <row r="65" spans="1:15">
      <c r="A65" s="176"/>
      <c r="B65" s="172"/>
      <c r="C65" s="20" t="s">
        <v>17</v>
      </c>
      <c r="D65" s="21">
        <v>4442347.59</v>
      </c>
      <c r="E65" s="21">
        <v>370046.82</v>
      </c>
      <c r="F65" s="21">
        <f>SUM(D65:E65)</f>
        <v>4812394.41</v>
      </c>
      <c r="G65" s="21">
        <v>235858</v>
      </c>
      <c r="H65" s="49">
        <v>0</v>
      </c>
      <c r="I65" s="49">
        <v>0</v>
      </c>
      <c r="J65" s="49">
        <v>0</v>
      </c>
      <c r="K65" s="21">
        <f t="shared" si="17"/>
        <v>5048252.41</v>
      </c>
      <c r="L65" s="51">
        <v>282326</v>
      </c>
      <c r="N65" s="24"/>
    </row>
    <row r="66" spans="1:15">
      <c r="A66" s="176"/>
      <c r="B66" s="172"/>
      <c r="C66" s="20" t="s">
        <v>18</v>
      </c>
      <c r="D66" s="21">
        <v>4442347.59</v>
      </c>
      <c r="E66" s="21">
        <v>370046.82</v>
      </c>
      <c r="F66" s="21">
        <f>SUM(D66:E66)</f>
        <v>4812394.41</v>
      </c>
      <c r="G66" s="21">
        <v>235858</v>
      </c>
      <c r="H66" s="49">
        <v>0</v>
      </c>
      <c r="I66" s="49">
        <v>0</v>
      </c>
      <c r="J66" s="49">
        <v>0</v>
      </c>
      <c r="K66" s="21">
        <f t="shared" si="17"/>
        <v>5048252.41</v>
      </c>
      <c r="L66" s="23">
        <v>1463</v>
      </c>
      <c r="N66" s="24"/>
    </row>
    <row r="67" spans="1:15">
      <c r="A67" s="176"/>
      <c r="B67" s="187" t="s">
        <v>44</v>
      </c>
      <c r="C67" s="50" t="s">
        <v>16</v>
      </c>
      <c r="D67" s="51">
        <f t="shared" ref="D67:L67" si="20">D53+D56+D64</f>
        <v>14606345.010000002</v>
      </c>
      <c r="E67" s="51">
        <f t="shared" si="20"/>
        <v>1211101.4500000002</v>
      </c>
      <c r="F67" s="51">
        <f t="shared" si="20"/>
        <v>15817446.459999999</v>
      </c>
      <c r="G67" s="51">
        <f t="shared" si="20"/>
        <v>964780</v>
      </c>
      <c r="H67" s="51">
        <f t="shared" si="20"/>
        <v>0</v>
      </c>
      <c r="I67" s="51">
        <f t="shared" si="20"/>
        <v>0</v>
      </c>
      <c r="J67" s="51">
        <f t="shared" si="20"/>
        <v>0</v>
      </c>
      <c r="K67" s="51">
        <f t="shared" si="20"/>
        <v>16782226.460000001</v>
      </c>
      <c r="L67" s="51">
        <f t="shared" si="20"/>
        <v>647484.51</v>
      </c>
      <c r="M67" s="52"/>
      <c r="N67" s="53"/>
    </row>
    <row r="68" spans="1:15">
      <c r="A68" s="176"/>
      <c r="B68" s="188"/>
      <c r="C68" s="50" t="s">
        <v>17</v>
      </c>
      <c r="D68" s="51">
        <f t="shared" ref="D68:L68" si="21">D54+D57+D65</f>
        <v>13890652.74</v>
      </c>
      <c r="E68" s="51">
        <f t="shared" si="21"/>
        <v>1222496.3800000001</v>
      </c>
      <c r="F68" s="51">
        <f t="shared" si="21"/>
        <v>15113149.120000001</v>
      </c>
      <c r="G68" s="51">
        <f t="shared" si="21"/>
        <v>871753</v>
      </c>
      <c r="H68" s="51">
        <f t="shared" si="21"/>
        <v>0</v>
      </c>
      <c r="I68" s="51">
        <f t="shared" si="21"/>
        <v>0</v>
      </c>
      <c r="J68" s="51">
        <f t="shared" si="21"/>
        <v>0</v>
      </c>
      <c r="K68" s="51">
        <f t="shared" si="21"/>
        <v>15984902.120000001</v>
      </c>
      <c r="L68" s="51">
        <f t="shared" si="21"/>
        <v>929973</v>
      </c>
      <c r="M68" s="52"/>
      <c r="N68" s="53"/>
    </row>
    <row r="69" spans="1:15">
      <c r="A69" s="176"/>
      <c r="B69" s="188"/>
      <c r="C69" s="50" t="s">
        <v>18</v>
      </c>
      <c r="D69" s="51">
        <f t="shared" ref="D69:L69" si="22">D55+D58+D66</f>
        <v>13890652.74</v>
      </c>
      <c r="E69" s="51">
        <f t="shared" si="22"/>
        <v>1222766.3800000001</v>
      </c>
      <c r="F69" s="51">
        <f t="shared" si="22"/>
        <v>15113419.120000001</v>
      </c>
      <c r="G69" s="51">
        <f t="shared" si="22"/>
        <v>871753</v>
      </c>
      <c r="H69" s="51">
        <f t="shared" si="22"/>
        <v>0</v>
      </c>
      <c r="I69" s="51">
        <f t="shared" si="22"/>
        <v>0</v>
      </c>
      <c r="J69" s="51">
        <f t="shared" si="22"/>
        <v>0</v>
      </c>
      <c r="K69" s="51">
        <f t="shared" si="22"/>
        <v>15985172.120000001</v>
      </c>
      <c r="L69" s="51">
        <f t="shared" si="22"/>
        <v>649110</v>
      </c>
      <c r="M69" s="52"/>
      <c r="N69" s="53"/>
    </row>
    <row r="70" spans="1:15">
      <c r="A70" s="176"/>
      <c r="B70" s="187" t="s">
        <v>45</v>
      </c>
      <c r="C70" s="61" t="s">
        <v>16</v>
      </c>
      <c r="D70" s="62">
        <f t="shared" ref="D70:L70" si="23">D46+D67</f>
        <v>27804849.240000002</v>
      </c>
      <c r="E70" s="62">
        <f t="shared" si="23"/>
        <v>2316824.5300000003</v>
      </c>
      <c r="F70" s="62">
        <f t="shared" si="23"/>
        <v>30121673.769999996</v>
      </c>
      <c r="G70" s="62">
        <f t="shared" si="23"/>
        <v>1887446</v>
      </c>
      <c r="H70" s="62">
        <f t="shared" si="23"/>
        <v>0</v>
      </c>
      <c r="I70" s="62">
        <f t="shared" si="23"/>
        <v>0</v>
      </c>
      <c r="J70" s="62">
        <f t="shared" si="23"/>
        <v>0</v>
      </c>
      <c r="K70" s="62">
        <f t="shared" si="23"/>
        <v>32009119.77</v>
      </c>
      <c r="L70" s="62">
        <f t="shared" si="23"/>
        <v>1513217.51</v>
      </c>
      <c r="M70" s="63"/>
      <c r="N70" s="64"/>
    </row>
    <row r="71" spans="1:15">
      <c r="A71" s="176"/>
      <c r="B71" s="188"/>
      <c r="C71" s="61" t="s">
        <v>17</v>
      </c>
      <c r="D71" s="62">
        <f>D60+D65</f>
        <v>27060081.710000001</v>
      </c>
      <c r="E71" s="62">
        <f t="shared" ref="E71:L71" si="24">E60+E65</f>
        <v>2314654.96</v>
      </c>
      <c r="F71" s="62">
        <f t="shared" si="24"/>
        <v>29374736.670000002</v>
      </c>
      <c r="G71" s="62">
        <f t="shared" si="24"/>
        <v>1796546</v>
      </c>
      <c r="H71" s="62">
        <f t="shared" si="24"/>
        <v>0</v>
      </c>
      <c r="I71" s="62">
        <f t="shared" si="24"/>
        <v>0</v>
      </c>
      <c r="J71" s="62">
        <f t="shared" si="24"/>
        <v>0</v>
      </c>
      <c r="K71" s="62">
        <f t="shared" si="24"/>
        <v>31171282.670000002</v>
      </c>
      <c r="L71" s="62">
        <f t="shared" si="24"/>
        <v>1794078</v>
      </c>
      <c r="M71" s="63"/>
      <c r="N71" s="64"/>
    </row>
    <row r="72" spans="1:15">
      <c r="A72" s="176"/>
      <c r="B72" s="188"/>
      <c r="C72" s="61" t="s">
        <v>18</v>
      </c>
      <c r="D72" s="62">
        <f>D63+D66</f>
        <v>27060081.710000001</v>
      </c>
      <c r="E72" s="62">
        <f t="shared" ref="E72:M72" si="25">E63+E66</f>
        <v>2314654.96</v>
      </c>
      <c r="F72" s="62">
        <f t="shared" si="25"/>
        <v>29328510.52</v>
      </c>
      <c r="G72" s="62">
        <f t="shared" si="25"/>
        <v>1796546</v>
      </c>
      <c r="H72" s="62">
        <f t="shared" si="25"/>
        <v>0</v>
      </c>
      <c r="I72" s="62">
        <f t="shared" si="25"/>
        <v>0</v>
      </c>
      <c r="J72" s="62">
        <f t="shared" si="25"/>
        <v>0</v>
      </c>
      <c r="K72" s="62">
        <f t="shared" si="25"/>
        <v>31125056.52</v>
      </c>
      <c r="L72" s="62">
        <f t="shared" si="25"/>
        <v>1513215</v>
      </c>
      <c r="M72" s="62">
        <f t="shared" si="25"/>
        <v>0</v>
      </c>
      <c r="N72" s="64"/>
    </row>
    <row r="73" spans="1:15">
      <c r="A73" s="177"/>
      <c r="B73" s="189" t="s">
        <v>46</v>
      </c>
      <c r="C73" s="65" t="s">
        <v>16</v>
      </c>
      <c r="D73" s="66">
        <f t="shared" ref="D73:L73" si="26">D31+D70</f>
        <v>54453320.480000004</v>
      </c>
      <c r="E73" s="66">
        <f t="shared" si="26"/>
        <v>4912952.25</v>
      </c>
      <c r="F73" s="66">
        <f t="shared" si="26"/>
        <v>59366272.729999989</v>
      </c>
      <c r="G73" s="66">
        <f t="shared" si="26"/>
        <v>3798827.4</v>
      </c>
      <c r="H73" s="66">
        <f t="shared" si="26"/>
        <v>526213.68999999994</v>
      </c>
      <c r="I73" s="66">
        <f t="shared" si="26"/>
        <v>0</v>
      </c>
      <c r="J73" s="66">
        <f t="shared" si="26"/>
        <v>0</v>
      </c>
      <c r="K73" s="66">
        <f t="shared" si="26"/>
        <v>63691313.819999993</v>
      </c>
      <c r="L73" s="66">
        <f t="shared" si="26"/>
        <v>3434840.51</v>
      </c>
      <c r="M73" s="67"/>
      <c r="N73" s="68"/>
    </row>
    <row r="74" spans="1:15">
      <c r="A74" s="177"/>
      <c r="B74" s="189"/>
      <c r="C74" s="65" t="s">
        <v>17</v>
      </c>
      <c r="D74" s="66">
        <f t="shared" ref="D74:L74" si="27">D34+D71</f>
        <v>53708552.950000003</v>
      </c>
      <c r="E74" s="66">
        <f t="shared" si="27"/>
        <v>4910782.68</v>
      </c>
      <c r="F74" s="66">
        <f t="shared" si="27"/>
        <v>58619335.629999995</v>
      </c>
      <c r="G74" s="66">
        <f t="shared" si="27"/>
        <v>3707927.4</v>
      </c>
      <c r="H74" s="66">
        <f t="shared" si="27"/>
        <v>526213.68999999994</v>
      </c>
      <c r="I74" s="66">
        <f t="shared" si="27"/>
        <v>0</v>
      </c>
      <c r="J74" s="66">
        <f t="shared" si="27"/>
        <v>0</v>
      </c>
      <c r="K74" s="66">
        <f t="shared" si="27"/>
        <v>62853476.719999999</v>
      </c>
      <c r="L74" s="66">
        <f t="shared" si="27"/>
        <v>3715701</v>
      </c>
      <c r="M74" s="69"/>
      <c r="N74" s="68"/>
    </row>
    <row r="75" spans="1:15">
      <c r="A75" s="177"/>
      <c r="B75" s="189"/>
      <c r="C75" s="65" t="s">
        <v>41</v>
      </c>
      <c r="D75" s="66">
        <f>D60+D34+D65</f>
        <v>53708552.950000003</v>
      </c>
      <c r="E75" s="66">
        <f t="shared" ref="E75:N75" si="28">E60+E34+E65</f>
        <v>4910782.6800000006</v>
      </c>
      <c r="F75" s="66">
        <f t="shared" si="28"/>
        <v>58619335.629999995</v>
      </c>
      <c r="G75" s="66">
        <f t="shared" si="28"/>
        <v>3707927.4</v>
      </c>
      <c r="H75" s="66">
        <f t="shared" si="28"/>
        <v>526213.68999999994</v>
      </c>
      <c r="I75" s="66">
        <f t="shared" si="28"/>
        <v>0</v>
      </c>
      <c r="J75" s="66">
        <f t="shared" si="28"/>
        <v>0</v>
      </c>
      <c r="K75" s="66">
        <f t="shared" si="28"/>
        <v>62853476.719999999</v>
      </c>
      <c r="L75" s="66">
        <f t="shared" si="28"/>
        <v>3715701</v>
      </c>
      <c r="M75" s="66">
        <f t="shared" si="28"/>
        <v>0</v>
      </c>
      <c r="N75" s="66">
        <f t="shared" si="28"/>
        <v>0</v>
      </c>
      <c r="O75" s="18"/>
    </row>
    <row r="76" spans="1:15">
      <c r="A76" s="177"/>
      <c r="B76" s="189"/>
      <c r="C76" s="70" t="s">
        <v>18</v>
      </c>
      <c r="D76" s="66">
        <f t="shared" ref="D76:L76" si="29">D36+D72</f>
        <v>53708552.950000003</v>
      </c>
      <c r="E76" s="66">
        <f t="shared" si="29"/>
        <v>4910782.68</v>
      </c>
      <c r="F76" s="66">
        <f>D76+E76</f>
        <v>58619335.630000003</v>
      </c>
      <c r="G76" s="66">
        <f t="shared" si="29"/>
        <v>3707927.4</v>
      </c>
      <c r="H76" s="66">
        <f t="shared" si="29"/>
        <v>526213.68999999994</v>
      </c>
      <c r="I76" s="66">
        <f t="shared" si="29"/>
        <v>0</v>
      </c>
      <c r="J76" s="66">
        <f t="shared" si="29"/>
        <v>0</v>
      </c>
      <c r="K76" s="66">
        <f>F76+G76+H76</f>
        <v>62853476.719999999</v>
      </c>
      <c r="L76" s="66">
        <f t="shared" si="29"/>
        <v>3434838</v>
      </c>
      <c r="M76" s="67"/>
      <c r="N76" s="71"/>
      <c r="O76" s="18"/>
    </row>
    <row r="77" spans="1:15">
      <c r="A77" s="190" t="s">
        <v>47</v>
      </c>
      <c r="B77" s="178" t="s">
        <v>15</v>
      </c>
      <c r="C77" s="14" t="s">
        <v>16</v>
      </c>
      <c r="D77" s="15">
        <v>3642291.81</v>
      </c>
      <c r="E77" s="15">
        <f>535256.86-307245.16</f>
        <v>228011.7</v>
      </c>
      <c r="F77" s="16">
        <f t="shared" ref="F77:F85" si="30">D77+E77</f>
        <v>3870303.5100000002</v>
      </c>
      <c r="G77" s="15">
        <f>362930.75-143834.63</f>
        <v>219096.12</v>
      </c>
      <c r="H77" s="15">
        <v>0</v>
      </c>
      <c r="I77" s="15">
        <v>0</v>
      </c>
      <c r="J77" s="15">
        <v>0</v>
      </c>
      <c r="K77" s="16">
        <f t="shared" ref="K77:K85" si="31">J77+I77+H77+G77+E77+D77</f>
        <v>4089399.63</v>
      </c>
      <c r="L77" s="17">
        <f>194033+44909</f>
        <v>238942</v>
      </c>
      <c r="N77" s="72">
        <v>7107</v>
      </c>
      <c r="O77" s="73"/>
    </row>
    <row r="78" spans="1:15">
      <c r="A78" s="191"/>
      <c r="B78" s="178"/>
      <c r="C78" s="20" t="s">
        <v>17</v>
      </c>
      <c r="D78" s="21">
        <v>4333179.46</v>
      </c>
      <c r="E78" s="21">
        <v>228011.7</v>
      </c>
      <c r="F78" s="21">
        <f t="shared" si="30"/>
        <v>4561191.16</v>
      </c>
      <c r="G78" s="21">
        <v>219096.12</v>
      </c>
      <c r="H78" s="22">
        <v>0</v>
      </c>
      <c r="I78" s="22">
        <v>0</v>
      </c>
      <c r="J78" s="22">
        <v>0</v>
      </c>
      <c r="K78" s="21">
        <f t="shared" si="31"/>
        <v>4780287.28</v>
      </c>
      <c r="L78" s="23">
        <v>238942</v>
      </c>
      <c r="N78" s="72">
        <v>7107</v>
      </c>
    </row>
    <row r="79" spans="1:15">
      <c r="A79" s="191"/>
      <c r="B79" s="178"/>
      <c r="C79" s="25" t="s">
        <v>18</v>
      </c>
      <c r="D79" s="26">
        <v>3642071.06</v>
      </c>
      <c r="E79" s="26">
        <v>228011.7</v>
      </c>
      <c r="F79" s="26">
        <f t="shared" si="30"/>
        <v>3870082.7600000002</v>
      </c>
      <c r="G79" s="26">
        <v>219096.12</v>
      </c>
      <c r="H79" s="27">
        <v>0</v>
      </c>
      <c r="I79" s="27">
        <v>0</v>
      </c>
      <c r="J79" s="27">
        <v>0</v>
      </c>
      <c r="K79" s="26">
        <f t="shared" si="31"/>
        <v>4089178.88</v>
      </c>
      <c r="L79" s="28">
        <v>238942</v>
      </c>
      <c r="N79" s="72">
        <v>7107</v>
      </c>
    </row>
    <row r="80" spans="1:15">
      <c r="A80" s="191"/>
      <c r="B80" s="179" t="s">
        <v>20</v>
      </c>
      <c r="C80" s="20" t="s">
        <v>16</v>
      </c>
      <c r="D80" s="22">
        <f>3494353.72</f>
        <v>3494353.72</v>
      </c>
      <c r="E80" s="22">
        <f>535256.86-321281.64</f>
        <v>213975.21999999997</v>
      </c>
      <c r="F80" s="21">
        <f t="shared" si="30"/>
        <v>3708328.9400000004</v>
      </c>
      <c r="G80" s="22">
        <f>362930.75-60738.28</f>
        <v>302192.46999999997</v>
      </c>
      <c r="H80" s="22">
        <v>0</v>
      </c>
      <c r="I80" s="22">
        <v>0</v>
      </c>
      <c r="J80" s="30">
        <v>0</v>
      </c>
      <c r="K80" s="21">
        <f t="shared" si="31"/>
        <v>4010521.41</v>
      </c>
      <c r="L80" s="23">
        <v>215259</v>
      </c>
      <c r="N80" s="72">
        <v>0</v>
      </c>
    </row>
    <row r="81" spans="1:14">
      <c r="A81" s="191"/>
      <c r="B81" s="178"/>
      <c r="C81" s="20" t="s">
        <v>17</v>
      </c>
      <c r="D81" s="21">
        <v>3999804.35</v>
      </c>
      <c r="E81" s="21">
        <v>213975.22</v>
      </c>
      <c r="F81" s="21">
        <f t="shared" si="30"/>
        <v>4213779.57</v>
      </c>
      <c r="G81" s="21">
        <v>302192.46999999997</v>
      </c>
      <c r="H81" s="22">
        <v>0</v>
      </c>
      <c r="I81" s="22">
        <v>0</v>
      </c>
      <c r="J81" s="30">
        <v>0</v>
      </c>
      <c r="K81" s="21">
        <f t="shared" si="31"/>
        <v>4515972.04</v>
      </c>
      <c r="L81" s="23">
        <v>215259</v>
      </c>
      <c r="N81" s="72">
        <v>0</v>
      </c>
    </row>
    <row r="82" spans="1:14">
      <c r="A82" s="191"/>
      <c r="B82" s="178"/>
      <c r="C82" s="25" t="s">
        <v>18</v>
      </c>
      <c r="D82" s="26">
        <v>3494295.4</v>
      </c>
      <c r="E82" s="26">
        <v>213975.22</v>
      </c>
      <c r="F82" s="26">
        <f t="shared" si="30"/>
        <v>3708270.62</v>
      </c>
      <c r="G82" s="26">
        <v>302192.46999999997</v>
      </c>
      <c r="H82" s="27">
        <v>0</v>
      </c>
      <c r="I82" s="27">
        <v>0</v>
      </c>
      <c r="J82" s="27">
        <v>0</v>
      </c>
      <c r="K82" s="26">
        <f t="shared" si="31"/>
        <v>4010463.09</v>
      </c>
      <c r="L82" s="28">
        <v>215259</v>
      </c>
      <c r="M82" s="18"/>
      <c r="N82" s="72">
        <v>0</v>
      </c>
    </row>
    <row r="83" spans="1:14">
      <c r="A83" s="191"/>
      <c r="B83" s="179" t="s">
        <v>22</v>
      </c>
      <c r="C83" s="20" t="s">
        <v>16</v>
      </c>
      <c r="D83" s="22">
        <f>3494323.73</f>
        <v>3494323.73</v>
      </c>
      <c r="E83" s="22">
        <f>535256.86-282703.58</f>
        <v>252553.27999999997</v>
      </c>
      <c r="F83" s="21">
        <f t="shared" si="30"/>
        <v>3746877.01</v>
      </c>
      <c r="G83" s="22">
        <f>362127.42-15067.2</f>
        <v>347060.22</v>
      </c>
      <c r="H83" s="22">
        <v>0</v>
      </c>
      <c r="I83" s="22">
        <v>0</v>
      </c>
      <c r="J83" s="30">
        <v>0</v>
      </c>
      <c r="K83" s="21">
        <f t="shared" si="31"/>
        <v>4093937.23</v>
      </c>
      <c r="L83" s="23">
        <v>210914</v>
      </c>
      <c r="N83" s="72">
        <v>0</v>
      </c>
    </row>
    <row r="84" spans="1:14">
      <c r="A84" s="191"/>
      <c r="B84" s="178"/>
      <c r="C84" s="20" t="s">
        <v>17</v>
      </c>
      <c r="D84" s="21">
        <v>4358426.97</v>
      </c>
      <c r="E84" s="21">
        <v>266024.88</v>
      </c>
      <c r="F84" s="21">
        <f t="shared" si="30"/>
        <v>4624451.8499999996</v>
      </c>
      <c r="G84" s="21">
        <v>347336.3</v>
      </c>
      <c r="H84" s="22">
        <v>0</v>
      </c>
      <c r="I84" s="22">
        <v>0</v>
      </c>
      <c r="J84" s="30">
        <v>0</v>
      </c>
      <c r="K84" s="21">
        <f t="shared" si="31"/>
        <v>4971788.1499999994</v>
      </c>
      <c r="L84" s="23">
        <v>210914</v>
      </c>
      <c r="N84" s="72">
        <v>0</v>
      </c>
    </row>
    <row r="85" spans="1:14">
      <c r="A85" s="191"/>
      <c r="B85" s="178"/>
      <c r="C85" s="25" t="s">
        <v>18</v>
      </c>
      <c r="D85" s="26">
        <v>3494169.28</v>
      </c>
      <c r="E85" s="26">
        <v>266024.88</v>
      </c>
      <c r="F85" s="26">
        <f t="shared" si="30"/>
        <v>3760194.1599999997</v>
      </c>
      <c r="G85" s="26">
        <v>347336.3</v>
      </c>
      <c r="H85" s="27">
        <v>0</v>
      </c>
      <c r="I85" s="27">
        <v>0</v>
      </c>
      <c r="J85" s="27">
        <v>0</v>
      </c>
      <c r="K85" s="26">
        <f t="shared" si="31"/>
        <v>4107530.46</v>
      </c>
      <c r="L85" s="28">
        <v>210914</v>
      </c>
      <c r="N85" s="72">
        <v>0</v>
      </c>
    </row>
    <row r="86" spans="1:14">
      <c r="A86" s="191"/>
      <c r="B86" s="184" t="s">
        <v>23</v>
      </c>
      <c r="C86" s="20" t="s">
        <v>16</v>
      </c>
      <c r="D86" s="21">
        <f t="shared" ref="D86:G88" si="32">D83+D80+D77</f>
        <v>10630969.26</v>
      </c>
      <c r="E86" s="21">
        <f t="shared" si="32"/>
        <v>694540.2</v>
      </c>
      <c r="F86" s="21">
        <f t="shared" si="32"/>
        <v>11325509.460000001</v>
      </c>
      <c r="G86" s="21">
        <f t="shared" si="32"/>
        <v>868348.80999999994</v>
      </c>
      <c r="H86" s="21">
        <v>191843.67</v>
      </c>
      <c r="I86" s="21">
        <f t="shared" ref="I86:K88" si="33">I83+I80+I77</f>
        <v>0</v>
      </c>
      <c r="J86" s="21">
        <f t="shared" si="33"/>
        <v>0</v>
      </c>
      <c r="K86" s="21">
        <f t="shared" si="33"/>
        <v>12193858.27</v>
      </c>
      <c r="L86" s="23">
        <f>L83+L80+L77+7315</f>
        <v>672430</v>
      </c>
      <c r="M86" s="74">
        <f>M83+M80+M77+7315</f>
        <v>7315</v>
      </c>
      <c r="N86" s="72">
        <f>N83+N80+N77</f>
        <v>7107</v>
      </c>
    </row>
    <row r="87" spans="1:14">
      <c r="A87" s="191"/>
      <c r="B87" s="184"/>
      <c r="C87" s="20" t="s">
        <v>17</v>
      </c>
      <c r="D87" s="21">
        <f t="shared" si="32"/>
        <v>12691410.780000001</v>
      </c>
      <c r="E87" s="21">
        <f t="shared" si="32"/>
        <v>708011.8</v>
      </c>
      <c r="F87" s="21">
        <f t="shared" si="32"/>
        <v>13399422.58</v>
      </c>
      <c r="G87" s="21">
        <f t="shared" si="32"/>
        <v>868624.89</v>
      </c>
      <c r="H87" s="21">
        <v>191843.67</v>
      </c>
      <c r="I87" s="21">
        <f t="shared" si="33"/>
        <v>0</v>
      </c>
      <c r="J87" s="21">
        <f t="shared" si="33"/>
        <v>0</v>
      </c>
      <c r="K87" s="21">
        <f t="shared" si="33"/>
        <v>14268047.469999999</v>
      </c>
      <c r="L87" s="23">
        <f>L84+L81+L78</f>
        <v>665115</v>
      </c>
      <c r="N87" s="72">
        <f>N84+N81+N78</f>
        <v>7107</v>
      </c>
    </row>
    <row r="88" spans="1:14">
      <c r="A88" s="191"/>
      <c r="B88" s="184"/>
      <c r="C88" s="25" t="s">
        <v>18</v>
      </c>
      <c r="D88" s="26">
        <f t="shared" si="32"/>
        <v>10630535.74</v>
      </c>
      <c r="E88" s="26">
        <f t="shared" si="32"/>
        <v>708011.8</v>
      </c>
      <c r="F88" s="26">
        <f t="shared" si="32"/>
        <v>11338547.539999999</v>
      </c>
      <c r="G88" s="26">
        <f t="shared" si="32"/>
        <v>868624.89</v>
      </c>
      <c r="H88" s="26">
        <v>191843.67</v>
      </c>
      <c r="I88" s="26">
        <f t="shared" si="33"/>
        <v>0</v>
      </c>
      <c r="J88" s="26">
        <f t="shared" si="33"/>
        <v>0</v>
      </c>
      <c r="K88" s="26">
        <f t="shared" si="33"/>
        <v>12207172.43</v>
      </c>
      <c r="L88" s="28">
        <f>L85+L82+L79</f>
        <v>665115</v>
      </c>
      <c r="N88" s="72">
        <f>N85+N82+N79</f>
        <v>7107</v>
      </c>
    </row>
    <row r="89" spans="1:14">
      <c r="A89" s="191"/>
      <c r="B89" s="184"/>
      <c r="C89" s="75" t="s">
        <v>41</v>
      </c>
      <c r="D89" s="76">
        <v>12724618.779999999</v>
      </c>
      <c r="E89" s="76">
        <v>694540.21</v>
      </c>
      <c r="F89" s="76">
        <f>D89+E89</f>
        <v>13419158.989999998</v>
      </c>
      <c r="G89" s="76">
        <v>868348.81</v>
      </c>
      <c r="H89" s="51"/>
      <c r="I89" s="76">
        <f>I91+I90</f>
        <v>0</v>
      </c>
      <c r="J89" s="76">
        <f>J91+J90</f>
        <v>0</v>
      </c>
      <c r="K89" s="76">
        <f>F89+G89</f>
        <v>14287507.799999999</v>
      </c>
      <c r="L89" s="76">
        <f>L91</f>
        <v>672430</v>
      </c>
      <c r="M89" s="77">
        <f>M91</f>
        <v>0</v>
      </c>
      <c r="N89" s="78">
        <v>7107</v>
      </c>
    </row>
    <row r="90" spans="1:14">
      <c r="A90" s="191"/>
      <c r="B90" s="184"/>
      <c r="C90" s="79" t="s">
        <v>48</v>
      </c>
      <c r="D90" s="80">
        <v>154.94999999999999</v>
      </c>
      <c r="E90" s="80">
        <v>-13471.6</v>
      </c>
      <c r="F90" s="80">
        <f>D90+E90</f>
        <v>-13316.65</v>
      </c>
      <c r="G90" s="80">
        <v>-276.08</v>
      </c>
      <c r="H90" s="80"/>
      <c r="I90" s="80"/>
      <c r="J90" s="80"/>
      <c r="K90" s="80">
        <f>F90+G90</f>
        <v>-13592.73</v>
      </c>
      <c r="L90" s="80">
        <v>7315</v>
      </c>
      <c r="M90" s="81"/>
      <c r="N90" s="78">
        <v>7107</v>
      </c>
    </row>
    <row r="91" spans="1:14">
      <c r="A91" s="191"/>
      <c r="B91" s="184"/>
      <c r="C91" s="79" t="s">
        <v>26</v>
      </c>
      <c r="D91" s="80">
        <f>D88+D90</f>
        <v>10630690.689999999</v>
      </c>
      <c r="E91" s="80">
        <f t="shared" ref="E91:N91" si="34">E88+E90</f>
        <v>694540.20000000007</v>
      </c>
      <c r="F91" s="80">
        <f>F88+F90</f>
        <v>11325230.889999999</v>
      </c>
      <c r="G91" s="80">
        <f t="shared" si="34"/>
        <v>868348.81</v>
      </c>
      <c r="H91" s="51">
        <v>191843.67</v>
      </c>
      <c r="I91" s="80">
        <f t="shared" si="34"/>
        <v>0</v>
      </c>
      <c r="J91" s="80">
        <f t="shared" si="34"/>
        <v>0</v>
      </c>
      <c r="K91" s="80">
        <f t="shared" si="34"/>
        <v>12193579.699999999</v>
      </c>
      <c r="L91" s="80">
        <f t="shared" si="34"/>
        <v>672430</v>
      </c>
      <c r="M91" s="82">
        <f t="shared" si="34"/>
        <v>0</v>
      </c>
      <c r="N91" s="78">
        <f t="shared" si="34"/>
        <v>14214</v>
      </c>
    </row>
    <row r="92" spans="1:14">
      <c r="A92" s="192"/>
      <c r="B92" s="182" t="s">
        <v>28</v>
      </c>
      <c r="C92" s="49" t="s">
        <v>16</v>
      </c>
      <c r="D92" s="22">
        <f>3494323.73</f>
        <v>3494323.73</v>
      </c>
      <c r="E92" s="22">
        <f>535256.86-313175.58</f>
        <v>222081.27999999997</v>
      </c>
      <c r="F92" s="22">
        <f>D92+E92</f>
        <v>3716405.01</v>
      </c>
      <c r="G92" s="15">
        <f>362930.75</f>
        <v>362930.75</v>
      </c>
      <c r="H92" s="22">
        <v>0</v>
      </c>
      <c r="I92" s="22">
        <v>0</v>
      </c>
      <c r="J92" s="22">
        <v>0</v>
      </c>
      <c r="K92" s="22">
        <f>J92+I92+H92+G92+E92+D92</f>
        <v>4079335.76</v>
      </c>
      <c r="L92" s="22">
        <f>197200.14+11678.86</f>
        <v>208879</v>
      </c>
      <c r="N92" s="24"/>
    </row>
    <row r="93" spans="1:14">
      <c r="A93" s="192"/>
      <c r="B93" s="183"/>
      <c r="C93" s="49" t="s">
        <v>17</v>
      </c>
      <c r="D93" s="22">
        <v>3685397.61</v>
      </c>
      <c r="E93" s="22">
        <v>222081.28</v>
      </c>
      <c r="F93" s="22">
        <f>D93+E93</f>
        <v>3907478.8899999997</v>
      </c>
      <c r="G93" s="22">
        <v>272068.07</v>
      </c>
      <c r="H93" s="22">
        <v>0</v>
      </c>
      <c r="I93" s="22">
        <v>0</v>
      </c>
      <c r="J93" s="22">
        <v>0</v>
      </c>
      <c r="K93" s="22">
        <f>J93+I93+H93+G93+E93+D93</f>
        <v>4179546.96</v>
      </c>
      <c r="L93" s="22">
        <v>208879</v>
      </c>
      <c r="N93" s="24"/>
    </row>
    <row r="94" spans="1:14">
      <c r="A94" s="192"/>
      <c r="B94" s="183"/>
      <c r="C94" s="83" t="s">
        <v>18</v>
      </c>
      <c r="D94" s="22">
        <v>3494322.41</v>
      </c>
      <c r="E94" s="22">
        <v>222081.28</v>
      </c>
      <c r="F94" s="22">
        <f>D94+E94</f>
        <v>3716403.69</v>
      </c>
      <c r="G94" s="22">
        <v>272068.07</v>
      </c>
      <c r="H94" s="22">
        <v>0</v>
      </c>
      <c r="I94" s="22">
        <v>0</v>
      </c>
      <c r="J94" s="22">
        <v>0</v>
      </c>
      <c r="K94" s="22">
        <f>J94+I94+H94+G94+E94+D94</f>
        <v>3988471.7600000002</v>
      </c>
      <c r="L94" s="22">
        <v>208879</v>
      </c>
      <c r="N94" s="24"/>
    </row>
    <row r="95" spans="1:14">
      <c r="A95" s="192"/>
      <c r="B95" s="196"/>
      <c r="C95" s="49" t="s">
        <v>19</v>
      </c>
      <c r="D95" s="22">
        <f>D92-D94</f>
        <v>1.3199999998323619</v>
      </c>
      <c r="E95" s="22">
        <f t="shared" ref="E95:L95" si="35">E92-E94</f>
        <v>0</v>
      </c>
      <c r="F95" s="22">
        <f t="shared" si="35"/>
        <v>1.3199999998323619</v>
      </c>
      <c r="G95" s="22">
        <f t="shared" si="35"/>
        <v>90862.68</v>
      </c>
      <c r="H95" s="22">
        <f t="shared" si="35"/>
        <v>0</v>
      </c>
      <c r="I95" s="22">
        <f t="shared" si="35"/>
        <v>0</v>
      </c>
      <c r="J95" s="22">
        <f t="shared" si="35"/>
        <v>0</v>
      </c>
      <c r="K95" s="22">
        <f t="shared" si="35"/>
        <v>90863.999999999534</v>
      </c>
      <c r="L95" s="22">
        <f t="shared" si="35"/>
        <v>0</v>
      </c>
      <c r="N95" s="24"/>
    </row>
    <row r="96" spans="1:14">
      <c r="A96" s="192"/>
      <c r="B96" s="182" t="s">
        <v>29</v>
      </c>
      <c r="C96" s="49" t="s">
        <v>16</v>
      </c>
      <c r="D96" s="22">
        <f>3494323.73</f>
        <v>3494323.73</v>
      </c>
      <c r="E96" s="22">
        <f>535256.86-260765.9</f>
        <v>274490.95999999996</v>
      </c>
      <c r="F96" s="22">
        <f>D96+E96</f>
        <v>3768814.69</v>
      </c>
      <c r="G96" s="15">
        <v>362930.75</v>
      </c>
      <c r="H96" s="22">
        <v>0</v>
      </c>
      <c r="I96" s="22">
        <v>0</v>
      </c>
      <c r="J96" s="22">
        <v>0</v>
      </c>
      <c r="K96" s="22">
        <f>J96+I96+H96+G96+E96+D96</f>
        <v>4131745.44</v>
      </c>
      <c r="L96" s="22">
        <f>197200.14+34063.86</f>
        <v>231264</v>
      </c>
      <c r="N96" s="24">
        <v>4007.99</v>
      </c>
    </row>
    <row r="97" spans="1:14">
      <c r="A97" s="192"/>
      <c r="B97" s="183"/>
      <c r="C97" s="49" t="s">
        <v>17</v>
      </c>
      <c r="D97" s="22">
        <v>4627413.25</v>
      </c>
      <c r="E97" s="22">
        <v>274490.96000000002</v>
      </c>
      <c r="F97" s="22">
        <f>D97+E97</f>
        <v>4901904.21</v>
      </c>
      <c r="G97" s="84">
        <v>378739.96</v>
      </c>
      <c r="H97" s="22">
        <v>0</v>
      </c>
      <c r="I97" s="22">
        <v>0</v>
      </c>
      <c r="J97" s="22">
        <v>0</v>
      </c>
      <c r="K97" s="22">
        <f>J97+I97+H97+G97+E97+D97</f>
        <v>5280644.17</v>
      </c>
      <c r="L97" s="85">
        <v>231264</v>
      </c>
      <c r="N97" s="24">
        <v>4007.99</v>
      </c>
    </row>
    <row r="98" spans="1:14">
      <c r="A98" s="192"/>
      <c r="B98" s="183"/>
      <c r="C98" s="83" t="s">
        <v>18</v>
      </c>
      <c r="D98" s="22">
        <v>3494199.36</v>
      </c>
      <c r="E98" s="22">
        <v>274490.96000000002</v>
      </c>
      <c r="F98" s="22">
        <f>D98+E98</f>
        <v>3768690.32</v>
      </c>
      <c r="G98" s="22">
        <v>362919.54</v>
      </c>
      <c r="H98" s="22">
        <v>0</v>
      </c>
      <c r="I98" s="22">
        <v>0</v>
      </c>
      <c r="J98" s="22">
        <v>0</v>
      </c>
      <c r="K98" s="22">
        <f>J98+I98+H98+G98+E98+D98</f>
        <v>4131609.86</v>
      </c>
      <c r="L98" s="22">
        <v>231264</v>
      </c>
      <c r="N98" s="24">
        <v>4007.99</v>
      </c>
    </row>
    <row r="99" spans="1:14">
      <c r="A99" s="192"/>
      <c r="B99" s="196"/>
      <c r="C99" s="49" t="s">
        <v>19</v>
      </c>
      <c r="D99" s="22">
        <f>D96-D98</f>
        <v>124.37000000011176</v>
      </c>
      <c r="E99" s="22">
        <f t="shared" ref="E99:L99" si="36">E96-E98</f>
        <v>0</v>
      </c>
      <c r="F99" s="22">
        <f t="shared" si="36"/>
        <v>124.37000000011176</v>
      </c>
      <c r="G99" s="22">
        <f t="shared" si="36"/>
        <v>11.210000000020955</v>
      </c>
      <c r="H99" s="22">
        <f t="shared" si="36"/>
        <v>0</v>
      </c>
      <c r="I99" s="22">
        <f t="shared" si="36"/>
        <v>0</v>
      </c>
      <c r="J99" s="22">
        <f t="shared" si="36"/>
        <v>0</v>
      </c>
      <c r="K99" s="22">
        <f t="shared" si="36"/>
        <v>135.58000000007451</v>
      </c>
      <c r="L99" s="22">
        <f t="shared" si="36"/>
        <v>0</v>
      </c>
      <c r="N99" s="24"/>
    </row>
    <row r="100" spans="1:14">
      <c r="A100" s="192"/>
      <c r="B100" s="179" t="s">
        <v>30</v>
      </c>
      <c r="C100" s="49" t="s">
        <v>16</v>
      </c>
      <c r="D100" s="22">
        <f>3494323.73-105.14</f>
        <v>3494218.59</v>
      </c>
      <c r="E100" s="22">
        <f>535256.86-203071.79</f>
        <v>332185.06999999995</v>
      </c>
      <c r="F100" s="22">
        <f>D100+E100</f>
        <v>3826403.6599999997</v>
      </c>
      <c r="G100" s="15">
        <f>362930.75-118089.69</f>
        <v>244841.06</v>
      </c>
      <c r="H100" s="22">
        <v>0</v>
      </c>
      <c r="I100" s="22">
        <v>0</v>
      </c>
      <c r="J100" s="22">
        <v>0</v>
      </c>
      <c r="K100" s="22">
        <f>J100+I100+H100+G100+E100+D100</f>
        <v>4071244.7199999997</v>
      </c>
      <c r="L100" s="22">
        <f>224862+14245</f>
        <v>239107</v>
      </c>
      <c r="N100" s="24">
        <v>2409.04</v>
      </c>
    </row>
    <row r="101" spans="1:14">
      <c r="A101" s="192"/>
      <c r="B101" s="178"/>
      <c r="C101" s="49" t="s">
        <v>17</v>
      </c>
      <c r="D101" s="22">
        <v>3538911.38</v>
      </c>
      <c r="E101" s="22">
        <v>311242.26</v>
      </c>
      <c r="F101" s="22">
        <f>SUM(D101:E101)</f>
        <v>3850153.6399999997</v>
      </c>
      <c r="G101" s="22">
        <f>322874.55</f>
        <v>322874.55</v>
      </c>
      <c r="H101" s="22">
        <v>0</v>
      </c>
      <c r="I101" s="22">
        <v>0</v>
      </c>
      <c r="J101" s="22">
        <v>0</v>
      </c>
      <c r="K101" s="22">
        <f>J101+I101+H101+G101+E101+D101</f>
        <v>4173028.19</v>
      </c>
      <c r="L101" s="22">
        <f>224862</f>
        <v>224862</v>
      </c>
      <c r="N101" s="24">
        <v>2409.04</v>
      </c>
    </row>
    <row r="102" spans="1:14">
      <c r="A102" s="192"/>
      <c r="B102" s="178"/>
      <c r="C102" s="83" t="s">
        <v>18</v>
      </c>
      <c r="D102" s="22">
        <v>3493652.64</v>
      </c>
      <c r="E102" s="22">
        <v>311242.26</v>
      </c>
      <c r="F102" s="22">
        <f>SUM(D102:E102)</f>
        <v>3804894.9000000004</v>
      </c>
      <c r="G102" s="22">
        <v>322874.55</v>
      </c>
      <c r="H102" s="22">
        <v>0</v>
      </c>
      <c r="I102" s="22">
        <v>0</v>
      </c>
      <c r="J102" s="22">
        <v>0</v>
      </c>
      <c r="K102" s="22">
        <f>J102+I102+H102+G102+E102+D102</f>
        <v>4127769.45</v>
      </c>
      <c r="L102" s="22">
        <v>224862</v>
      </c>
      <c r="N102" s="24">
        <v>2409.04</v>
      </c>
    </row>
    <row r="103" spans="1:14">
      <c r="A103" s="192"/>
      <c r="B103" s="197"/>
      <c r="C103" s="49" t="s">
        <v>27</v>
      </c>
      <c r="D103" s="22">
        <f>D100-D102</f>
        <v>565.9499999997206</v>
      </c>
      <c r="E103" s="22">
        <f t="shared" ref="E103:L103" si="37">E100-E102</f>
        <v>20942.809999999939</v>
      </c>
      <c r="F103" s="22">
        <f t="shared" si="37"/>
        <v>21508.759999999311</v>
      </c>
      <c r="G103" s="22">
        <f t="shared" si="37"/>
        <v>-78033.489999999991</v>
      </c>
      <c r="H103" s="22">
        <f t="shared" si="37"/>
        <v>0</v>
      </c>
      <c r="I103" s="22">
        <f t="shared" si="37"/>
        <v>0</v>
      </c>
      <c r="J103" s="22">
        <f t="shared" si="37"/>
        <v>0</v>
      </c>
      <c r="K103" s="22">
        <f t="shared" si="37"/>
        <v>-56524.730000000447</v>
      </c>
      <c r="L103" s="22">
        <f t="shared" si="37"/>
        <v>14245</v>
      </c>
      <c r="N103" s="24"/>
    </row>
    <row r="104" spans="1:14">
      <c r="A104" s="192"/>
      <c r="B104" s="184" t="s">
        <v>31</v>
      </c>
      <c r="C104" s="49" t="s">
        <v>16</v>
      </c>
      <c r="D104" s="22">
        <f t="shared" ref="D104:J107" si="38">D100+D96+D92</f>
        <v>10482866.050000001</v>
      </c>
      <c r="E104" s="22">
        <f t="shared" si="38"/>
        <v>828757.30999999982</v>
      </c>
      <c r="F104" s="22">
        <f t="shared" si="38"/>
        <v>11311623.359999999</v>
      </c>
      <c r="G104" s="22">
        <f t="shared" si="38"/>
        <v>970702.56</v>
      </c>
      <c r="H104" s="22">
        <v>286822.64</v>
      </c>
      <c r="I104" s="22">
        <f t="shared" si="38"/>
        <v>0</v>
      </c>
      <c r="J104" s="22">
        <f t="shared" si="38"/>
        <v>0</v>
      </c>
      <c r="K104" s="22">
        <f>J104+I104+H104+G104+E104+D104</f>
        <v>12569148.560000001</v>
      </c>
      <c r="L104" s="22">
        <f>L100+L96+L92</f>
        <v>679250</v>
      </c>
      <c r="M104" s="86">
        <f>M100+M96+M92</f>
        <v>0</v>
      </c>
      <c r="N104" s="24">
        <f>N100+N96+N92</f>
        <v>6417.03</v>
      </c>
    </row>
    <row r="105" spans="1:14">
      <c r="A105" s="192"/>
      <c r="B105" s="184"/>
      <c r="C105" s="49" t="s">
        <v>17</v>
      </c>
      <c r="D105" s="22">
        <f t="shared" si="38"/>
        <v>11851722.24</v>
      </c>
      <c r="E105" s="22">
        <f t="shared" si="38"/>
        <v>807814.5</v>
      </c>
      <c r="F105" s="22">
        <f>D105+E105</f>
        <v>12659536.74</v>
      </c>
      <c r="G105" s="22">
        <f t="shared" si="38"/>
        <v>973682.58000000007</v>
      </c>
      <c r="H105" s="22">
        <v>286822.64</v>
      </c>
      <c r="I105" s="22">
        <f t="shared" si="38"/>
        <v>0</v>
      </c>
      <c r="J105" s="22">
        <f t="shared" si="38"/>
        <v>0</v>
      </c>
      <c r="K105" s="22">
        <f>J105+I105+H105+G105+E105+D105</f>
        <v>13920041.960000001</v>
      </c>
      <c r="L105" s="22">
        <f>L101+L97+L93</f>
        <v>665005</v>
      </c>
      <c r="N105" s="24">
        <f>N101+N97+N93</f>
        <v>6417.03</v>
      </c>
    </row>
    <row r="106" spans="1:14">
      <c r="A106" s="192"/>
      <c r="B106" s="184"/>
      <c r="C106" s="83" t="s">
        <v>18</v>
      </c>
      <c r="D106" s="22">
        <f t="shared" si="38"/>
        <v>10482174.41</v>
      </c>
      <c r="E106" s="22">
        <f t="shared" si="38"/>
        <v>807814.5</v>
      </c>
      <c r="F106" s="22">
        <f>D106+E106</f>
        <v>11289988.91</v>
      </c>
      <c r="G106" s="22">
        <f t="shared" si="38"/>
        <v>957862.15999999992</v>
      </c>
      <c r="H106" s="22">
        <v>286822.64</v>
      </c>
      <c r="I106" s="22">
        <f t="shared" si="38"/>
        <v>0</v>
      </c>
      <c r="J106" s="22">
        <f t="shared" si="38"/>
        <v>0</v>
      </c>
      <c r="K106" s="22">
        <f>J106+I106+H106+G106+E106+D106</f>
        <v>12534673.710000001</v>
      </c>
      <c r="L106" s="22">
        <f>L102+L98+L94</f>
        <v>665005</v>
      </c>
      <c r="N106" s="24">
        <f>N102+N98+N94</f>
        <v>6417.03</v>
      </c>
    </row>
    <row r="107" spans="1:14">
      <c r="A107" s="192"/>
      <c r="B107" s="184"/>
      <c r="C107" s="49" t="s">
        <v>19</v>
      </c>
      <c r="D107" s="22">
        <f t="shared" si="38"/>
        <v>691.63999999966472</v>
      </c>
      <c r="E107" s="22">
        <f t="shared" si="38"/>
        <v>20942.809999999939</v>
      </c>
      <c r="F107" s="22">
        <f>D107+E107</f>
        <v>21634.449999999604</v>
      </c>
      <c r="G107" s="22">
        <f>G103+G99+G95</f>
        <v>12840.400000000023</v>
      </c>
      <c r="H107" s="49">
        <f>H104-H106</f>
        <v>0</v>
      </c>
      <c r="I107" s="49">
        <f>I104-I106</f>
        <v>0</v>
      </c>
      <c r="J107" s="49">
        <f>J104-J106</f>
        <v>0</v>
      </c>
      <c r="K107" s="22">
        <f>J107+I107+H107+G107+E107+D107</f>
        <v>34474.849999999627</v>
      </c>
      <c r="L107" s="22">
        <f>L103+L99+L95</f>
        <v>14245</v>
      </c>
      <c r="N107" s="24">
        <f>N103+N99+N95</f>
        <v>0</v>
      </c>
    </row>
    <row r="108" spans="1:14">
      <c r="A108" s="192"/>
      <c r="B108" s="180" t="s">
        <v>32</v>
      </c>
      <c r="C108" s="87" t="s">
        <v>16</v>
      </c>
      <c r="D108" s="88">
        <f>D86+D104</f>
        <v>21113835.310000002</v>
      </c>
      <c r="E108" s="88">
        <f>E86+E104</f>
        <v>1523297.5099999998</v>
      </c>
      <c r="F108" s="88">
        <f>D108+E108</f>
        <v>22637132.82</v>
      </c>
      <c r="G108" s="88">
        <f>G86+G104</f>
        <v>1839051.37</v>
      </c>
      <c r="H108" s="88">
        <f>H86+H104</f>
        <v>478666.31000000006</v>
      </c>
      <c r="I108" s="88">
        <f>I86+I104</f>
        <v>0</v>
      </c>
      <c r="J108" s="88">
        <f>J86+J104</f>
        <v>0</v>
      </c>
      <c r="K108" s="88">
        <f>J108+I108+H108+G108+E108+D108</f>
        <v>24954850.500000004</v>
      </c>
      <c r="L108" s="88">
        <f>L86+L104</f>
        <v>1351680</v>
      </c>
      <c r="M108" s="89">
        <f>M86+M104</f>
        <v>7315</v>
      </c>
      <c r="N108" s="90">
        <f>N86+N104</f>
        <v>13524.029999999999</v>
      </c>
    </row>
    <row r="109" spans="1:14">
      <c r="A109" s="192"/>
      <c r="B109" s="181"/>
      <c r="C109" s="20" t="s">
        <v>17</v>
      </c>
      <c r="D109" s="21">
        <f>D89+D105</f>
        <v>24576341.02</v>
      </c>
      <c r="E109" s="21">
        <f>E89+E105</f>
        <v>1502354.71</v>
      </c>
      <c r="F109" s="21">
        <f>F89+F105</f>
        <v>26078695.729999997</v>
      </c>
      <c r="G109" s="21">
        <f>G89+G105</f>
        <v>1842031.3900000001</v>
      </c>
      <c r="H109" s="21">
        <f>H87+H105</f>
        <v>478666.31000000006</v>
      </c>
      <c r="I109" s="21">
        <f>I89+I105</f>
        <v>0</v>
      </c>
      <c r="J109" s="21">
        <f>J89+J105</f>
        <v>0</v>
      </c>
      <c r="K109" s="21">
        <f>K89+K105</f>
        <v>28207549.759999998</v>
      </c>
      <c r="L109" s="21">
        <f>L89+L105</f>
        <v>1337435</v>
      </c>
      <c r="N109" s="24">
        <f>N87+N105</f>
        <v>13524.029999999999</v>
      </c>
    </row>
    <row r="110" spans="1:14">
      <c r="A110" s="192"/>
      <c r="B110" s="181"/>
      <c r="C110" s="25" t="s">
        <v>18</v>
      </c>
      <c r="D110" s="26">
        <f>D91+D106</f>
        <v>21112865.100000001</v>
      </c>
      <c r="E110" s="26">
        <f>E91+E106</f>
        <v>1502354.7000000002</v>
      </c>
      <c r="F110" s="26">
        <f>F91+F106</f>
        <v>22615219.799999997</v>
      </c>
      <c r="G110" s="26">
        <f>G91+G106</f>
        <v>1826210.97</v>
      </c>
      <c r="H110" s="21">
        <f>H88+H106</f>
        <v>478666.31000000006</v>
      </c>
      <c r="I110" s="26">
        <f>I91+I106</f>
        <v>0</v>
      </c>
      <c r="J110" s="26">
        <f>J91+J106</f>
        <v>0</v>
      </c>
      <c r="K110" s="26">
        <f>K91+K106</f>
        <v>24728253.41</v>
      </c>
      <c r="L110" s="26">
        <f>L91+L106</f>
        <v>1337435</v>
      </c>
      <c r="N110" s="24">
        <f>N88+N106</f>
        <v>13524.029999999999</v>
      </c>
    </row>
    <row r="111" spans="1:14">
      <c r="A111" s="192"/>
      <c r="B111" s="178"/>
      <c r="C111" s="91" t="s">
        <v>41</v>
      </c>
      <c r="D111" s="92">
        <v>24647951.77</v>
      </c>
      <c r="E111" s="92">
        <v>1523297.51</v>
      </c>
      <c r="F111" s="92">
        <f>D111+E111</f>
        <v>26171249.280000001</v>
      </c>
      <c r="G111" s="92">
        <v>1839051.37</v>
      </c>
      <c r="H111" s="92">
        <v>478666.31</v>
      </c>
      <c r="I111" s="92"/>
      <c r="J111" s="92"/>
      <c r="K111" s="92">
        <f>F111+G111+H111</f>
        <v>28488966.960000001</v>
      </c>
      <c r="L111" s="92">
        <v>1351680</v>
      </c>
      <c r="M111" s="93">
        <v>1351680</v>
      </c>
      <c r="N111" s="94">
        <f>N90+N109</f>
        <v>20631.03</v>
      </c>
    </row>
    <row r="112" spans="1:14">
      <c r="A112" s="192"/>
      <c r="B112" s="178"/>
      <c r="C112" s="95" t="s">
        <v>48</v>
      </c>
      <c r="D112" s="92">
        <v>970.21</v>
      </c>
      <c r="E112" s="92">
        <v>20942.810000000001</v>
      </c>
      <c r="F112" s="92">
        <f>D112+E112</f>
        <v>21913.02</v>
      </c>
      <c r="G112" s="92">
        <v>12840.4</v>
      </c>
      <c r="H112" s="92">
        <v>0</v>
      </c>
      <c r="I112" s="92"/>
      <c r="J112" s="92"/>
      <c r="K112" s="92">
        <f>F112+G112</f>
        <v>34753.42</v>
      </c>
      <c r="L112" s="92">
        <v>14245</v>
      </c>
      <c r="M112" s="46"/>
      <c r="N112" s="94">
        <v>13542.03</v>
      </c>
    </row>
    <row r="113" spans="1:14">
      <c r="A113" s="192"/>
      <c r="B113" s="178"/>
      <c r="C113" s="95" t="s">
        <v>26</v>
      </c>
      <c r="D113" s="92">
        <f t="shared" ref="D113:J113" si="39">D112+D110</f>
        <v>21113835.310000002</v>
      </c>
      <c r="E113" s="92">
        <f t="shared" si="39"/>
        <v>1523297.5100000002</v>
      </c>
      <c r="F113" s="92">
        <f t="shared" si="39"/>
        <v>22637132.819999997</v>
      </c>
      <c r="G113" s="92">
        <f t="shared" si="39"/>
        <v>1839051.3699999999</v>
      </c>
      <c r="H113" s="92">
        <f t="shared" si="39"/>
        <v>478666.31000000006</v>
      </c>
      <c r="I113" s="92">
        <f t="shared" si="39"/>
        <v>0</v>
      </c>
      <c r="J113" s="92">
        <f t="shared" si="39"/>
        <v>0</v>
      </c>
      <c r="K113" s="92">
        <f>F113+G113+H113</f>
        <v>24954850.499999996</v>
      </c>
      <c r="L113" s="92">
        <f>L112+L110</f>
        <v>1351680</v>
      </c>
      <c r="M113" s="46"/>
      <c r="N113" s="94">
        <v>13542.03</v>
      </c>
    </row>
    <row r="114" spans="1:14">
      <c r="A114" s="192"/>
      <c r="B114" s="171" t="s">
        <v>33</v>
      </c>
      <c r="C114" s="20" t="s">
        <v>16</v>
      </c>
      <c r="D114" s="21">
        <f>4611074.74-548140.74</f>
        <v>4062934</v>
      </c>
      <c r="E114" s="21">
        <f>534546.7-288569.15</f>
        <v>245977.54999999993</v>
      </c>
      <c r="F114" s="21">
        <f t="shared" ref="F114:F122" si="40">SUM(D114:E114)</f>
        <v>4308911.55</v>
      </c>
      <c r="G114" s="21">
        <f>400737-83048</f>
        <v>317689</v>
      </c>
      <c r="H114" s="49">
        <v>0</v>
      </c>
      <c r="I114" s="49">
        <v>0</v>
      </c>
      <c r="J114" s="49">
        <v>0</v>
      </c>
      <c r="K114" s="21">
        <f>D114+E114+G114+H114+I114+J114</f>
        <v>4626600.55</v>
      </c>
      <c r="L114" s="23">
        <v>232441</v>
      </c>
      <c r="N114" s="24">
        <v>4785.3999999999996</v>
      </c>
    </row>
    <row r="115" spans="1:14">
      <c r="A115" s="192"/>
      <c r="B115" s="172"/>
      <c r="C115" s="20" t="s">
        <v>17</v>
      </c>
      <c r="D115" s="21">
        <v>4062934</v>
      </c>
      <c r="E115" s="21">
        <v>245977.55</v>
      </c>
      <c r="F115" s="21">
        <f t="shared" si="40"/>
        <v>4308911.55</v>
      </c>
      <c r="G115" s="21">
        <v>317689</v>
      </c>
      <c r="H115" s="49">
        <v>0</v>
      </c>
      <c r="I115" s="49">
        <v>0</v>
      </c>
      <c r="J115" s="49">
        <v>0</v>
      </c>
      <c r="K115" s="21">
        <f>D115+E115+G115+H115+I115+J115</f>
        <v>4626600.55</v>
      </c>
      <c r="L115" s="23">
        <v>232441</v>
      </c>
      <c r="N115" s="24">
        <v>4785.3999999999996</v>
      </c>
    </row>
    <row r="116" spans="1:14">
      <c r="A116" s="192"/>
      <c r="B116" s="172"/>
      <c r="C116" s="20" t="s">
        <v>18</v>
      </c>
      <c r="D116" s="21">
        <v>4062934</v>
      </c>
      <c r="E116" s="21">
        <v>245977.55</v>
      </c>
      <c r="F116" s="21">
        <f t="shared" si="40"/>
        <v>4308911.55</v>
      </c>
      <c r="G116" s="21">
        <v>317689</v>
      </c>
      <c r="H116" s="49">
        <v>0</v>
      </c>
      <c r="I116" s="49">
        <v>0</v>
      </c>
      <c r="J116" s="49">
        <v>0</v>
      </c>
      <c r="K116" s="21">
        <f>D116+E116+G116+H116+I116+J116</f>
        <v>4626600.55</v>
      </c>
      <c r="L116" s="23">
        <v>232441</v>
      </c>
      <c r="N116" s="24">
        <v>4785.3999999999996</v>
      </c>
    </row>
    <row r="117" spans="1:14">
      <c r="A117" s="192"/>
      <c r="B117" s="171" t="s">
        <v>34</v>
      </c>
      <c r="C117" s="20" t="s">
        <v>16</v>
      </c>
      <c r="D117" s="21">
        <f>4611074.74-192573.31</f>
        <v>4418501.4300000006</v>
      </c>
      <c r="E117" s="21">
        <f>534546.7-309835.22</f>
        <v>224711.47999999998</v>
      </c>
      <c r="F117" s="21">
        <f t="shared" si="40"/>
        <v>4643212.91</v>
      </c>
      <c r="G117" s="21">
        <f>400737-70710</f>
        <v>330027</v>
      </c>
      <c r="H117" s="49">
        <v>0</v>
      </c>
      <c r="I117" s="49">
        <v>0</v>
      </c>
      <c r="J117" s="49">
        <v>0</v>
      </c>
      <c r="K117" s="21">
        <f t="shared" ref="K117:K122" si="41">J117+I117+H117+G117+E117+D117</f>
        <v>4973239.91</v>
      </c>
      <c r="L117" s="23">
        <v>242264</v>
      </c>
      <c r="N117" s="24">
        <v>0</v>
      </c>
    </row>
    <row r="118" spans="1:14">
      <c r="A118" s="192"/>
      <c r="B118" s="172"/>
      <c r="C118" s="20" t="s">
        <v>17</v>
      </c>
      <c r="D118" s="21">
        <v>4418501.43</v>
      </c>
      <c r="E118" s="21">
        <v>224711.48</v>
      </c>
      <c r="F118" s="21">
        <f t="shared" si="40"/>
        <v>4643212.91</v>
      </c>
      <c r="G118" s="21">
        <v>330027</v>
      </c>
      <c r="H118" s="49">
        <v>0</v>
      </c>
      <c r="I118" s="49">
        <v>0</v>
      </c>
      <c r="J118" s="49">
        <v>0</v>
      </c>
      <c r="K118" s="21">
        <f t="shared" si="41"/>
        <v>4973239.91</v>
      </c>
      <c r="L118" s="23">
        <v>242264</v>
      </c>
      <c r="N118" s="24">
        <v>0</v>
      </c>
    </row>
    <row r="119" spans="1:14">
      <c r="A119" s="192"/>
      <c r="B119" s="172"/>
      <c r="C119" s="20" t="s">
        <v>18</v>
      </c>
      <c r="D119" s="21">
        <v>4418501.43</v>
      </c>
      <c r="E119" s="21">
        <v>224711.48</v>
      </c>
      <c r="F119" s="21">
        <f t="shared" si="40"/>
        <v>4643212.91</v>
      </c>
      <c r="G119" s="21">
        <v>330027</v>
      </c>
      <c r="H119" s="49">
        <v>0</v>
      </c>
      <c r="I119" s="49">
        <v>0</v>
      </c>
      <c r="J119" s="49">
        <v>0</v>
      </c>
      <c r="K119" s="21">
        <f t="shared" si="41"/>
        <v>4973239.91</v>
      </c>
      <c r="L119" s="23">
        <v>242264</v>
      </c>
      <c r="N119" s="24">
        <v>0</v>
      </c>
    </row>
    <row r="120" spans="1:14">
      <c r="A120" s="192"/>
      <c r="B120" s="194" t="s">
        <v>35</v>
      </c>
      <c r="C120" s="20" t="s">
        <v>16</v>
      </c>
      <c r="D120" s="21">
        <f>4611074.74-600000-235365.05</f>
        <v>3775709.6900000004</v>
      </c>
      <c r="E120" s="21">
        <f>534546.7-250000-75893.21</f>
        <v>208653.48999999993</v>
      </c>
      <c r="F120" s="21">
        <f t="shared" si="40"/>
        <v>3984363.18</v>
      </c>
      <c r="G120" s="21">
        <f>400737-25000-44172</f>
        <v>331565</v>
      </c>
      <c r="H120" s="49">
        <v>0</v>
      </c>
      <c r="I120" s="49">
        <v>0</v>
      </c>
      <c r="J120" s="49">
        <v>0</v>
      </c>
      <c r="K120" s="21">
        <f t="shared" si="41"/>
        <v>4315928.1800000006</v>
      </c>
      <c r="L120" s="23">
        <f>398431.2-173646.2+1463</f>
        <v>226248</v>
      </c>
      <c r="N120" s="24">
        <v>2365.2399999999998</v>
      </c>
    </row>
    <row r="121" spans="1:14">
      <c r="A121" s="192"/>
      <c r="B121" s="195"/>
      <c r="C121" s="20" t="s">
        <v>17</v>
      </c>
      <c r="D121" s="21">
        <v>3763664.48</v>
      </c>
      <c r="E121" s="21">
        <v>199651.64</v>
      </c>
      <c r="F121" s="21">
        <f t="shared" si="40"/>
        <v>3963316.12</v>
      </c>
      <c r="G121" s="21">
        <v>330508</v>
      </c>
      <c r="H121" s="49">
        <v>0</v>
      </c>
      <c r="I121" s="49">
        <v>0</v>
      </c>
      <c r="J121" s="49">
        <v>0</v>
      </c>
      <c r="K121" s="21">
        <f t="shared" si="41"/>
        <v>4293824.12</v>
      </c>
      <c r="L121" s="23">
        <v>224785</v>
      </c>
      <c r="N121" s="24">
        <v>2365.2399999999998</v>
      </c>
    </row>
    <row r="122" spans="1:14">
      <c r="A122" s="192"/>
      <c r="B122" s="195"/>
      <c r="C122" s="20" t="s">
        <v>18</v>
      </c>
      <c r="D122" s="21">
        <v>3763664.48</v>
      </c>
      <c r="E122" s="21">
        <v>199651.64</v>
      </c>
      <c r="F122" s="21">
        <f t="shared" si="40"/>
        <v>3963316.12</v>
      </c>
      <c r="G122" s="21">
        <v>330508</v>
      </c>
      <c r="H122" s="49">
        <v>0</v>
      </c>
      <c r="I122" s="49">
        <v>0</v>
      </c>
      <c r="J122" s="49">
        <v>0</v>
      </c>
      <c r="K122" s="21">
        <f t="shared" si="41"/>
        <v>4293824.12</v>
      </c>
      <c r="L122" s="23">
        <v>224785</v>
      </c>
      <c r="N122" s="24">
        <v>2365.2399999999998</v>
      </c>
    </row>
    <row r="123" spans="1:14">
      <c r="A123" s="192"/>
      <c r="B123" s="171" t="s">
        <v>36</v>
      </c>
      <c r="C123" s="20" t="s">
        <v>16</v>
      </c>
      <c r="D123" s="21">
        <f t="shared" ref="D123:N123" si="42">D114+D117+D120</f>
        <v>12257145.120000001</v>
      </c>
      <c r="E123" s="21">
        <f t="shared" si="42"/>
        <v>679342.51999999979</v>
      </c>
      <c r="F123" s="21">
        <f t="shared" si="42"/>
        <v>12936487.640000001</v>
      </c>
      <c r="G123" s="21">
        <f t="shared" si="42"/>
        <v>979281</v>
      </c>
      <c r="H123" s="21">
        <f t="shared" si="42"/>
        <v>0</v>
      </c>
      <c r="I123" s="21">
        <f t="shared" si="42"/>
        <v>0</v>
      </c>
      <c r="J123" s="21">
        <f t="shared" si="42"/>
        <v>0</v>
      </c>
      <c r="K123" s="21">
        <f t="shared" si="42"/>
        <v>13915768.640000001</v>
      </c>
      <c r="L123" s="23">
        <f t="shared" si="42"/>
        <v>700953</v>
      </c>
      <c r="M123" s="74">
        <f t="shared" si="42"/>
        <v>0</v>
      </c>
      <c r="N123" s="24">
        <f t="shared" si="42"/>
        <v>7150.6399999999994</v>
      </c>
    </row>
    <row r="124" spans="1:14">
      <c r="A124" s="192"/>
      <c r="B124" s="172"/>
      <c r="C124" s="20" t="s">
        <v>17</v>
      </c>
      <c r="D124" s="21">
        <f t="shared" ref="D124:L124" si="43">D115+D118+D121</f>
        <v>12245099.91</v>
      </c>
      <c r="E124" s="21">
        <f t="shared" si="43"/>
        <v>670340.67000000004</v>
      </c>
      <c r="F124" s="21">
        <f t="shared" si="43"/>
        <v>12915440.580000002</v>
      </c>
      <c r="G124" s="21">
        <f t="shared" si="43"/>
        <v>978224</v>
      </c>
      <c r="H124" s="21">
        <f t="shared" si="43"/>
        <v>0</v>
      </c>
      <c r="I124" s="21">
        <f t="shared" si="43"/>
        <v>0</v>
      </c>
      <c r="J124" s="21">
        <f t="shared" si="43"/>
        <v>0</v>
      </c>
      <c r="K124" s="21">
        <f t="shared" si="43"/>
        <v>13893664.580000002</v>
      </c>
      <c r="L124" s="23">
        <f t="shared" si="43"/>
        <v>699490</v>
      </c>
      <c r="N124" s="24">
        <f>N115+N118+N121</f>
        <v>7150.6399999999994</v>
      </c>
    </row>
    <row r="125" spans="1:14">
      <c r="A125" s="192"/>
      <c r="B125" s="172"/>
      <c r="C125" s="20" t="s">
        <v>18</v>
      </c>
      <c r="D125" s="21">
        <f t="shared" ref="D125:L125" si="44">D116+D119+D122</f>
        <v>12245099.91</v>
      </c>
      <c r="E125" s="21">
        <f t="shared" si="44"/>
        <v>670340.67000000004</v>
      </c>
      <c r="F125" s="21">
        <f t="shared" si="44"/>
        <v>12915440.580000002</v>
      </c>
      <c r="G125" s="21">
        <f t="shared" si="44"/>
        <v>978224</v>
      </c>
      <c r="H125" s="21">
        <f t="shared" si="44"/>
        <v>0</v>
      </c>
      <c r="I125" s="21">
        <f t="shared" si="44"/>
        <v>0</v>
      </c>
      <c r="J125" s="21">
        <f t="shared" si="44"/>
        <v>0</v>
      </c>
      <c r="K125" s="21">
        <f t="shared" si="44"/>
        <v>13893664.580000002</v>
      </c>
      <c r="L125" s="23">
        <f t="shared" si="44"/>
        <v>699490</v>
      </c>
      <c r="N125" s="24">
        <f>N116+N119+N122</f>
        <v>7150.6399999999994</v>
      </c>
    </row>
    <row r="126" spans="1:14">
      <c r="A126" s="192"/>
      <c r="B126" s="172"/>
      <c r="C126" s="20" t="s">
        <v>37</v>
      </c>
      <c r="D126" s="21">
        <f t="shared" ref="D126:L126" si="45">D116+D119+D122</f>
        <v>12245099.91</v>
      </c>
      <c r="E126" s="21">
        <f t="shared" si="45"/>
        <v>670340.67000000004</v>
      </c>
      <c r="F126" s="21">
        <f t="shared" si="45"/>
        <v>12915440.580000002</v>
      </c>
      <c r="G126" s="21">
        <f t="shared" si="45"/>
        <v>978224</v>
      </c>
      <c r="H126" s="21">
        <f t="shared" si="45"/>
        <v>0</v>
      </c>
      <c r="I126" s="21">
        <f t="shared" si="45"/>
        <v>0</v>
      </c>
      <c r="J126" s="21">
        <f t="shared" si="45"/>
        <v>0</v>
      </c>
      <c r="K126" s="21">
        <f t="shared" si="45"/>
        <v>13893664.580000002</v>
      </c>
      <c r="L126" s="23">
        <f t="shared" si="45"/>
        <v>699490</v>
      </c>
      <c r="N126" s="24">
        <v>7150.64</v>
      </c>
    </row>
    <row r="127" spans="1:14">
      <c r="A127" s="192"/>
      <c r="B127" s="173"/>
      <c r="C127" s="96" t="s">
        <v>41</v>
      </c>
      <c r="D127" s="32">
        <v>12257145.119999999</v>
      </c>
      <c r="E127" s="32">
        <v>679342.52</v>
      </c>
      <c r="F127" s="32">
        <f>D127+E127</f>
        <v>12936487.639999999</v>
      </c>
      <c r="G127" s="32">
        <v>979281</v>
      </c>
      <c r="H127" s="32"/>
      <c r="I127" s="32"/>
      <c r="J127" s="32"/>
      <c r="K127" s="32">
        <f>F127+G127</f>
        <v>13915768.639999999</v>
      </c>
      <c r="L127" s="32">
        <v>700953</v>
      </c>
      <c r="M127" s="97">
        <v>700953</v>
      </c>
      <c r="N127" s="53">
        <v>7150.64</v>
      </c>
    </row>
    <row r="128" spans="1:14">
      <c r="A128" s="192"/>
      <c r="B128" s="173"/>
      <c r="C128" s="98" t="s">
        <v>48</v>
      </c>
      <c r="D128" s="32">
        <v>12045.21</v>
      </c>
      <c r="E128" s="32">
        <v>9001.85</v>
      </c>
      <c r="F128" s="32">
        <f>D128+E128</f>
        <v>21047.059999999998</v>
      </c>
      <c r="G128" s="32">
        <v>1057</v>
      </c>
      <c r="H128" s="32"/>
      <c r="I128" s="32"/>
      <c r="J128" s="32"/>
      <c r="K128" s="32">
        <f>F128+G128</f>
        <v>22104.059999999998</v>
      </c>
      <c r="L128" s="32">
        <v>1463</v>
      </c>
      <c r="M128" s="97">
        <v>1463</v>
      </c>
      <c r="N128" s="53">
        <v>7150.64</v>
      </c>
    </row>
    <row r="129" spans="1:15">
      <c r="A129" s="192"/>
      <c r="B129" s="173"/>
      <c r="C129" s="98" t="s">
        <v>26</v>
      </c>
      <c r="D129" s="32">
        <f t="shared" ref="D129:M129" si="46">D128+D126</f>
        <v>12257145.120000001</v>
      </c>
      <c r="E129" s="32">
        <f t="shared" si="46"/>
        <v>679342.52</v>
      </c>
      <c r="F129" s="32">
        <f t="shared" si="46"/>
        <v>12936487.640000002</v>
      </c>
      <c r="G129" s="32">
        <f t="shared" si="46"/>
        <v>979281</v>
      </c>
      <c r="H129" s="32">
        <f t="shared" si="46"/>
        <v>0</v>
      </c>
      <c r="I129" s="32">
        <f t="shared" si="46"/>
        <v>0</v>
      </c>
      <c r="J129" s="32">
        <f t="shared" si="46"/>
        <v>0</v>
      </c>
      <c r="K129" s="32">
        <f t="shared" si="46"/>
        <v>13915768.640000002</v>
      </c>
      <c r="L129" s="32">
        <f t="shared" si="46"/>
        <v>700953</v>
      </c>
      <c r="M129" s="97">
        <f t="shared" si="46"/>
        <v>1463</v>
      </c>
      <c r="N129" s="53">
        <f>N125</f>
        <v>7150.6399999999994</v>
      </c>
    </row>
    <row r="130" spans="1:15">
      <c r="A130" s="192"/>
      <c r="B130" s="171" t="s">
        <v>38</v>
      </c>
      <c r="C130" s="20" t="s">
        <v>16</v>
      </c>
      <c r="D130" s="21">
        <f>4611074.74-414220.37</f>
        <v>4196854.37</v>
      </c>
      <c r="E130" s="21">
        <f>534546.7-320663.2</f>
        <v>213883.49999999994</v>
      </c>
      <c r="F130" s="21">
        <f t="shared" ref="F130:F135" si="47">SUM(D130:E130)</f>
        <v>4410737.87</v>
      </c>
      <c r="G130" s="21">
        <f>400737-45634</f>
        <v>355103</v>
      </c>
      <c r="H130" s="49">
        <v>0</v>
      </c>
      <c r="I130" s="49">
        <v>0</v>
      </c>
      <c r="J130" s="49">
        <v>0</v>
      </c>
      <c r="K130" s="21">
        <f t="shared" ref="K130:K135" si="48">D130+E130+G130+H130+I130+J130</f>
        <v>4765840.87</v>
      </c>
      <c r="L130" s="22">
        <v>241956</v>
      </c>
      <c r="N130" s="24"/>
    </row>
    <row r="131" spans="1:15">
      <c r="A131" s="192"/>
      <c r="B131" s="172"/>
      <c r="C131" s="20" t="s">
        <v>17</v>
      </c>
      <c r="D131" s="21">
        <v>4196854.37</v>
      </c>
      <c r="E131" s="21">
        <v>213883.5</v>
      </c>
      <c r="F131" s="21">
        <f t="shared" si="47"/>
        <v>4410737.87</v>
      </c>
      <c r="G131" s="21">
        <v>355103</v>
      </c>
      <c r="H131" s="49">
        <v>0</v>
      </c>
      <c r="I131" s="49">
        <v>0</v>
      </c>
      <c r="J131" s="49">
        <v>0</v>
      </c>
      <c r="K131" s="21">
        <f t="shared" si="48"/>
        <v>4765840.87</v>
      </c>
      <c r="L131" s="22">
        <v>241956</v>
      </c>
      <c r="N131" s="24"/>
      <c r="O131" s="18"/>
    </row>
    <row r="132" spans="1:15">
      <c r="A132" s="192"/>
      <c r="B132" s="172"/>
      <c r="C132" s="20" t="s">
        <v>18</v>
      </c>
      <c r="D132" s="21">
        <v>4196854.37</v>
      </c>
      <c r="E132" s="21">
        <v>213883.5</v>
      </c>
      <c r="F132" s="21">
        <f t="shared" si="47"/>
        <v>4410737.87</v>
      </c>
      <c r="G132" s="21">
        <v>355103</v>
      </c>
      <c r="H132" s="49">
        <v>0</v>
      </c>
      <c r="I132" s="49">
        <v>0</v>
      </c>
      <c r="J132" s="49">
        <v>0</v>
      </c>
      <c r="K132" s="21">
        <f t="shared" si="48"/>
        <v>4765840.87</v>
      </c>
      <c r="L132" s="22">
        <v>241956</v>
      </c>
      <c r="N132" s="24"/>
      <c r="O132" s="18"/>
    </row>
    <row r="133" spans="1:15">
      <c r="A133" s="192"/>
      <c r="B133" s="171" t="s">
        <v>39</v>
      </c>
      <c r="C133" s="20" t="s">
        <v>16</v>
      </c>
      <c r="D133" s="21">
        <f>202627.55+4408447.26-357129.32</f>
        <v>4253945.4899999993</v>
      </c>
      <c r="E133" s="21">
        <f>30091.89+404454.81-6570.42</f>
        <v>427976.28</v>
      </c>
      <c r="F133" s="21">
        <f t="shared" si="47"/>
        <v>4681921.7699999996</v>
      </c>
      <c r="G133" s="21">
        <f>1418+399319-45060</f>
        <v>355677</v>
      </c>
      <c r="H133" s="49">
        <v>0</v>
      </c>
      <c r="I133" s="49">
        <v>0</v>
      </c>
      <c r="J133" s="49">
        <v>0</v>
      </c>
      <c r="K133" s="21">
        <f t="shared" si="48"/>
        <v>5037598.7699999996</v>
      </c>
      <c r="L133" s="22">
        <f>20336.31+225370.69+605</f>
        <v>246312</v>
      </c>
      <c r="N133" s="24"/>
    </row>
    <row r="134" spans="1:15">
      <c r="A134" s="192"/>
      <c r="B134" s="172"/>
      <c r="C134" s="20" t="s">
        <v>17</v>
      </c>
      <c r="D134" s="21">
        <v>4249520.38</v>
      </c>
      <c r="E134" s="21">
        <v>271010.96999999997</v>
      </c>
      <c r="F134" s="21">
        <f t="shared" si="47"/>
        <v>4520531.3499999996</v>
      </c>
      <c r="G134" s="21">
        <v>354767</v>
      </c>
      <c r="H134" s="49">
        <v>0</v>
      </c>
      <c r="I134" s="49">
        <v>0</v>
      </c>
      <c r="J134" s="49">
        <v>0</v>
      </c>
      <c r="K134" s="21">
        <f t="shared" si="48"/>
        <v>4875298.3499999996</v>
      </c>
      <c r="L134" s="22">
        <v>245707</v>
      </c>
      <c r="N134" s="24"/>
    </row>
    <row r="135" spans="1:15">
      <c r="A135" s="192"/>
      <c r="B135" s="172"/>
      <c r="C135" s="20" t="s">
        <v>18</v>
      </c>
      <c r="D135" s="21">
        <v>4249520.38</v>
      </c>
      <c r="E135" s="21">
        <v>271010.96999999997</v>
      </c>
      <c r="F135" s="21">
        <f t="shared" si="47"/>
        <v>4520531.3499999996</v>
      </c>
      <c r="G135" s="21">
        <v>354767</v>
      </c>
      <c r="H135" s="49">
        <v>0</v>
      </c>
      <c r="I135" s="49">
        <v>0</v>
      </c>
      <c r="J135" s="49">
        <v>0</v>
      </c>
      <c r="K135" s="21">
        <f t="shared" si="48"/>
        <v>4875298.3499999996</v>
      </c>
      <c r="L135" s="22">
        <v>245707</v>
      </c>
      <c r="N135" s="24"/>
    </row>
    <row r="136" spans="1:15">
      <c r="A136" s="192"/>
      <c r="B136" s="185" t="s">
        <v>40</v>
      </c>
      <c r="C136" s="57" t="s">
        <v>16</v>
      </c>
      <c r="D136" s="58">
        <f t="shared" ref="D136:N136" si="49">D127+D130+D133</f>
        <v>20707944.979999997</v>
      </c>
      <c r="E136" s="58">
        <f t="shared" si="49"/>
        <v>1321202.3</v>
      </c>
      <c r="F136" s="58">
        <f t="shared" si="49"/>
        <v>22029147.279999997</v>
      </c>
      <c r="G136" s="58">
        <f t="shared" si="49"/>
        <v>1690061</v>
      </c>
      <c r="H136" s="58">
        <f t="shared" si="49"/>
        <v>0</v>
      </c>
      <c r="I136" s="58">
        <f t="shared" si="49"/>
        <v>0</v>
      </c>
      <c r="J136" s="58">
        <f t="shared" si="49"/>
        <v>0</v>
      </c>
      <c r="K136" s="58">
        <f t="shared" si="49"/>
        <v>23719208.279999997</v>
      </c>
      <c r="L136" s="58">
        <f t="shared" si="49"/>
        <v>1189221</v>
      </c>
      <c r="M136" s="58">
        <f t="shared" si="49"/>
        <v>700953</v>
      </c>
      <c r="N136" s="58">
        <f t="shared" si="49"/>
        <v>7150.64</v>
      </c>
    </row>
    <row r="137" spans="1:15">
      <c r="A137" s="192"/>
      <c r="B137" s="186"/>
      <c r="C137" s="57" t="s">
        <v>17</v>
      </c>
      <c r="D137" s="58">
        <v>20707944.98</v>
      </c>
      <c r="E137" s="58">
        <v>1321202.3</v>
      </c>
      <c r="F137" s="58">
        <f>D137+E137</f>
        <v>22029147.280000001</v>
      </c>
      <c r="G137" s="58">
        <v>1690061</v>
      </c>
      <c r="H137" s="58"/>
      <c r="I137" s="58"/>
      <c r="J137" s="58"/>
      <c r="K137" s="58">
        <f>F137+G137</f>
        <v>23719208.280000001</v>
      </c>
      <c r="L137" s="58">
        <v>1189221</v>
      </c>
      <c r="M137" s="59"/>
      <c r="N137" s="60">
        <v>7150.64</v>
      </c>
    </row>
    <row r="138" spans="1:15">
      <c r="A138" s="192"/>
      <c r="B138" s="186"/>
      <c r="C138" s="57" t="s">
        <v>49</v>
      </c>
      <c r="D138" s="58">
        <f t="shared" ref="D138:L138" si="50">D129+D132+D135</f>
        <v>20703519.870000001</v>
      </c>
      <c r="E138" s="58">
        <f t="shared" si="50"/>
        <v>1164236.99</v>
      </c>
      <c r="F138" s="58">
        <f t="shared" si="50"/>
        <v>21867756.859999999</v>
      </c>
      <c r="G138" s="58">
        <f t="shared" si="50"/>
        <v>1689151</v>
      </c>
      <c r="H138" s="58">
        <f t="shared" si="50"/>
        <v>0</v>
      </c>
      <c r="I138" s="58">
        <f t="shared" si="50"/>
        <v>0</v>
      </c>
      <c r="J138" s="58">
        <f t="shared" si="50"/>
        <v>0</v>
      </c>
      <c r="K138" s="58">
        <f t="shared" si="50"/>
        <v>23556907.859999999</v>
      </c>
      <c r="L138" s="58">
        <f t="shared" si="50"/>
        <v>1188616</v>
      </c>
      <c r="M138" s="59"/>
      <c r="N138" s="60">
        <v>7150.64</v>
      </c>
    </row>
    <row r="139" spans="1:15">
      <c r="A139" s="192"/>
      <c r="B139" s="186"/>
      <c r="C139" s="57" t="s">
        <v>48</v>
      </c>
      <c r="D139" s="58">
        <v>4425.1099999999997</v>
      </c>
      <c r="E139" s="58">
        <v>156965.31</v>
      </c>
      <c r="F139" s="58">
        <f>D139+E139</f>
        <v>161390.41999999998</v>
      </c>
      <c r="G139" s="58">
        <v>910</v>
      </c>
      <c r="H139" s="58"/>
      <c r="I139" s="58"/>
      <c r="J139" s="58"/>
      <c r="K139" s="58">
        <f>F139+G139</f>
        <v>162300.41999999998</v>
      </c>
      <c r="L139" s="58">
        <v>605</v>
      </c>
      <c r="M139" s="59"/>
      <c r="N139" s="60">
        <v>7150.64</v>
      </c>
    </row>
    <row r="140" spans="1:15">
      <c r="A140" s="192"/>
      <c r="B140" s="186"/>
      <c r="C140" s="57" t="s">
        <v>26</v>
      </c>
      <c r="D140" s="58">
        <f>D138+D139</f>
        <v>20707944.98</v>
      </c>
      <c r="E140" s="58">
        <f t="shared" ref="E140:L140" si="51">E138+E139</f>
        <v>1321202.3</v>
      </c>
      <c r="F140" s="58">
        <f t="shared" si="51"/>
        <v>22029147.280000001</v>
      </c>
      <c r="G140" s="58">
        <f t="shared" si="51"/>
        <v>1690061</v>
      </c>
      <c r="H140" s="58">
        <f t="shared" si="51"/>
        <v>0</v>
      </c>
      <c r="I140" s="58">
        <f t="shared" si="51"/>
        <v>0</v>
      </c>
      <c r="J140" s="58">
        <f t="shared" si="51"/>
        <v>0</v>
      </c>
      <c r="K140" s="58">
        <f t="shared" si="51"/>
        <v>23719208.280000001</v>
      </c>
      <c r="L140" s="58">
        <f t="shared" si="51"/>
        <v>1189221</v>
      </c>
      <c r="M140" s="59"/>
      <c r="N140" s="60">
        <v>7150.64</v>
      </c>
    </row>
    <row r="141" spans="1:15">
      <c r="A141" s="192"/>
      <c r="B141" s="171" t="s">
        <v>43</v>
      </c>
      <c r="C141" s="20" t="s">
        <v>16</v>
      </c>
      <c r="D141" s="21">
        <v>4611074.92</v>
      </c>
      <c r="E141" s="21">
        <f>237372.03-305</f>
        <v>237067.03</v>
      </c>
      <c r="F141" s="21">
        <f>SUM(D141:E141)</f>
        <v>4848141.95</v>
      </c>
      <c r="G141" s="21">
        <v>355120</v>
      </c>
      <c r="H141" s="49">
        <v>0</v>
      </c>
      <c r="I141" s="49">
        <v>0</v>
      </c>
      <c r="J141" s="49">
        <v>0</v>
      </c>
      <c r="K141" s="21">
        <f>D141+E141+G141+H141+I141+J141</f>
        <v>5203261.95</v>
      </c>
      <c r="L141" s="22">
        <v>1221.51</v>
      </c>
      <c r="N141" s="24"/>
    </row>
    <row r="142" spans="1:15">
      <c r="A142" s="192"/>
      <c r="B142" s="172"/>
      <c r="C142" s="20" t="s">
        <v>17</v>
      </c>
      <c r="D142" s="21">
        <v>3706718.89</v>
      </c>
      <c r="E142" s="21">
        <v>241963.42</v>
      </c>
      <c r="F142" s="21">
        <f>SUM(D142:E142)</f>
        <v>3948682.31</v>
      </c>
      <c r="G142" s="21">
        <v>289727</v>
      </c>
      <c r="H142" s="49">
        <v>0</v>
      </c>
      <c r="I142" s="49">
        <v>0</v>
      </c>
      <c r="J142" s="49">
        <v>0</v>
      </c>
      <c r="K142" s="21">
        <f>D142+E142+G142+H142+I142+J142</f>
        <v>4238409.3100000005</v>
      </c>
      <c r="L142" s="51">
        <v>227865</v>
      </c>
      <c r="N142" s="24"/>
    </row>
    <row r="143" spans="1:15">
      <c r="A143" s="192"/>
      <c r="B143" s="172"/>
      <c r="C143" s="20" t="s">
        <v>18</v>
      </c>
      <c r="D143" s="21">
        <v>3706718.89</v>
      </c>
      <c r="E143" s="21">
        <v>236850.59</v>
      </c>
      <c r="F143" s="21">
        <f>SUM(D143:E143)</f>
        <v>3943569.48</v>
      </c>
      <c r="G143" s="21">
        <v>289727</v>
      </c>
      <c r="H143" s="49">
        <v>0</v>
      </c>
      <c r="I143" s="49">
        <v>0</v>
      </c>
      <c r="J143" s="49">
        <v>0</v>
      </c>
      <c r="K143" s="21">
        <f>D143+E143+G143+H143+I143+J143</f>
        <v>4233296.4800000004</v>
      </c>
      <c r="L143" s="22">
        <v>1221</v>
      </c>
      <c r="N143" s="24"/>
    </row>
    <row r="144" spans="1:15">
      <c r="A144" s="192"/>
      <c r="B144" s="187" t="s">
        <v>44</v>
      </c>
      <c r="C144" s="20" t="s">
        <v>16</v>
      </c>
      <c r="D144" s="21">
        <f t="shared" ref="D144:N144" si="52">D130+D133+D141</f>
        <v>13061874.779999999</v>
      </c>
      <c r="E144" s="21">
        <f t="shared" si="52"/>
        <v>878926.81</v>
      </c>
      <c r="F144" s="21">
        <f t="shared" si="52"/>
        <v>13940801.59</v>
      </c>
      <c r="G144" s="21">
        <f t="shared" si="52"/>
        <v>1065900</v>
      </c>
      <c r="H144" s="21">
        <f t="shared" si="52"/>
        <v>0</v>
      </c>
      <c r="I144" s="21">
        <f t="shared" si="52"/>
        <v>0</v>
      </c>
      <c r="J144" s="21">
        <f t="shared" si="52"/>
        <v>0</v>
      </c>
      <c r="K144" s="21">
        <f t="shared" si="52"/>
        <v>15006701.59</v>
      </c>
      <c r="L144" s="22">
        <f t="shared" si="52"/>
        <v>489489.51</v>
      </c>
      <c r="M144" s="86">
        <f t="shared" si="52"/>
        <v>0</v>
      </c>
      <c r="N144" s="24">
        <f t="shared" si="52"/>
        <v>0</v>
      </c>
    </row>
    <row r="145" spans="1:16">
      <c r="A145" s="192"/>
      <c r="B145" s="188"/>
      <c r="C145" s="20" t="s">
        <v>17</v>
      </c>
      <c r="D145" s="21">
        <f t="shared" ref="D145:L145" si="53">D131+D134+D142</f>
        <v>12153093.640000001</v>
      </c>
      <c r="E145" s="21">
        <f t="shared" si="53"/>
        <v>726857.89</v>
      </c>
      <c r="F145" s="21">
        <f t="shared" si="53"/>
        <v>12879951.529999999</v>
      </c>
      <c r="G145" s="21">
        <f t="shared" si="53"/>
        <v>999597</v>
      </c>
      <c r="H145" s="21">
        <f t="shared" si="53"/>
        <v>0</v>
      </c>
      <c r="I145" s="21">
        <f t="shared" si="53"/>
        <v>0</v>
      </c>
      <c r="J145" s="21">
        <f t="shared" si="53"/>
        <v>0</v>
      </c>
      <c r="K145" s="21">
        <f t="shared" si="53"/>
        <v>13879548.529999999</v>
      </c>
      <c r="L145" s="22">
        <f t="shared" si="53"/>
        <v>715528</v>
      </c>
      <c r="N145" s="24"/>
    </row>
    <row r="146" spans="1:16">
      <c r="A146" s="192"/>
      <c r="B146" s="188"/>
      <c r="C146" s="20" t="s">
        <v>18</v>
      </c>
      <c r="D146" s="21">
        <f t="shared" ref="D146:L146" si="54">D132+D135+D143</f>
        <v>12153093.640000001</v>
      </c>
      <c r="E146" s="21">
        <f t="shared" si="54"/>
        <v>721745.05999999994</v>
      </c>
      <c r="F146" s="21">
        <f t="shared" si="54"/>
        <v>12874838.699999999</v>
      </c>
      <c r="G146" s="21">
        <f t="shared" si="54"/>
        <v>999597</v>
      </c>
      <c r="H146" s="21">
        <f t="shared" si="54"/>
        <v>0</v>
      </c>
      <c r="I146" s="21">
        <f t="shared" si="54"/>
        <v>0</v>
      </c>
      <c r="J146" s="21">
        <f t="shared" si="54"/>
        <v>0</v>
      </c>
      <c r="K146" s="21">
        <f t="shared" si="54"/>
        <v>13874435.699999999</v>
      </c>
      <c r="L146" s="22">
        <f t="shared" si="54"/>
        <v>488884</v>
      </c>
      <c r="N146" s="24"/>
    </row>
    <row r="147" spans="1:16">
      <c r="A147" s="192"/>
      <c r="B147" s="187" t="s">
        <v>45</v>
      </c>
      <c r="C147" s="99" t="s">
        <v>16</v>
      </c>
      <c r="D147" s="100">
        <f t="shared" ref="D147:N147" si="55">D123+D144</f>
        <v>25319019.899999999</v>
      </c>
      <c r="E147" s="100">
        <f t="shared" si="55"/>
        <v>1558269.3299999998</v>
      </c>
      <c r="F147" s="100">
        <f t="shared" si="55"/>
        <v>26877289.23</v>
      </c>
      <c r="G147" s="100">
        <f t="shared" si="55"/>
        <v>2045181</v>
      </c>
      <c r="H147" s="100">
        <f t="shared" si="55"/>
        <v>0</v>
      </c>
      <c r="I147" s="100">
        <f t="shared" si="55"/>
        <v>0</v>
      </c>
      <c r="J147" s="100">
        <f t="shared" si="55"/>
        <v>0</v>
      </c>
      <c r="K147" s="100">
        <f t="shared" si="55"/>
        <v>28922470.23</v>
      </c>
      <c r="L147" s="100">
        <f t="shared" si="55"/>
        <v>1190442.51</v>
      </c>
      <c r="M147" s="101">
        <f t="shared" si="55"/>
        <v>0</v>
      </c>
      <c r="N147" s="102">
        <f t="shared" si="55"/>
        <v>7150.6399999999994</v>
      </c>
    </row>
    <row r="148" spans="1:16">
      <c r="A148" s="192"/>
      <c r="B148" s="188"/>
      <c r="C148" s="99" t="s">
        <v>17</v>
      </c>
      <c r="D148" s="100">
        <f>D137+D142</f>
        <v>24414663.870000001</v>
      </c>
      <c r="E148" s="100">
        <f>E137+E142</f>
        <v>1563165.72</v>
      </c>
      <c r="F148" s="100">
        <f>F137+F142</f>
        <v>25977829.59</v>
      </c>
      <c r="G148" s="100">
        <f>G137+G142</f>
        <v>1979788</v>
      </c>
      <c r="H148" s="100">
        <f t="shared" ref="H148:N148" si="56">H137+H142</f>
        <v>0</v>
      </c>
      <c r="I148" s="100">
        <f t="shared" si="56"/>
        <v>0</v>
      </c>
      <c r="J148" s="100">
        <f t="shared" si="56"/>
        <v>0</v>
      </c>
      <c r="K148" s="100">
        <f t="shared" si="56"/>
        <v>27957617.590000004</v>
      </c>
      <c r="L148" s="100">
        <f t="shared" si="56"/>
        <v>1417086</v>
      </c>
      <c r="M148" s="100">
        <f t="shared" si="56"/>
        <v>0</v>
      </c>
      <c r="N148" s="100">
        <f t="shared" si="56"/>
        <v>7150.64</v>
      </c>
    </row>
    <row r="149" spans="1:16">
      <c r="A149" s="192"/>
      <c r="B149" s="188"/>
      <c r="C149" s="99" t="s">
        <v>18</v>
      </c>
      <c r="D149" s="100">
        <f>D140+D143</f>
        <v>24414663.870000001</v>
      </c>
      <c r="E149" s="100">
        <f t="shared" ref="E149:N149" si="57">E140+E143</f>
        <v>1558052.8900000001</v>
      </c>
      <c r="F149" s="100">
        <f t="shared" si="57"/>
        <v>25972716.760000002</v>
      </c>
      <c r="G149" s="100">
        <f t="shared" si="57"/>
        <v>1979788</v>
      </c>
      <c r="H149" s="100">
        <f t="shared" si="57"/>
        <v>0</v>
      </c>
      <c r="I149" s="100">
        <f t="shared" si="57"/>
        <v>0</v>
      </c>
      <c r="J149" s="100">
        <f t="shared" si="57"/>
        <v>0</v>
      </c>
      <c r="K149" s="100">
        <f t="shared" si="57"/>
        <v>27952504.760000002</v>
      </c>
      <c r="L149" s="100">
        <f t="shared" si="57"/>
        <v>1190442</v>
      </c>
      <c r="M149" s="100">
        <f t="shared" si="57"/>
        <v>0</v>
      </c>
      <c r="N149" s="100">
        <f t="shared" si="57"/>
        <v>7150.64</v>
      </c>
    </row>
    <row r="150" spans="1:16">
      <c r="A150" s="192"/>
      <c r="B150" s="198"/>
      <c r="C150" s="99" t="s">
        <v>37</v>
      </c>
      <c r="D150" s="100">
        <f>D140+D143</f>
        <v>24414663.870000001</v>
      </c>
      <c r="E150" s="100">
        <f t="shared" ref="E150:N150" si="58">E140+E143</f>
        <v>1558052.8900000001</v>
      </c>
      <c r="F150" s="100">
        <f t="shared" si="58"/>
        <v>25972716.760000002</v>
      </c>
      <c r="G150" s="100">
        <f t="shared" si="58"/>
        <v>1979788</v>
      </c>
      <c r="H150" s="100">
        <f t="shared" si="58"/>
        <v>0</v>
      </c>
      <c r="I150" s="100">
        <f t="shared" si="58"/>
        <v>0</v>
      </c>
      <c r="J150" s="100">
        <f t="shared" si="58"/>
        <v>0</v>
      </c>
      <c r="K150" s="100">
        <f t="shared" si="58"/>
        <v>27952504.760000002</v>
      </c>
      <c r="L150" s="100">
        <f t="shared" si="58"/>
        <v>1190442</v>
      </c>
      <c r="M150" s="100">
        <f t="shared" si="58"/>
        <v>0</v>
      </c>
      <c r="N150" s="100">
        <f t="shared" si="58"/>
        <v>7150.64</v>
      </c>
    </row>
    <row r="151" spans="1:16">
      <c r="A151" s="193"/>
      <c r="B151" s="199" t="s">
        <v>46</v>
      </c>
      <c r="C151" s="103" t="s">
        <v>16</v>
      </c>
      <c r="D151" s="104">
        <f t="shared" ref="D151:N151" si="59">D108+D147</f>
        <v>46432855.210000001</v>
      </c>
      <c r="E151" s="104">
        <f t="shared" si="59"/>
        <v>3081566.84</v>
      </c>
      <c r="F151" s="104">
        <f t="shared" si="59"/>
        <v>49514422.049999997</v>
      </c>
      <c r="G151" s="104">
        <f t="shared" si="59"/>
        <v>3884232.37</v>
      </c>
      <c r="H151" s="104">
        <f t="shared" si="59"/>
        <v>478666.31000000006</v>
      </c>
      <c r="I151" s="104">
        <f t="shared" si="59"/>
        <v>0</v>
      </c>
      <c r="J151" s="104">
        <f t="shared" si="59"/>
        <v>0</v>
      </c>
      <c r="K151" s="104">
        <f t="shared" si="59"/>
        <v>53877320.730000004</v>
      </c>
      <c r="L151" s="104">
        <f t="shared" si="59"/>
        <v>2542122.5099999998</v>
      </c>
      <c r="M151" s="105">
        <f t="shared" si="59"/>
        <v>7315</v>
      </c>
      <c r="N151" s="43">
        <f t="shared" si="59"/>
        <v>20674.669999999998</v>
      </c>
    </row>
    <row r="152" spans="1:16">
      <c r="A152" s="193"/>
      <c r="B152" s="199"/>
      <c r="C152" s="103" t="s">
        <v>17</v>
      </c>
      <c r="D152" s="104">
        <f>D111+D148</f>
        <v>49062615.640000001</v>
      </c>
      <c r="E152" s="104">
        <f t="shared" ref="E152:M152" si="60">E111+E148</f>
        <v>3086463.23</v>
      </c>
      <c r="F152" s="104">
        <f t="shared" si="60"/>
        <v>52149078.870000005</v>
      </c>
      <c r="G152" s="104">
        <f t="shared" si="60"/>
        <v>3818839.37</v>
      </c>
      <c r="H152" s="104">
        <f t="shared" si="60"/>
        <v>478666.31</v>
      </c>
      <c r="I152" s="104">
        <f t="shared" si="60"/>
        <v>0</v>
      </c>
      <c r="J152" s="104">
        <f t="shared" si="60"/>
        <v>0</v>
      </c>
      <c r="K152" s="104">
        <f t="shared" si="60"/>
        <v>56446584.550000004</v>
      </c>
      <c r="L152" s="104">
        <f t="shared" si="60"/>
        <v>2768766</v>
      </c>
      <c r="M152" s="105">
        <f t="shared" si="60"/>
        <v>1351680</v>
      </c>
      <c r="N152" s="43">
        <v>20674.669999999998</v>
      </c>
    </row>
    <row r="153" spans="1:16">
      <c r="A153" s="193"/>
      <c r="B153" s="199"/>
      <c r="C153" s="103" t="s">
        <v>41</v>
      </c>
      <c r="D153" s="104">
        <f>D152</f>
        <v>49062615.640000001</v>
      </c>
      <c r="E153" s="104">
        <f>E152</f>
        <v>3086463.23</v>
      </c>
      <c r="F153" s="104">
        <f>F152</f>
        <v>52149078.870000005</v>
      </c>
      <c r="G153" s="104">
        <f>G152</f>
        <v>3818839.37</v>
      </c>
      <c r="H153" s="104">
        <f>H127+H111+H145</f>
        <v>478666.31</v>
      </c>
      <c r="I153" s="104">
        <f>I127+I111+I145</f>
        <v>0</v>
      </c>
      <c r="J153" s="104">
        <f>J127+J111+J145</f>
        <v>0</v>
      </c>
      <c r="K153" s="104">
        <f>G153+H153+F153</f>
        <v>56446584.550000004</v>
      </c>
      <c r="L153" s="104">
        <f>L127+L111+L145</f>
        <v>2768161</v>
      </c>
      <c r="M153" s="105">
        <f>M127+M111</f>
        <v>2052633</v>
      </c>
      <c r="N153" s="43">
        <v>20674.669999999998</v>
      </c>
      <c r="O153" s="18"/>
    </row>
    <row r="154" spans="1:16">
      <c r="A154" s="193"/>
      <c r="B154" s="199"/>
      <c r="C154" s="106" t="s">
        <v>18</v>
      </c>
      <c r="D154" s="104">
        <f t="shared" ref="D154:M154" si="61">D113+D149</f>
        <v>45528499.180000007</v>
      </c>
      <c r="E154" s="104">
        <f t="shared" si="61"/>
        <v>3081350.4000000004</v>
      </c>
      <c r="F154" s="104">
        <f t="shared" si="61"/>
        <v>48609849.579999998</v>
      </c>
      <c r="G154" s="104">
        <f t="shared" si="61"/>
        <v>3818839.37</v>
      </c>
      <c r="H154" s="104">
        <f t="shared" si="61"/>
        <v>478666.31000000006</v>
      </c>
      <c r="I154" s="104">
        <f t="shared" si="61"/>
        <v>0</v>
      </c>
      <c r="J154" s="104">
        <f t="shared" si="61"/>
        <v>0</v>
      </c>
      <c r="K154" s="104">
        <f>G154+H154+F154</f>
        <v>52907355.259999998</v>
      </c>
      <c r="L154" s="104">
        <f t="shared" si="61"/>
        <v>2542122</v>
      </c>
      <c r="M154" s="105">
        <f t="shared" si="61"/>
        <v>0</v>
      </c>
      <c r="N154" s="43">
        <f>N152</f>
        <v>20674.669999999998</v>
      </c>
      <c r="O154" s="18"/>
    </row>
    <row r="155" spans="1:16">
      <c r="A155" s="200" t="s">
        <v>50</v>
      </c>
      <c r="B155" s="178" t="s">
        <v>15</v>
      </c>
      <c r="C155" s="14" t="s">
        <v>16</v>
      </c>
      <c r="D155" s="15">
        <f>1370640.22+285722.58</f>
        <v>1656362.8</v>
      </c>
      <c r="E155" s="15">
        <f>205576.83-158961.54</f>
        <v>46615.289999999979</v>
      </c>
      <c r="F155" s="16">
        <f t="shared" ref="F155:F163" si="62">D155+E155</f>
        <v>1702978.09</v>
      </c>
      <c r="G155" s="15">
        <f>306451.07-49640.33</f>
        <v>256810.74</v>
      </c>
      <c r="H155" s="15">
        <v>0</v>
      </c>
      <c r="I155" s="15">
        <v>0</v>
      </c>
      <c r="J155" s="15">
        <v>0</v>
      </c>
      <c r="K155" s="16">
        <f t="shared" ref="K155:K163" si="63">J155+I155+H155+G155+E155+D155</f>
        <v>1959788.83</v>
      </c>
      <c r="L155" s="17">
        <f>113049+16234</f>
        <v>129283</v>
      </c>
      <c r="N155" s="24">
        <v>198.19</v>
      </c>
    </row>
    <row r="156" spans="1:16">
      <c r="A156" s="201"/>
      <c r="B156" s="178"/>
      <c r="C156" s="20" t="s">
        <v>17</v>
      </c>
      <c r="D156" s="21">
        <v>1595663.91</v>
      </c>
      <c r="E156" s="21">
        <v>46615.29</v>
      </c>
      <c r="F156" s="21">
        <f t="shared" si="62"/>
        <v>1642279.2</v>
      </c>
      <c r="G156" s="21">
        <v>256810.74</v>
      </c>
      <c r="H156" s="22">
        <v>0</v>
      </c>
      <c r="I156" s="22">
        <v>0</v>
      </c>
      <c r="J156" s="22">
        <v>0</v>
      </c>
      <c r="K156" s="21">
        <f t="shared" si="63"/>
        <v>1899089.94</v>
      </c>
      <c r="L156" s="23">
        <v>129283</v>
      </c>
      <c r="N156" s="24">
        <v>198.19</v>
      </c>
    </row>
    <row r="157" spans="1:16">
      <c r="A157" s="201"/>
      <c r="B157" s="178"/>
      <c r="C157" s="107" t="s">
        <v>18</v>
      </c>
      <c r="D157" s="27">
        <v>1595663.91</v>
      </c>
      <c r="E157" s="27">
        <v>46615.29</v>
      </c>
      <c r="F157" s="27">
        <f t="shared" si="62"/>
        <v>1642279.2</v>
      </c>
      <c r="G157" s="27">
        <v>256810.74</v>
      </c>
      <c r="H157" s="27">
        <v>0</v>
      </c>
      <c r="I157" s="27">
        <v>0</v>
      </c>
      <c r="J157" s="27">
        <v>0</v>
      </c>
      <c r="K157" s="27">
        <f t="shared" si="63"/>
        <v>1899089.94</v>
      </c>
      <c r="L157" s="27">
        <v>129283</v>
      </c>
      <c r="N157" s="24">
        <v>198.19</v>
      </c>
    </row>
    <row r="158" spans="1:16">
      <c r="A158" s="201"/>
      <c r="B158" s="179" t="s">
        <v>20</v>
      </c>
      <c r="C158" s="108" t="s">
        <v>16</v>
      </c>
      <c r="D158" s="27">
        <f>1370640.22+182199.95-59854.59</f>
        <v>1492985.5799999998</v>
      </c>
      <c r="E158" s="27">
        <f>205576.83-116318.69</f>
        <v>89258.139999999985</v>
      </c>
      <c r="F158" s="27">
        <f t="shared" si="62"/>
        <v>1582243.7199999997</v>
      </c>
      <c r="G158" s="27">
        <f>306451.07-6713.69-10047.58</f>
        <v>289689.8</v>
      </c>
      <c r="H158" s="27">
        <v>0</v>
      </c>
      <c r="I158" s="27">
        <v>0</v>
      </c>
      <c r="J158" s="27">
        <v>0</v>
      </c>
      <c r="K158" s="27">
        <f t="shared" si="63"/>
        <v>1871933.5199999998</v>
      </c>
      <c r="L158" s="27">
        <v>113971</v>
      </c>
      <c r="N158" s="24">
        <v>573.5</v>
      </c>
      <c r="O158" s="156"/>
      <c r="P158" s="73"/>
    </row>
    <row r="159" spans="1:16">
      <c r="A159" s="201"/>
      <c r="B159" s="178"/>
      <c r="C159" s="108" t="s">
        <v>17</v>
      </c>
      <c r="D159" s="27">
        <v>1373187.65</v>
      </c>
      <c r="E159" s="27">
        <v>89258.14</v>
      </c>
      <c r="F159" s="27">
        <f t="shared" si="62"/>
        <v>1462445.7899999998</v>
      </c>
      <c r="G159" s="27">
        <v>271864.53000000003</v>
      </c>
      <c r="H159" s="27">
        <v>0</v>
      </c>
      <c r="I159" s="27">
        <v>0</v>
      </c>
      <c r="J159" s="27">
        <v>0</v>
      </c>
      <c r="K159" s="27">
        <f t="shared" si="63"/>
        <v>1734310.3199999998</v>
      </c>
      <c r="L159" s="27">
        <v>113971</v>
      </c>
      <c r="N159" s="24">
        <f>573.5-171</f>
        <v>402.5</v>
      </c>
    </row>
    <row r="160" spans="1:16">
      <c r="A160" s="201"/>
      <c r="B160" s="178"/>
      <c r="C160" s="107" t="s">
        <v>18</v>
      </c>
      <c r="D160" s="27">
        <v>1373187.65</v>
      </c>
      <c r="E160" s="27">
        <v>89258.14</v>
      </c>
      <c r="F160" s="27">
        <f t="shared" si="62"/>
        <v>1462445.7899999998</v>
      </c>
      <c r="G160" s="27">
        <v>271864.53000000003</v>
      </c>
      <c r="H160" s="27">
        <v>0</v>
      </c>
      <c r="I160" s="27">
        <v>0</v>
      </c>
      <c r="J160" s="27">
        <v>0</v>
      </c>
      <c r="K160" s="27">
        <f t="shared" si="63"/>
        <v>1734310.3199999998</v>
      </c>
      <c r="L160" s="27">
        <v>113971</v>
      </c>
      <c r="M160" s="18"/>
      <c r="N160" s="24">
        <v>573.5</v>
      </c>
    </row>
    <row r="161" spans="1:14">
      <c r="A161" s="201"/>
      <c r="B161" s="179" t="s">
        <v>22</v>
      </c>
      <c r="C161" s="108" t="s">
        <v>16</v>
      </c>
      <c r="D161" s="27">
        <v>1958649.01</v>
      </c>
      <c r="E161" s="27">
        <f>205576.83-79628.8</f>
        <v>125948.02999999998</v>
      </c>
      <c r="F161" s="27">
        <f t="shared" si="62"/>
        <v>2084597.04</v>
      </c>
      <c r="G161" s="27">
        <v>306451.07</v>
      </c>
      <c r="H161" s="27">
        <v>0</v>
      </c>
      <c r="I161" s="27">
        <v>0</v>
      </c>
      <c r="J161" s="27">
        <v>0</v>
      </c>
      <c r="K161" s="27">
        <f t="shared" si="63"/>
        <v>2391048.11</v>
      </c>
      <c r="L161" s="27">
        <v>136004</v>
      </c>
      <c r="N161" s="24"/>
    </row>
    <row r="162" spans="1:14">
      <c r="A162" s="201"/>
      <c r="B162" s="178"/>
      <c r="C162" s="108" t="s">
        <v>17</v>
      </c>
      <c r="D162" s="27">
        <v>2085124.17</v>
      </c>
      <c r="E162" s="27">
        <v>125964.12</v>
      </c>
      <c r="F162" s="27">
        <f t="shared" si="62"/>
        <v>2211088.29</v>
      </c>
      <c r="G162" s="27">
        <v>324263.78999999998</v>
      </c>
      <c r="H162" s="27">
        <v>0</v>
      </c>
      <c r="I162" s="27">
        <v>0</v>
      </c>
      <c r="J162" s="27">
        <v>0</v>
      </c>
      <c r="K162" s="27">
        <f t="shared" si="63"/>
        <v>2535352.08</v>
      </c>
      <c r="L162" s="27">
        <v>136004</v>
      </c>
      <c r="N162" s="24"/>
    </row>
    <row r="163" spans="1:14">
      <c r="A163" s="201"/>
      <c r="B163" s="178"/>
      <c r="C163" s="107" t="s">
        <v>18</v>
      </c>
      <c r="D163" s="27">
        <v>1958247.16</v>
      </c>
      <c r="E163" s="27">
        <v>125964.12</v>
      </c>
      <c r="F163" s="27">
        <f t="shared" si="62"/>
        <v>2084211.2799999998</v>
      </c>
      <c r="G163" s="27">
        <v>306418.86</v>
      </c>
      <c r="H163" s="27">
        <v>0</v>
      </c>
      <c r="I163" s="27">
        <v>0</v>
      </c>
      <c r="J163" s="27">
        <v>0</v>
      </c>
      <c r="K163" s="27">
        <f t="shared" si="63"/>
        <v>2390630.1399999997</v>
      </c>
      <c r="L163" s="27">
        <v>136004</v>
      </c>
      <c r="N163" s="24"/>
    </row>
    <row r="164" spans="1:14">
      <c r="A164" s="201"/>
      <c r="B164" s="184" t="s">
        <v>23</v>
      </c>
      <c r="C164" s="108" t="s">
        <v>16</v>
      </c>
      <c r="D164" s="27">
        <f t="shared" ref="D164:G166" si="64">D161+D158+D155</f>
        <v>5107997.3899999997</v>
      </c>
      <c r="E164" s="27">
        <f t="shared" si="64"/>
        <v>261821.45999999996</v>
      </c>
      <c r="F164" s="27">
        <f t="shared" si="64"/>
        <v>5369818.8499999996</v>
      </c>
      <c r="G164" s="27">
        <f t="shared" si="64"/>
        <v>852951.61</v>
      </c>
      <c r="H164" s="27">
        <v>0</v>
      </c>
      <c r="I164" s="27">
        <f t="shared" ref="I164:K166" si="65">I161+I158+I155</f>
        <v>0</v>
      </c>
      <c r="J164" s="27">
        <f t="shared" si="65"/>
        <v>0</v>
      </c>
      <c r="K164" s="27">
        <f t="shared" si="65"/>
        <v>6222770.46</v>
      </c>
      <c r="L164" s="27">
        <f>L161+L158+L155+11506</f>
        <v>390764</v>
      </c>
      <c r="M164" s="109">
        <f>M161+M158+M155+11506</f>
        <v>11506</v>
      </c>
      <c r="N164" s="24">
        <f>N155+N158+N161</f>
        <v>771.69</v>
      </c>
    </row>
    <row r="165" spans="1:14">
      <c r="A165" s="201"/>
      <c r="B165" s="184"/>
      <c r="C165" s="108" t="s">
        <v>17</v>
      </c>
      <c r="D165" s="27">
        <f t="shared" si="64"/>
        <v>5053975.7299999995</v>
      </c>
      <c r="E165" s="27">
        <f t="shared" si="64"/>
        <v>261837.55000000002</v>
      </c>
      <c r="F165" s="27">
        <f t="shared" si="64"/>
        <v>5315813.28</v>
      </c>
      <c r="G165" s="27">
        <f t="shared" si="64"/>
        <v>852939.06</v>
      </c>
      <c r="H165" s="27">
        <f>H162+H159+H156</f>
        <v>0</v>
      </c>
      <c r="I165" s="27">
        <f t="shared" si="65"/>
        <v>0</v>
      </c>
      <c r="J165" s="27">
        <f t="shared" si="65"/>
        <v>0</v>
      </c>
      <c r="K165" s="27">
        <f t="shared" si="65"/>
        <v>6168752.3399999999</v>
      </c>
      <c r="L165" s="27">
        <v>390764</v>
      </c>
      <c r="M165" s="109">
        <v>390764</v>
      </c>
      <c r="N165" s="24">
        <f>N156+N159+N162</f>
        <v>600.69000000000005</v>
      </c>
    </row>
    <row r="166" spans="1:14">
      <c r="A166" s="201"/>
      <c r="B166" s="184"/>
      <c r="C166" s="107" t="s">
        <v>18</v>
      </c>
      <c r="D166" s="27">
        <f t="shared" si="64"/>
        <v>4927098.72</v>
      </c>
      <c r="E166" s="27">
        <f t="shared" si="64"/>
        <v>261837.55000000002</v>
      </c>
      <c r="F166" s="27">
        <f t="shared" si="64"/>
        <v>5188936.2699999996</v>
      </c>
      <c r="G166" s="27">
        <f t="shared" si="64"/>
        <v>835094.13</v>
      </c>
      <c r="H166" s="27">
        <f>H163+H160+H157</f>
        <v>0</v>
      </c>
      <c r="I166" s="27">
        <f t="shared" si="65"/>
        <v>0</v>
      </c>
      <c r="J166" s="27">
        <f t="shared" si="65"/>
        <v>0</v>
      </c>
      <c r="K166" s="27">
        <f t="shared" si="65"/>
        <v>6024030.3999999994</v>
      </c>
      <c r="L166" s="27">
        <v>390764</v>
      </c>
      <c r="N166" s="24">
        <v>771.69</v>
      </c>
    </row>
    <row r="167" spans="1:14">
      <c r="A167" s="201"/>
      <c r="B167" s="184"/>
      <c r="C167" s="79" t="s">
        <v>51</v>
      </c>
      <c r="D167" s="80">
        <v>5107997.3899999997</v>
      </c>
      <c r="E167" s="80">
        <v>261821.46</v>
      </c>
      <c r="F167" s="80">
        <f>D167+E167</f>
        <v>5369818.8499999996</v>
      </c>
      <c r="G167" s="80">
        <v>852951.61</v>
      </c>
      <c r="H167" s="80">
        <v>0</v>
      </c>
      <c r="I167" s="80">
        <f>I165-I166</f>
        <v>0</v>
      </c>
      <c r="J167" s="80">
        <f>J165-J166</f>
        <v>0</v>
      </c>
      <c r="K167" s="80">
        <f>F167+G167</f>
        <v>6222770.46</v>
      </c>
      <c r="L167" s="80">
        <f>L164</f>
        <v>390764</v>
      </c>
      <c r="M167" s="82">
        <f>M164</f>
        <v>11506</v>
      </c>
      <c r="N167" s="53">
        <f>N164</f>
        <v>771.69</v>
      </c>
    </row>
    <row r="168" spans="1:14">
      <c r="A168" s="201"/>
      <c r="B168" s="184"/>
      <c r="C168" s="79" t="s">
        <v>48</v>
      </c>
      <c r="D168" s="80">
        <v>180898.67</v>
      </c>
      <c r="E168" s="80">
        <v>-16.09</v>
      </c>
      <c r="F168" s="80">
        <f>D168+E168</f>
        <v>180882.58000000002</v>
      </c>
      <c r="G168" s="80">
        <v>17857.48</v>
      </c>
      <c r="H168" s="80">
        <v>0</v>
      </c>
      <c r="I168" s="80"/>
      <c r="J168" s="80"/>
      <c r="K168" s="80">
        <f>F168+G168</f>
        <v>198740.06000000003</v>
      </c>
      <c r="L168" s="80">
        <v>390764</v>
      </c>
      <c r="M168" s="82">
        <v>390764</v>
      </c>
      <c r="N168" s="53">
        <v>0</v>
      </c>
    </row>
    <row r="169" spans="1:14">
      <c r="A169" s="201"/>
      <c r="B169" s="184"/>
      <c r="C169" s="79" t="s">
        <v>26</v>
      </c>
      <c r="D169" s="80">
        <f>D166+D168</f>
        <v>5107997.3899999997</v>
      </c>
      <c r="E169" s="80">
        <f t="shared" ref="E169:K169" si="66">E166+E168</f>
        <v>261821.46000000002</v>
      </c>
      <c r="F169" s="80">
        <f t="shared" si="66"/>
        <v>5369818.8499999996</v>
      </c>
      <c r="G169" s="80">
        <f t="shared" si="66"/>
        <v>852951.61</v>
      </c>
      <c r="H169" s="80">
        <v>0</v>
      </c>
      <c r="I169" s="80">
        <f t="shared" si="66"/>
        <v>0</v>
      </c>
      <c r="J169" s="80">
        <f t="shared" si="66"/>
        <v>0</v>
      </c>
      <c r="K169" s="80">
        <f t="shared" si="66"/>
        <v>6222770.459999999</v>
      </c>
      <c r="L169" s="80">
        <v>390764</v>
      </c>
      <c r="M169" s="82">
        <v>390764</v>
      </c>
      <c r="N169" s="53">
        <v>0</v>
      </c>
    </row>
    <row r="170" spans="1:14">
      <c r="A170" s="202"/>
      <c r="B170" s="182" t="s">
        <v>28</v>
      </c>
      <c r="C170" s="49" t="s">
        <v>16</v>
      </c>
      <c r="D170" s="22">
        <f>1370640.22+285722.58-47620.43</f>
        <v>1608742.37</v>
      </c>
      <c r="E170" s="22">
        <f>205576.83-136502.09</f>
        <v>69074.739999999991</v>
      </c>
      <c r="F170" s="22">
        <f t="shared" ref="F170:F176" si="67">D170+E170</f>
        <v>1677817.11</v>
      </c>
      <c r="G170" s="22">
        <f>306451.07-22678.9</f>
        <v>283772.17</v>
      </c>
      <c r="H170" s="22">
        <v>0</v>
      </c>
      <c r="I170" s="22">
        <v>0</v>
      </c>
      <c r="J170" s="22">
        <v>0</v>
      </c>
      <c r="K170" s="22">
        <f t="shared" ref="K170:K180" si="68">J170+I170+H170+G170+E170+D170</f>
        <v>1961589.28</v>
      </c>
      <c r="L170" s="22">
        <f>112060.14-12796.14</f>
        <v>99264</v>
      </c>
      <c r="N170" s="24">
        <v>0</v>
      </c>
    </row>
    <row r="171" spans="1:14">
      <c r="A171" s="202"/>
      <c r="B171" s="183"/>
      <c r="C171" s="49" t="s">
        <v>17</v>
      </c>
      <c r="D171" s="22">
        <v>1607601.58</v>
      </c>
      <c r="E171" s="22">
        <v>69074.740000000005</v>
      </c>
      <c r="F171" s="22">
        <f t="shared" si="67"/>
        <v>1676676.32</v>
      </c>
      <c r="G171" s="22">
        <v>270676.69</v>
      </c>
      <c r="H171" s="22">
        <v>0</v>
      </c>
      <c r="I171" s="22">
        <v>0</v>
      </c>
      <c r="J171" s="22">
        <v>0</v>
      </c>
      <c r="K171" s="22">
        <f t="shared" si="68"/>
        <v>1947353.01</v>
      </c>
      <c r="L171" s="22">
        <v>99264</v>
      </c>
      <c r="N171" s="24">
        <v>0</v>
      </c>
    </row>
    <row r="172" spans="1:14">
      <c r="A172" s="202"/>
      <c r="B172" s="183"/>
      <c r="C172" s="83" t="s">
        <v>18</v>
      </c>
      <c r="D172" s="22">
        <v>1607601.58</v>
      </c>
      <c r="E172" s="22">
        <v>69074.740000000005</v>
      </c>
      <c r="F172" s="22">
        <f t="shared" si="67"/>
        <v>1676676.32</v>
      </c>
      <c r="G172" s="22">
        <v>270676.69</v>
      </c>
      <c r="H172" s="22">
        <v>0</v>
      </c>
      <c r="I172" s="22">
        <v>0</v>
      </c>
      <c r="J172" s="22">
        <v>0</v>
      </c>
      <c r="K172" s="22">
        <f t="shared" si="68"/>
        <v>1947353.01</v>
      </c>
      <c r="L172" s="22">
        <v>99264</v>
      </c>
      <c r="N172" s="24">
        <v>0</v>
      </c>
    </row>
    <row r="173" spans="1:14">
      <c r="A173" s="202"/>
      <c r="B173" s="182" t="s">
        <v>29</v>
      </c>
      <c r="C173" s="49" t="s">
        <v>16</v>
      </c>
      <c r="D173" s="22">
        <v>1958649.01</v>
      </c>
      <c r="E173" s="22">
        <f>205576.83-112650.95</f>
        <v>92925.87999999999</v>
      </c>
      <c r="F173" s="22">
        <f t="shared" si="67"/>
        <v>2051574.89</v>
      </c>
      <c r="G173" s="22">
        <v>306451.07</v>
      </c>
      <c r="H173" s="22">
        <v>0</v>
      </c>
      <c r="I173" s="22">
        <v>0</v>
      </c>
      <c r="J173" s="22">
        <v>0</v>
      </c>
      <c r="K173" s="22">
        <f t="shared" si="68"/>
        <v>2358025.96</v>
      </c>
      <c r="L173" s="22">
        <f>124856.28+11774.72</f>
        <v>136631</v>
      </c>
      <c r="N173" s="24">
        <v>2293.48</v>
      </c>
    </row>
    <row r="174" spans="1:14">
      <c r="A174" s="202"/>
      <c r="B174" s="183"/>
      <c r="C174" s="49" t="s">
        <v>17</v>
      </c>
      <c r="D174" s="22">
        <v>1989967.73</v>
      </c>
      <c r="E174" s="22">
        <v>92925.88</v>
      </c>
      <c r="F174" s="22">
        <f t="shared" si="67"/>
        <v>2082893.6099999999</v>
      </c>
      <c r="G174" s="84">
        <v>318140.74</v>
      </c>
      <c r="H174" s="22">
        <v>0</v>
      </c>
      <c r="I174" s="22">
        <v>0</v>
      </c>
      <c r="J174" s="22">
        <v>0</v>
      </c>
      <c r="K174" s="22">
        <f t="shared" si="68"/>
        <v>2401034.35</v>
      </c>
      <c r="L174" s="110">
        <v>136631</v>
      </c>
      <c r="N174" s="24">
        <v>2293.48</v>
      </c>
    </row>
    <row r="175" spans="1:14">
      <c r="A175" s="202"/>
      <c r="B175" s="183"/>
      <c r="C175" s="83" t="s">
        <v>18</v>
      </c>
      <c r="D175" s="22">
        <v>1958083.78</v>
      </c>
      <c r="E175" s="22">
        <v>92925.88</v>
      </c>
      <c r="F175" s="22">
        <f t="shared" si="67"/>
        <v>2051009.6600000001</v>
      </c>
      <c r="G175" s="22">
        <v>306425.48</v>
      </c>
      <c r="H175" s="22">
        <v>0</v>
      </c>
      <c r="I175" s="22">
        <v>0</v>
      </c>
      <c r="J175" s="22">
        <v>0</v>
      </c>
      <c r="K175" s="22">
        <f t="shared" si="68"/>
        <v>2357435.14</v>
      </c>
      <c r="L175" s="22">
        <v>136631</v>
      </c>
      <c r="N175" s="24">
        <v>2293.48</v>
      </c>
    </row>
    <row r="176" spans="1:14">
      <c r="A176" s="202"/>
      <c r="B176" s="179" t="s">
        <v>30</v>
      </c>
      <c r="C176" s="49" t="s">
        <v>16</v>
      </c>
      <c r="D176" s="22">
        <f>1370640.22+285722.58-24009.35</f>
        <v>1632353.45</v>
      </c>
      <c r="E176" s="22">
        <f>205576.83-107936.59</f>
        <v>97640.239999999991</v>
      </c>
      <c r="F176" s="22">
        <f t="shared" si="67"/>
        <v>1729993.69</v>
      </c>
      <c r="G176" s="22">
        <v>306451.07</v>
      </c>
      <c r="H176" s="22">
        <v>0</v>
      </c>
      <c r="I176" s="22">
        <v>0</v>
      </c>
      <c r="J176" s="22">
        <v>0</v>
      </c>
      <c r="K176" s="22">
        <f t="shared" si="68"/>
        <v>2036444.76</v>
      </c>
      <c r="L176" s="22">
        <f>107844+3773</f>
        <v>111617</v>
      </c>
      <c r="N176" s="24">
        <v>602.94000000000005</v>
      </c>
    </row>
    <row r="177" spans="1:14">
      <c r="A177" s="202"/>
      <c r="B177" s="178"/>
      <c r="C177" s="49" t="s">
        <v>17</v>
      </c>
      <c r="D177" s="22">
        <v>1567483.74</v>
      </c>
      <c r="E177" s="22">
        <v>98237.77</v>
      </c>
      <c r="F177" s="22">
        <f>SUM(D177:E177)</f>
        <v>1665721.51</v>
      </c>
      <c r="G177" s="22">
        <v>312825.24</v>
      </c>
      <c r="H177" s="22">
        <v>0</v>
      </c>
      <c r="I177" s="22">
        <v>0</v>
      </c>
      <c r="J177" s="22">
        <v>0</v>
      </c>
      <c r="K177" s="22">
        <f t="shared" si="68"/>
        <v>1978546.75</v>
      </c>
      <c r="L177" s="22">
        <v>107844</v>
      </c>
      <c r="N177" s="24">
        <v>602.94000000000005</v>
      </c>
    </row>
    <row r="178" spans="1:14">
      <c r="A178" s="202"/>
      <c r="B178" s="178"/>
      <c r="C178" s="83" t="s">
        <v>18</v>
      </c>
      <c r="D178" s="22">
        <f>886304.54+681179.2</f>
        <v>1567483.74</v>
      </c>
      <c r="E178" s="22">
        <v>98237.77</v>
      </c>
      <c r="F178" s="22">
        <f>SUM(D178:E178)</f>
        <v>1665721.51</v>
      </c>
      <c r="G178" s="22">
        <v>306425.78000000003</v>
      </c>
      <c r="H178" s="22">
        <v>0</v>
      </c>
      <c r="I178" s="22">
        <v>0</v>
      </c>
      <c r="J178" s="22">
        <v>0</v>
      </c>
      <c r="K178" s="22">
        <f t="shared" si="68"/>
        <v>1972147.29</v>
      </c>
      <c r="L178" s="22">
        <v>107844</v>
      </c>
      <c r="N178" s="24">
        <v>602.94000000000005</v>
      </c>
    </row>
    <row r="179" spans="1:14">
      <c r="A179" s="202"/>
      <c r="B179" s="184" t="s">
        <v>31</v>
      </c>
      <c r="C179" s="49" t="s">
        <v>16</v>
      </c>
      <c r="D179" s="22">
        <f t="shared" ref="D179:J179" si="69">D176+D173+D170</f>
        <v>5199744.83</v>
      </c>
      <c r="E179" s="22">
        <f t="shared" si="69"/>
        <v>259640.86</v>
      </c>
      <c r="F179" s="22">
        <f t="shared" si="69"/>
        <v>5459385.6900000004</v>
      </c>
      <c r="G179" s="22">
        <f t="shared" si="69"/>
        <v>896674.31</v>
      </c>
      <c r="H179" s="22">
        <f t="shared" si="69"/>
        <v>0</v>
      </c>
      <c r="I179" s="22">
        <f t="shared" si="69"/>
        <v>0</v>
      </c>
      <c r="J179" s="22">
        <f t="shared" si="69"/>
        <v>0</v>
      </c>
      <c r="K179" s="22">
        <f t="shared" si="68"/>
        <v>6356060</v>
      </c>
      <c r="L179" s="22">
        <f>L176+L173+L170</f>
        <v>347512</v>
      </c>
      <c r="N179" s="24">
        <f>N170+N173+N176</f>
        <v>2896.42</v>
      </c>
    </row>
    <row r="180" spans="1:14">
      <c r="A180" s="202"/>
      <c r="B180" s="184"/>
      <c r="C180" s="49" t="s">
        <v>17</v>
      </c>
      <c r="D180" s="22">
        <f>D177+D174+D171</f>
        <v>5165053.05</v>
      </c>
      <c r="E180" s="22">
        <f>E177+E174+E171</f>
        <v>260238.39</v>
      </c>
      <c r="F180" s="22">
        <f>D180+E180</f>
        <v>5425291.4399999995</v>
      </c>
      <c r="G180" s="22">
        <f>G177+G174+G171</f>
        <v>901642.66999999993</v>
      </c>
      <c r="H180" s="22">
        <v>0</v>
      </c>
      <c r="I180" s="22">
        <f>I177+I174+I171</f>
        <v>0</v>
      </c>
      <c r="J180" s="22">
        <f>J177+J174+J171</f>
        <v>0</v>
      </c>
      <c r="K180" s="22">
        <f t="shared" si="68"/>
        <v>6326934.1099999994</v>
      </c>
      <c r="L180" s="22">
        <f>L177+L174+L171</f>
        <v>343739</v>
      </c>
      <c r="N180" s="24">
        <f>N170+N173+N176</f>
        <v>2896.42</v>
      </c>
    </row>
    <row r="181" spans="1:14">
      <c r="A181" s="202"/>
      <c r="B181" s="184"/>
      <c r="C181" s="83" t="s">
        <v>18</v>
      </c>
      <c r="D181" s="22">
        <f>D178+D175+D172</f>
        <v>5133169.0999999996</v>
      </c>
      <c r="E181" s="22">
        <f>E178+E175+E172</f>
        <v>260238.39</v>
      </c>
      <c r="F181" s="22">
        <f>F178+F175+F172</f>
        <v>5393407.4900000002</v>
      </c>
      <c r="G181" s="22">
        <f>G178+G175+G172</f>
        <v>883527.95</v>
      </c>
      <c r="H181" s="22">
        <f>H178+H175+H172</f>
        <v>0</v>
      </c>
      <c r="I181" s="22">
        <f>I178+I175+I172</f>
        <v>0</v>
      </c>
      <c r="J181" s="22">
        <f>J178+J175+J172</f>
        <v>0</v>
      </c>
      <c r="K181" s="22">
        <f>K178+K175+K172</f>
        <v>6276935.4399999995</v>
      </c>
      <c r="L181" s="22">
        <f>L178+L175+L172</f>
        <v>343739</v>
      </c>
      <c r="N181" s="24">
        <f>N171+N174+N177</f>
        <v>2896.42</v>
      </c>
    </row>
    <row r="182" spans="1:14">
      <c r="A182" s="202"/>
      <c r="B182" s="180" t="s">
        <v>32</v>
      </c>
      <c r="C182" s="111" t="s">
        <v>16</v>
      </c>
      <c r="D182" s="112">
        <f>D164+D179</f>
        <v>10307742.219999999</v>
      </c>
      <c r="E182" s="112">
        <f>E164+E179</f>
        <v>521462.31999999995</v>
      </c>
      <c r="F182" s="112">
        <f>D182+E182</f>
        <v>10829204.539999999</v>
      </c>
      <c r="G182" s="112">
        <f>G164+G179</f>
        <v>1749625.92</v>
      </c>
      <c r="H182" s="112">
        <f>H164+H179</f>
        <v>0</v>
      </c>
      <c r="I182" s="112">
        <f>I164+I179</f>
        <v>0</v>
      </c>
      <c r="J182" s="112">
        <f>J164+J179</f>
        <v>0</v>
      </c>
      <c r="K182" s="112">
        <f>J182+I182+H182+G182+E182+D182</f>
        <v>12578830.459999999</v>
      </c>
      <c r="L182" s="112">
        <f>L164+L179</f>
        <v>738276</v>
      </c>
      <c r="M182" s="113">
        <f>M164+M179</f>
        <v>11506</v>
      </c>
      <c r="N182" s="90">
        <f>N164+N179</f>
        <v>3668.11</v>
      </c>
    </row>
    <row r="183" spans="1:14">
      <c r="A183" s="202"/>
      <c r="B183" s="181"/>
      <c r="C183" s="20" t="s">
        <v>17</v>
      </c>
      <c r="D183" s="21">
        <f t="shared" ref="D183:K183" si="70">D167+D180</f>
        <v>10273050.439999999</v>
      </c>
      <c r="E183" s="21">
        <f t="shared" si="70"/>
        <v>522059.85</v>
      </c>
      <c r="F183" s="21">
        <f t="shared" si="70"/>
        <v>10795110.289999999</v>
      </c>
      <c r="G183" s="21">
        <f t="shared" si="70"/>
        <v>1754594.2799999998</v>
      </c>
      <c r="H183" s="21">
        <f t="shared" si="70"/>
        <v>0</v>
      </c>
      <c r="I183" s="21">
        <f t="shared" si="70"/>
        <v>0</v>
      </c>
      <c r="J183" s="21">
        <f t="shared" si="70"/>
        <v>0</v>
      </c>
      <c r="K183" s="21">
        <f t="shared" si="70"/>
        <v>12549704.57</v>
      </c>
      <c r="L183" s="23">
        <f>L180+L165</f>
        <v>734503</v>
      </c>
      <c r="N183" s="24">
        <v>3668.11</v>
      </c>
    </row>
    <row r="184" spans="1:14">
      <c r="A184" s="202"/>
      <c r="B184" s="181"/>
      <c r="C184" s="148" t="s">
        <v>18</v>
      </c>
      <c r="D184" s="21">
        <f t="shared" ref="D184:K184" si="71">D169+D181</f>
        <v>10241166.489999998</v>
      </c>
      <c r="E184" s="21">
        <f t="shared" si="71"/>
        <v>522059.85000000003</v>
      </c>
      <c r="F184" s="21">
        <f t="shared" si="71"/>
        <v>10763226.34</v>
      </c>
      <c r="G184" s="21">
        <f t="shared" si="71"/>
        <v>1736479.56</v>
      </c>
      <c r="H184" s="21">
        <f t="shared" si="71"/>
        <v>0</v>
      </c>
      <c r="I184" s="21">
        <f t="shared" si="71"/>
        <v>0</v>
      </c>
      <c r="J184" s="21">
        <f t="shared" si="71"/>
        <v>0</v>
      </c>
      <c r="K184" s="21">
        <f t="shared" si="71"/>
        <v>12499705.899999999</v>
      </c>
      <c r="L184" s="23">
        <f>L181+L166</f>
        <v>734503</v>
      </c>
      <c r="N184" s="24">
        <f>N166+N181</f>
        <v>3668.11</v>
      </c>
    </row>
    <row r="185" spans="1:14">
      <c r="A185" s="202"/>
      <c r="B185" s="178"/>
      <c r="C185" s="114" t="s">
        <v>51</v>
      </c>
      <c r="D185" s="88">
        <v>10307742.220000001</v>
      </c>
      <c r="E185" s="88">
        <v>521462.32</v>
      </c>
      <c r="F185" s="88">
        <f>D185+E185</f>
        <v>10829204.540000001</v>
      </c>
      <c r="G185" s="88">
        <v>1749625.92</v>
      </c>
      <c r="H185" s="88"/>
      <c r="I185" s="88"/>
      <c r="J185" s="88"/>
      <c r="K185" s="88">
        <f>F185+G185</f>
        <v>12578830.460000001</v>
      </c>
      <c r="L185" s="88">
        <v>738276</v>
      </c>
      <c r="M185" s="115"/>
      <c r="N185" s="90">
        <f>N168+N182</f>
        <v>3668.11</v>
      </c>
    </row>
    <row r="186" spans="1:14">
      <c r="A186" s="202"/>
      <c r="B186" s="178"/>
      <c r="C186" s="114" t="s">
        <v>48</v>
      </c>
      <c r="D186" s="88">
        <v>66575.73</v>
      </c>
      <c r="E186" s="88">
        <v>-597.53</v>
      </c>
      <c r="F186" s="88">
        <f>D186+E186</f>
        <v>65978.2</v>
      </c>
      <c r="G186" s="88">
        <v>13146.36</v>
      </c>
      <c r="H186" s="88"/>
      <c r="I186" s="88"/>
      <c r="J186" s="88"/>
      <c r="K186" s="88">
        <f>F186+G186</f>
        <v>79124.56</v>
      </c>
      <c r="L186" s="88">
        <v>3773</v>
      </c>
      <c r="M186" s="115"/>
      <c r="N186" s="90">
        <f>N169+N183</f>
        <v>3668.11</v>
      </c>
    </row>
    <row r="187" spans="1:14">
      <c r="A187" s="202"/>
      <c r="B187" s="178"/>
      <c r="C187" s="114" t="s">
        <v>26</v>
      </c>
      <c r="D187" s="88">
        <f>D184+D186</f>
        <v>10307742.219999999</v>
      </c>
      <c r="E187" s="88">
        <f>E184+E186</f>
        <v>521462.32</v>
      </c>
      <c r="F187" s="88">
        <f>D187+E187</f>
        <v>10829204.539999999</v>
      </c>
      <c r="G187" s="88">
        <f t="shared" ref="G187:L187" si="72">G184+G186</f>
        <v>1749625.9200000002</v>
      </c>
      <c r="H187" s="88">
        <f t="shared" si="72"/>
        <v>0</v>
      </c>
      <c r="I187" s="88">
        <f t="shared" si="72"/>
        <v>0</v>
      </c>
      <c r="J187" s="88">
        <f t="shared" si="72"/>
        <v>0</v>
      </c>
      <c r="K187" s="88">
        <f t="shared" si="72"/>
        <v>12578830.459999999</v>
      </c>
      <c r="L187" s="88">
        <f t="shared" si="72"/>
        <v>738276</v>
      </c>
      <c r="M187" s="115"/>
      <c r="N187" s="90">
        <f>N186</f>
        <v>3668.11</v>
      </c>
    </row>
    <row r="188" spans="1:14">
      <c r="A188" s="202"/>
      <c r="B188" s="171" t="s">
        <v>33</v>
      </c>
      <c r="C188" s="20" t="s">
        <v>16</v>
      </c>
      <c r="D188" s="21">
        <f>1306939.32+237449.83-33583.17</f>
        <v>1510805.9800000002</v>
      </c>
      <c r="E188" s="21">
        <f>205867.75-76477.93</f>
        <v>129389.82</v>
      </c>
      <c r="F188" s="21">
        <f t="shared" ref="F188:F196" si="73">SUM(D188:E188)</f>
        <v>1640195.8000000003</v>
      </c>
      <c r="G188" s="21">
        <f>352309-39391</f>
        <v>312918</v>
      </c>
      <c r="H188" s="49">
        <v>0</v>
      </c>
      <c r="I188" s="49">
        <v>0</v>
      </c>
      <c r="J188" s="49">
        <v>0</v>
      </c>
      <c r="K188" s="21">
        <f>D188+E188+G188+H188+I188+J188</f>
        <v>1953113.8000000003</v>
      </c>
      <c r="L188" s="23">
        <v>112475</v>
      </c>
      <c r="N188" s="24">
        <v>0</v>
      </c>
    </row>
    <row r="189" spans="1:14">
      <c r="A189" s="202"/>
      <c r="B189" s="172"/>
      <c r="C189" s="20" t="s">
        <v>17</v>
      </c>
      <c r="D189" s="21">
        <v>1480319.96</v>
      </c>
      <c r="E189" s="21">
        <v>129389.82</v>
      </c>
      <c r="F189" s="21">
        <f t="shared" si="73"/>
        <v>1609709.78</v>
      </c>
      <c r="G189" s="21">
        <v>312918</v>
      </c>
      <c r="H189" s="49">
        <v>0</v>
      </c>
      <c r="I189" s="49">
        <v>0</v>
      </c>
      <c r="J189" s="49">
        <v>0</v>
      </c>
      <c r="K189" s="21">
        <f>D189+E189+G189+H189+I189+J189</f>
        <v>1922627.78</v>
      </c>
      <c r="L189" s="23">
        <v>112475</v>
      </c>
      <c r="N189" s="24">
        <v>0</v>
      </c>
    </row>
    <row r="190" spans="1:14">
      <c r="A190" s="202"/>
      <c r="B190" s="172"/>
      <c r="C190" s="20" t="s">
        <v>18</v>
      </c>
      <c r="D190" s="21">
        <v>1480319.96</v>
      </c>
      <c r="E190" s="21">
        <v>129389.82</v>
      </c>
      <c r="F190" s="21">
        <f t="shared" si="73"/>
        <v>1609709.78</v>
      </c>
      <c r="G190" s="21">
        <v>312918</v>
      </c>
      <c r="H190" s="49">
        <v>0</v>
      </c>
      <c r="I190" s="49">
        <v>0</v>
      </c>
      <c r="J190" s="49">
        <v>0</v>
      </c>
      <c r="K190" s="21">
        <f>D190+E190+G190+H190+I190+J190</f>
        <v>1922627.78</v>
      </c>
      <c r="L190" s="23">
        <v>112475</v>
      </c>
      <c r="N190" s="24">
        <v>0</v>
      </c>
    </row>
    <row r="191" spans="1:14">
      <c r="A191" s="202"/>
      <c r="B191" s="171" t="s">
        <v>34</v>
      </c>
      <c r="C191" s="20" t="s">
        <v>16</v>
      </c>
      <c r="D191" s="21">
        <f>1640913.47-32826.16</f>
        <v>1608087.31</v>
      </c>
      <c r="E191" s="21">
        <f>205867.75-112841.05</f>
        <v>93026.7</v>
      </c>
      <c r="F191" s="21">
        <f t="shared" si="73"/>
        <v>1701114.01</v>
      </c>
      <c r="G191" s="21">
        <f>352309-48728</f>
        <v>303581</v>
      </c>
      <c r="H191" s="49">
        <v>0</v>
      </c>
      <c r="I191" s="49">
        <v>0</v>
      </c>
      <c r="J191" s="49">
        <v>0</v>
      </c>
      <c r="K191" s="21">
        <f>D191+E191+G191+H191+I191+J191</f>
        <v>2004695.01</v>
      </c>
      <c r="L191" s="23">
        <v>117183</v>
      </c>
      <c r="N191" s="24">
        <v>0</v>
      </c>
    </row>
    <row r="192" spans="1:14">
      <c r="A192" s="202"/>
      <c r="B192" s="172"/>
      <c r="C192" s="20" t="s">
        <v>17</v>
      </c>
      <c r="D192" s="21">
        <v>1608087.31</v>
      </c>
      <c r="E192" s="21">
        <v>93026.7</v>
      </c>
      <c r="F192" s="21">
        <f t="shared" si="73"/>
        <v>1701114.01</v>
      </c>
      <c r="G192" s="21">
        <v>303581</v>
      </c>
      <c r="H192" s="49">
        <v>0</v>
      </c>
      <c r="I192" s="49">
        <v>0</v>
      </c>
      <c r="J192" s="49">
        <v>0</v>
      </c>
      <c r="K192" s="21">
        <f>J192+I192+H192+G192+E192+D192</f>
        <v>2004695.01</v>
      </c>
      <c r="L192" s="23">
        <v>117183</v>
      </c>
      <c r="N192" s="24">
        <v>0</v>
      </c>
    </row>
    <row r="193" spans="1:15">
      <c r="A193" s="202"/>
      <c r="B193" s="172"/>
      <c r="C193" s="20" t="s">
        <v>18</v>
      </c>
      <c r="D193" s="21">
        <v>1608087.31</v>
      </c>
      <c r="E193" s="21">
        <v>93026.7</v>
      </c>
      <c r="F193" s="21">
        <f t="shared" si="73"/>
        <v>1701114.01</v>
      </c>
      <c r="G193" s="21">
        <v>303581</v>
      </c>
      <c r="H193" s="49">
        <v>0</v>
      </c>
      <c r="I193" s="49">
        <v>0</v>
      </c>
      <c r="J193" s="49">
        <v>0</v>
      </c>
      <c r="K193" s="21">
        <f>J193+I193+H193+G193+E193+D193</f>
        <v>2004695.01</v>
      </c>
      <c r="L193" s="23">
        <v>117183</v>
      </c>
      <c r="N193" s="24">
        <v>0</v>
      </c>
    </row>
    <row r="194" spans="1:15">
      <c r="A194" s="202"/>
      <c r="B194" s="194" t="s">
        <v>35</v>
      </c>
      <c r="C194" s="20" t="s">
        <v>16</v>
      </c>
      <c r="D194" s="21">
        <f>1306939.32+140925.51</f>
        <v>1447864.83</v>
      </c>
      <c r="E194" s="21">
        <f>205867.75-100000-26165.66</f>
        <v>79702.09</v>
      </c>
      <c r="F194" s="21">
        <f t="shared" si="73"/>
        <v>1527566.9200000002</v>
      </c>
      <c r="G194" s="21">
        <f>352309-20000-30706</f>
        <v>301603</v>
      </c>
      <c r="H194" s="49">
        <v>0</v>
      </c>
      <c r="I194" s="49">
        <v>0</v>
      </c>
      <c r="J194" s="49">
        <v>0</v>
      </c>
      <c r="K194" s="21">
        <f>D194+E194+G194+H194+I194+J194</f>
        <v>1829169.9200000002</v>
      </c>
      <c r="L194" s="23">
        <f>251823.91-148467.91+2079</f>
        <v>105435</v>
      </c>
      <c r="N194" s="24">
        <v>3940.95</v>
      </c>
    </row>
    <row r="195" spans="1:15">
      <c r="A195" s="202"/>
      <c r="B195" s="195"/>
      <c r="C195" s="20" t="s">
        <v>17</v>
      </c>
      <c r="D195" s="21">
        <v>1444369.11</v>
      </c>
      <c r="E195" s="21">
        <v>79695.19</v>
      </c>
      <c r="F195" s="21">
        <f t="shared" si="73"/>
        <v>1524064.3</v>
      </c>
      <c r="G195" s="21">
        <v>300186</v>
      </c>
      <c r="H195" s="49">
        <v>0</v>
      </c>
      <c r="I195" s="49">
        <v>0</v>
      </c>
      <c r="J195" s="49">
        <v>0</v>
      </c>
      <c r="K195" s="21">
        <f>J195+I195+H195+G195+E195+D195</f>
        <v>1824250.3</v>
      </c>
      <c r="L195" s="23">
        <v>103356</v>
      </c>
      <c r="N195" s="24">
        <v>3940.95</v>
      </c>
    </row>
    <row r="196" spans="1:15">
      <c r="A196" s="202"/>
      <c r="B196" s="195"/>
      <c r="C196" s="20" t="s">
        <v>18</v>
      </c>
      <c r="D196" s="21">
        <v>1444369.11</v>
      </c>
      <c r="E196" s="21">
        <v>79695.19</v>
      </c>
      <c r="F196" s="21">
        <f t="shared" si="73"/>
        <v>1524064.3</v>
      </c>
      <c r="G196" s="21">
        <v>300186</v>
      </c>
      <c r="H196" s="49">
        <v>0</v>
      </c>
      <c r="I196" s="49">
        <v>0</v>
      </c>
      <c r="J196" s="49">
        <v>0</v>
      </c>
      <c r="K196" s="21">
        <f>J196+I196+H196+G196+E196+D196</f>
        <v>1824250.3</v>
      </c>
      <c r="L196" s="23">
        <v>103356</v>
      </c>
      <c r="N196" s="24">
        <v>3940.95</v>
      </c>
    </row>
    <row r="197" spans="1:15">
      <c r="A197" s="202"/>
      <c r="B197" s="171" t="s">
        <v>36</v>
      </c>
      <c r="C197" s="111" t="s">
        <v>16</v>
      </c>
      <c r="D197" s="112">
        <f t="shared" ref="D197:L197" si="74">D188+D191+D194</f>
        <v>4566758.12</v>
      </c>
      <c r="E197" s="112">
        <f t="shared" si="74"/>
        <v>302118.61</v>
      </c>
      <c r="F197" s="112">
        <f t="shared" si="74"/>
        <v>4868876.7300000004</v>
      </c>
      <c r="G197" s="112">
        <f t="shared" si="74"/>
        <v>918102</v>
      </c>
      <c r="H197" s="112">
        <f t="shared" si="74"/>
        <v>0</v>
      </c>
      <c r="I197" s="112">
        <f t="shared" si="74"/>
        <v>0</v>
      </c>
      <c r="J197" s="112">
        <f t="shared" si="74"/>
        <v>0</v>
      </c>
      <c r="K197" s="112">
        <f t="shared" si="74"/>
        <v>5786978.7300000004</v>
      </c>
      <c r="L197" s="112">
        <f t="shared" si="74"/>
        <v>335093</v>
      </c>
      <c r="N197" s="90">
        <f>N188+N191+N194</f>
        <v>3940.95</v>
      </c>
    </row>
    <row r="198" spans="1:15">
      <c r="A198" s="202"/>
      <c r="B198" s="172"/>
      <c r="C198" s="20" t="s">
        <v>17</v>
      </c>
      <c r="D198" s="21">
        <f t="shared" ref="D198:L198" si="75">D189+D192+D195</f>
        <v>4532776.38</v>
      </c>
      <c r="E198" s="21">
        <f t="shared" si="75"/>
        <v>302111.71000000002</v>
      </c>
      <c r="F198" s="21">
        <f t="shared" si="75"/>
        <v>4834888.09</v>
      </c>
      <c r="G198" s="21">
        <f t="shared" si="75"/>
        <v>916685</v>
      </c>
      <c r="H198" s="21">
        <f t="shared" si="75"/>
        <v>0</v>
      </c>
      <c r="I198" s="21">
        <f t="shared" si="75"/>
        <v>0</v>
      </c>
      <c r="J198" s="21">
        <f t="shared" si="75"/>
        <v>0</v>
      </c>
      <c r="K198" s="21">
        <f t="shared" si="75"/>
        <v>5751573.0899999999</v>
      </c>
      <c r="L198" s="21">
        <f t="shared" si="75"/>
        <v>333014</v>
      </c>
      <c r="N198" s="24">
        <f>N189+N192+N195</f>
        <v>3940.95</v>
      </c>
    </row>
    <row r="199" spans="1:15">
      <c r="A199" s="202"/>
      <c r="B199" s="172"/>
      <c r="C199" s="20" t="s">
        <v>18</v>
      </c>
      <c r="D199" s="21">
        <f t="shared" ref="D199:L199" si="76">D190+D193+D196</f>
        <v>4532776.38</v>
      </c>
      <c r="E199" s="21">
        <f t="shared" si="76"/>
        <v>302111.71000000002</v>
      </c>
      <c r="F199" s="21">
        <f t="shared" si="76"/>
        <v>4834888.09</v>
      </c>
      <c r="G199" s="21">
        <f t="shared" si="76"/>
        <v>916685</v>
      </c>
      <c r="H199" s="21">
        <f t="shared" si="76"/>
        <v>0</v>
      </c>
      <c r="I199" s="21">
        <f t="shared" si="76"/>
        <v>0</v>
      </c>
      <c r="J199" s="21">
        <f t="shared" si="76"/>
        <v>0</v>
      </c>
      <c r="K199" s="21">
        <f t="shared" si="76"/>
        <v>5751573.0899999999</v>
      </c>
      <c r="L199" s="21">
        <f t="shared" si="76"/>
        <v>333014</v>
      </c>
      <c r="N199" s="24">
        <f>N190+N193+N196</f>
        <v>3940.95</v>
      </c>
    </row>
    <row r="200" spans="1:15">
      <c r="A200" s="202"/>
      <c r="B200" s="172"/>
      <c r="C200" s="20" t="s">
        <v>37</v>
      </c>
      <c r="D200" s="21">
        <f t="shared" ref="D200:L200" si="77">D190+D193+D196</f>
        <v>4532776.38</v>
      </c>
      <c r="E200" s="21">
        <f t="shared" si="77"/>
        <v>302111.71000000002</v>
      </c>
      <c r="F200" s="21">
        <f t="shared" si="77"/>
        <v>4834888.09</v>
      </c>
      <c r="G200" s="21">
        <f t="shared" si="77"/>
        <v>916685</v>
      </c>
      <c r="H200" s="21">
        <f t="shared" si="77"/>
        <v>0</v>
      </c>
      <c r="I200" s="21">
        <f t="shared" si="77"/>
        <v>0</v>
      </c>
      <c r="J200" s="21">
        <f t="shared" si="77"/>
        <v>0</v>
      </c>
      <c r="K200" s="21">
        <f t="shared" si="77"/>
        <v>5751573.0899999999</v>
      </c>
      <c r="L200" s="21">
        <f t="shared" si="77"/>
        <v>333014</v>
      </c>
      <c r="N200" s="24">
        <v>3940.95</v>
      </c>
    </row>
    <row r="201" spans="1:15">
      <c r="A201" s="202"/>
      <c r="B201" s="178"/>
      <c r="C201" s="98" t="s">
        <v>51</v>
      </c>
      <c r="D201" s="32">
        <v>4566758.12</v>
      </c>
      <c r="E201" s="32">
        <v>302118.61</v>
      </c>
      <c r="F201" s="32">
        <f>D201+E201</f>
        <v>4868876.7300000004</v>
      </c>
      <c r="G201" s="32">
        <v>918102</v>
      </c>
      <c r="H201" s="32"/>
      <c r="I201" s="32"/>
      <c r="J201" s="32"/>
      <c r="K201" s="32">
        <f>F201+G201</f>
        <v>5786978.7300000004</v>
      </c>
      <c r="L201" s="32">
        <v>335093</v>
      </c>
      <c r="N201" s="53">
        <v>3940.95</v>
      </c>
    </row>
    <row r="202" spans="1:15">
      <c r="A202" s="202"/>
      <c r="B202" s="173"/>
      <c r="C202" s="98" t="s">
        <v>48</v>
      </c>
      <c r="D202" s="32">
        <v>33981.74</v>
      </c>
      <c r="E202" s="32">
        <v>6.9</v>
      </c>
      <c r="F202" s="32">
        <f>D202+E202</f>
        <v>33988.639999999999</v>
      </c>
      <c r="G202" s="32">
        <v>1417</v>
      </c>
      <c r="H202" s="32"/>
      <c r="I202" s="32"/>
      <c r="J202" s="32"/>
      <c r="K202" s="32">
        <f>F202+G202</f>
        <v>35405.64</v>
      </c>
      <c r="L202" s="32">
        <v>2079</v>
      </c>
      <c r="N202" s="53">
        <v>3940.95</v>
      </c>
    </row>
    <row r="203" spans="1:15">
      <c r="A203" s="202"/>
      <c r="B203" s="173"/>
      <c r="C203" s="98" t="s">
        <v>26</v>
      </c>
      <c r="D203" s="32">
        <f t="shared" ref="D203:L203" si="78">D200+D202</f>
        <v>4566758.12</v>
      </c>
      <c r="E203" s="32">
        <f t="shared" si="78"/>
        <v>302118.61000000004</v>
      </c>
      <c r="F203" s="32">
        <f t="shared" si="78"/>
        <v>4868876.7299999995</v>
      </c>
      <c r="G203" s="32">
        <f t="shared" si="78"/>
        <v>918102</v>
      </c>
      <c r="H203" s="32">
        <f t="shared" si="78"/>
        <v>0</v>
      </c>
      <c r="I203" s="32">
        <f t="shared" si="78"/>
        <v>0</v>
      </c>
      <c r="J203" s="32">
        <f t="shared" si="78"/>
        <v>0</v>
      </c>
      <c r="K203" s="32">
        <f t="shared" si="78"/>
        <v>5786978.7299999995</v>
      </c>
      <c r="L203" s="32">
        <f t="shared" si="78"/>
        <v>335093</v>
      </c>
      <c r="N203" s="53">
        <v>3940.95</v>
      </c>
    </row>
    <row r="204" spans="1:15">
      <c r="A204" s="202"/>
      <c r="B204" s="194" t="s">
        <v>38</v>
      </c>
      <c r="C204" s="20" t="s">
        <v>16</v>
      </c>
      <c r="D204" s="21">
        <f>1306939.32+494204.52-83051.55</f>
        <v>1718092.29</v>
      </c>
      <c r="E204" s="21">
        <f>205867.75-73349.82</f>
        <v>132517.93</v>
      </c>
      <c r="F204" s="21">
        <f t="shared" ref="F204:F209" si="79">SUM(D204:E204)</f>
        <v>1850610.22</v>
      </c>
      <c r="G204" s="21">
        <f>352309-59406</f>
        <v>292903</v>
      </c>
      <c r="H204" s="49">
        <v>0</v>
      </c>
      <c r="I204" s="49">
        <v>0</v>
      </c>
      <c r="J204" s="49">
        <v>0</v>
      </c>
      <c r="K204" s="21">
        <f t="shared" ref="K204:K209" si="80">D204+E204+G204+H204+I204+J204</f>
        <v>2143513.2199999997</v>
      </c>
      <c r="L204" s="23">
        <v>131032</v>
      </c>
      <c r="N204" s="24"/>
    </row>
    <row r="205" spans="1:15">
      <c r="A205" s="202"/>
      <c r="B205" s="195"/>
      <c r="C205" s="20" t="s">
        <v>17</v>
      </c>
      <c r="D205" s="21">
        <v>1718092.29</v>
      </c>
      <c r="E205" s="21">
        <v>132517.93</v>
      </c>
      <c r="F205" s="21">
        <f t="shared" si="79"/>
        <v>1850610.22</v>
      </c>
      <c r="G205" s="21">
        <v>292903</v>
      </c>
      <c r="H205" s="49">
        <v>0</v>
      </c>
      <c r="I205" s="49">
        <v>0</v>
      </c>
      <c r="J205" s="49">
        <v>0</v>
      </c>
      <c r="K205" s="21">
        <f t="shared" si="80"/>
        <v>2143513.2199999997</v>
      </c>
      <c r="L205" s="23">
        <v>131032</v>
      </c>
      <c r="N205" s="24"/>
    </row>
    <row r="206" spans="1:15">
      <c r="A206" s="202"/>
      <c r="B206" s="195"/>
      <c r="C206" s="20" t="s">
        <v>18</v>
      </c>
      <c r="D206" s="21">
        <v>1718092.29</v>
      </c>
      <c r="E206" s="21">
        <v>132517.93</v>
      </c>
      <c r="F206" s="21">
        <f t="shared" si="79"/>
        <v>1850610.22</v>
      </c>
      <c r="G206" s="21">
        <v>292903</v>
      </c>
      <c r="H206" s="49">
        <v>0</v>
      </c>
      <c r="I206" s="49">
        <v>0</v>
      </c>
      <c r="J206" s="49">
        <v>0</v>
      </c>
      <c r="K206" s="21">
        <f t="shared" si="80"/>
        <v>2143513.2199999997</v>
      </c>
      <c r="L206" s="23">
        <v>131032</v>
      </c>
      <c r="N206" s="24"/>
      <c r="O206" s="18"/>
    </row>
    <row r="207" spans="1:15">
      <c r="A207" s="202"/>
      <c r="B207" s="171" t="s">
        <v>39</v>
      </c>
      <c r="C207" s="20" t="s">
        <v>16</v>
      </c>
      <c r="D207" s="21">
        <f>1737437.79-90774.74</f>
        <v>1646663.05</v>
      </c>
      <c r="E207" s="21">
        <f>9603.76+131263.98+9290.84-36698.49</f>
        <v>113460.09000000003</v>
      </c>
      <c r="F207" s="21">
        <f t="shared" si="79"/>
        <v>1760123.1400000001</v>
      </c>
      <c r="G207" s="21">
        <f>849.22+351459.78-70450</f>
        <v>281859</v>
      </c>
      <c r="H207" s="49">
        <v>0</v>
      </c>
      <c r="I207" s="49">
        <v>0</v>
      </c>
      <c r="J207" s="49">
        <v>0</v>
      </c>
      <c r="K207" s="21">
        <f t="shared" si="80"/>
        <v>2041982.1400000001</v>
      </c>
      <c r="L207" s="23">
        <f>11216.98+112852.02-143</f>
        <v>123926</v>
      </c>
      <c r="N207" s="24"/>
    </row>
    <row r="208" spans="1:15">
      <c r="A208" s="202"/>
      <c r="B208" s="172"/>
      <c r="C208" s="20" t="s">
        <v>17</v>
      </c>
      <c r="D208" s="21">
        <v>1681757.67</v>
      </c>
      <c r="E208" s="21">
        <v>113310.7</v>
      </c>
      <c r="F208" s="21">
        <f t="shared" si="79"/>
        <v>1795068.3699999999</v>
      </c>
      <c r="G208" s="21">
        <v>282044</v>
      </c>
      <c r="H208" s="49">
        <v>0</v>
      </c>
      <c r="I208" s="49">
        <v>0</v>
      </c>
      <c r="J208" s="49">
        <v>0</v>
      </c>
      <c r="K208" s="21">
        <f t="shared" si="80"/>
        <v>2077112.3699999999</v>
      </c>
      <c r="L208" s="23">
        <v>124069</v>
      </c>
      <c r="N208" s="24"/>
    </row>
    <row r="209" spans="1:15">
      <c r="A209" s="202"/>
      <c r="B209" s="172"/>
      <c r="C209" s="20" t="s">
        <v>18</v>
      </c>
      <c r="D209" s="21">
        <v>1681757.67</v>
      </c>
      <c r="E209" s="21">
        <v>113310.7</v>
      </c>
      <c r="F209" s="21">
        <f t="shared" si="79"/>
        <v>1795068.3699999999</v>
      </c>
      <c r="G209" s="21">
        <v>282044</v>
      </c>
      <c r="H209" s="49">
        <v>0</v>
      </c>
      <c r="I209" s="49">
        <v>0</v>
      </c>
      <c r="J209" s="49">
        <v>0</v>
      </c>
      <c r="K209" s="21">
        <f t="shared" si="80"/>
        <v>2077112.3699999999</v>
      </c>
      <c r="L209" s="23">
        <v>124069</v>
      </c>
      <c r="N209" s="24"/>
    </row>
    <row r="210" spans="1:15">
      <c r="A210" s="202"/>
      <c r="B210" s="204" t="s">
        <v>52</v>
      </c>
      <c r="C210" s="57" t="s">
        <v>16</v>
      </c>
      <c r="D210" s="58">
        <f>D207+D204+D197</f>
        <v>7931513.46</v>
      </c>
      <c r="E210" s="58">
        <f t="shared" ref="E210:N210" si="81">E207+E204+E197</f>
        <v>548096.63</v>
      </c>
      <c r="F210" s="58">
        <f t="shared" si="81"/>
        <v>8479610.0899999999</v>
      </c>
      <c r="G210" s="58">
        <f t="shared" si="81"/>
        <v>1492864</v>
      </c>
      <c r="H210" s="58">
        <f t="shared" si="81"/>
        <v>0</v>
      </c>
      <c r="I210" s="58">
        <f t="shared" si="81"/>
        <v>0</v>
      </c>
      <c r="J210" s="58">
        <f t="shared" si="81"/>
        <v>0</v>
      </c>
      <c r="K210" s="58">
        <f t="shared" si="81"/>
        <v>9972474.0899999999</v>
      </c>
      <c r="L210" s="58">
        <f t="shared" si="81"/>
        <v>590051</v>
      </c>
      <c r="M210" s="58">
        <f t="shared" si="81"/>
        <v>0</v>
      </c>
      <c r="N210" s="58">
        <f t="shared" si="81"/>
        <v>3940.95</v>
      </c>
    </row>
    <row r="211" spans="1:15">
      <c r="A211" s="202"/>
      <c r="B211" s="205"/>
      <c r="C211" s="57" t="s">
        <v>17</v>
      </c>
      <c r="D211" s="58">
        <v>7931513.46</v>
      </c>
      <c r="E211" s="58">
        <v>548096.63</v>
      </c>
      <c r="F211" s="58">
        <f>D211+E211</f>
        <v>8479610.0899999999</v>
      </c>
      <c r="G211" s="58">
        <v>1492864</v>
      </c>
      <c r="H211" s="58"/>
      <c r="I211" s="58"/>
      <c r="J211" s="58"/>
      <c r="K211" s="58">
        <f>F211+G211</f>
        <v>9972474.0899999999</v>
      </c>
      <c r="L211" s="58">
        <v>590051</v>
      </c>
      <c r="M211" s="116"/>
      <c r="N211" s="58">
        <v>3940.95</v>
      </c>
    </row>
    <row r="212" spans="1:15">
      <c r="A212" s="202"/>
      <c r="B212" s="205"/>
      <c r="C212" s="57" t="s">
        <v>49</v>
      </c>
      <c r="D212" s="58">
        <f t="shared" ref="D212:L212" si="82">D203+D206+D209</f>
        <v>7966608.0800000001</v>
      </c>
      <c r="E212" s="58">
        <f t="shared" si="82"/>
        <v>547947.24</v>
      </c>
      <c r="F212" s="58">
        <f>D212+E212</f>
        <v>8514555.3200000003</v>
      </c>
      <c r="G212" s="58">
        <f>G203+G206+G209</f>
        <v>1493049</v>
      </c>
      <c r="H212" s="58">
        <f t="shared" si="82"/>
        <v>0</v>
      </c>
      <c r="I212" s="58">
        <f t="shared" si="82"/>
        <v>0</v>
      </c>
      <c r="J212" s="58">
        <f t="shared" si="82"/>
        <v>0</v>
      </c>
      <c r="K212" s="58">
        <f t="shared" si="82"/>
        <v>10007604.319999998</v>
      </c>
      <c r="L212" s="58">
        <f t="shared" si="82"/>
        <v>590194</v>
      </c>
      <c r="M212" s="116"/>
      <c r="N212" s="58">
        <v>3940.95</v>
      </c>
    </row>
    <row r="213" spans="1:15">
      <c r="A213" s="202"/>
      <c r="B213" s="205"/>
      <c r="C213" s="57" t="s">
        <v>18</v>
      </c>
      <c r="D213" s="58">
        <v>-35094.620000000003</v>
      </c>
      <c r="E213" s="58">
        <v>149.38999999999999</v>
      </c>
      <c r="F213" s="58">
        <f>D213+E213</f>
        <v>-34945.230000000003</v>
      </c>
      <c r="G213" s="58">
        <v>-185</v>
      </c>
      <c r="H213" s="58"/>
      <c r="I213" s="58"/>
      <c r="J213" s="58"/>
      <c r="K213" s="58">
        <f>F213+G213</f>
        <v>-35130.230000000003</v>
      </c>
      <c r="L213" s="58">
        <v>-143</v>
      </c>
      <c r="M213" s="116"/>
      <c r="N213" s="58">
        <v>3940.95</v>
      </c>
    </row>
    <row r="214" spans="1:15">
      <c r="A214" s="202"/>
      <c r="B214" s="205"/>
      <c r="C214" s="57" t="s">
        <v>26</v>
      </c>
      <c r="D214" s="58">
        <f>D212+D213</f>
        <v>7931513.46</v>
      </c>
      <c r="E214" s="58">
        <f t="shared" ref="E214:L214" si="83">E212+E213</f>
        <v>548096.63</v>
      </c>
      <c r="F214" s="58">
        <f t="shared" si="83"/>
        <v>8479610.0899999999</v>
      </c>
      <c r="G214" s="58">
        <f t="shared" si="83"/>
        <v>1492864</v>
      </c>
      <c r="H214" s="58">
        <f t="shared" si="83"/>
        <v>0</v>
      </c>
      <c r="I214" s="58">
        <f t="shared" si="83"/>
        <v>0</v>
      </c>
      <c r="J214" s="58">
        <f t="shared" si="83"/>
        <v>0</v>
      </c>
      <c r="K214" s="58">
        <f t="shared" si="83"/>
        <v>9972474.089999998</v>
      </c>
      <c r="L214" s="58">
        <f t="shared" si="83"/>
        <v>590051</v>
      </c>
      <c r="M214" s="116"/>
      <c r="N214" s="58">
        <v>3940.95</v>
      </c>
    </row>
    <row r="215" spans="1:15">
      <c r="A215" s="202"/>
      <c r="B215" s="171" t="s">
        <v>43</v>
      </c>
      <c r="C215" s="20" t="s">
        <v>16</v>
      </c>
      <c r="D215" s="21">
        <v>1640913.49</v>
      </c>
      <c r="E215" s="21">
        <v>135099.62</v>
      </c>
      <c r="F215" s="21">
        <f>SUM(D215:E215)</f>
        <v>1776013.1099999999</v>
      </c>
      <c r="G215" s="21">
        <v>285495</v>
      </c>
      <c r="H215" s="49">
        <v>0</v>
      </c>
      <c r="I215" s="49">
        <v>0</v>
      </c>
      <c r="J215" s="49">
        <v>0</v>
      </c>
      <c r="K215" s="21">
        <f>F215+G215</f>
        <v>2061508.1099999999</v>
      </c>
      <c r="L215" s="23">
        <v>750.98</v>
      </c>
      <c r="N215" s="24"/>
    </row>
    <row r="216" spans="1:15">
      <c r="A216" s="202"/>
      <c r="B216" s="172"/>
      <c r="C216" s="20" t="s">
        <v>17</v>
      </c>
      <c r="D216" s="21">
        <v>1508308.88</v>
      </c>
      <c r="E216" s="21">
        <v>125690.54</v>
      </c>
      <c r="F216" s="21">
        <f>SUM(D216:E216)</f>
        <v>1633999.42</v>
      </c>
      <c r="G216" s="21">
        <v>244742</v>
      </c>
      <c r="H216" s="49">
        <v>0</v>
      </c>
      <c r="I216" s="49">
        <v>0</v>
      </c>
      <c r="J216" s="49">
        <v>0</v>
      </c>
      <c r="K216" s="21">
        <f>D216+E216+G216+H216+I216+J216</f>
        <v>1878741.42</v>
      </c>
      <c r="L216" s="23">
        <v>109670</v>
      </c>
      <c r="N216" s="24"/>
    </row>
    <row r="217" spans="1:15">
      <c r="A217" s="202"/>
      <c r="B217" s="172"/>
      <c r="C217" s="20" t="s">
        <v>18</v>
      </c>
      <c r="D217" s="21">
        <v>1508308.88</v>
      </c>
      <c r="E217" s="21">
        <v>125690.54</v>
      </c>
      <c r="F217" s="21">
        <f>SUM(D217:E217)</f>
        <v>1633999.42</v>
      </c>
      <c r="G217" s="21">
        <v>244742</v>
      </c>
      <c r="H217" s="49">
        <v>0</v>
      </c>
      <c r="I217" s="49">
        <v>0</v>
      </c>
      <c r="J217" s="49">
        <v>0</v>
      </c>
      <c r="K217" s="21">
        <f>D217+E217+G217+H217+I217+J217</f>
        <v>1878741.42</v>
      </c>
      <c r="L217" s="23">
        <v>748</v>
      </c>
      <c r="N217" s="24"/>
    </row>
    <row r="218" spans="1:15">
      <c r="A218" s="202"/>
      <c r="B218" s="187" t="s">
        <v>44</v>
      </c>
      <c r="C218" s="20" t="s">
        <v>16</v>
      </c>
      <c r="D218" s="21">
        <f t="shared" ref="D218:L218" si="84">D204+D207+D215</f>
        <v>5005668.83</v>
      </c>
      <c r="E218" s="21">
        <f t="shared" si="84"/>
        <v>381077.64</v>
      </c>
      <c r="F218" s="21">
        <f t="shared" si="84"/>
        <v>5386746.4700000007</v>
      </c>
      <c r="G218" s="21">
        <f t="shared" si="84"/>
        <v>860257</v>
      </c>
      <c r="H218" s="21">
        <f t="shared" si="84"/>
        <v>0</v>
      </c>
      <c r="I218" s="21">
        <f t="shared" si="84"/>
        <v>0</v>
      </c>
      <c r="J218" s="21">
        <f t="shared" si="84"/>
        <v>0</v>
      </c>
      <c r="K218" s="21">
        <f t="shared" si="84"/>
        <v>6247003.4699999997</v>
      </c>
      <c r="L218" s="23">
        <f t="shared" si="84"/>
        <v>255708.98</v>
      </c>
      <c r="N218" s="24"/>
    </row>
    <row r="219" spans="1:15">
      <c r="A219" s="202"/>
      <c r="B219" s="188"/>
      <c r="C219" s="20" t="s">
        <v>17</v>
      </c>
      <c r="D219" s="21">
        <f>D205+D208+D216</f>
        <v>4908158.84</v>
      </c>
      <c r="E219" s="21">
        <f t="shared" ref="E219:L219" si="85">E205+E208+E216</f>
        <v>371519.17</v>
      </c>
      <c r="F219" s="21">
        <f t="shared" si="85"/>
        <v>5279678.01</v>
      </c>
      <c r="G219" s="21">
        <f t="shared" si="85"/>
        <v>819689</v>
      </c>
      <c r="H219" s="21">
        <f t="shared" si="85"/>
        <v>0</v>
      </c>
      <c r="I219" s="21">
        <f t="shared" si="85"/>
        <v>0</v>
      </c>
      <c r="J219" s="21">
        <f t="shared" si="85"/>
        <v>0</v>
      </c>
      <c r="K219" s="21">
        <f>F219+G219</f>
        <v>6099367.0099999998</v>
      </c>
      <c r="L219" s="21">
        <f t="shared" si="85"/>
        <v>364771</v>
      </c>
      <c r="N219" s="24"/>
    </row>
    <row r="220" spans="1:15">
      <c r="A220" s="202"/>
      <c r="B220" s="188"/>
      <c r="C220" s="20" t="s">
        <v>18</v>
      </c>
      <c r="D220" s="21">
        <f>D206+D209+D217</f>
        <v>4908158.84</v>
      </c>
      <c r="E220" s="21">
        <f t="shared" ref="E220:J220" si="86">E206+E209+E217</f>
        <v>371519.17</v>
      </c>
      <c r="F220" s="21">
        <f t="shared" si="86"/>
        <v>5279678.01</v>
      </c>
      <c r="G220" s="21">
        <f t="shared" si="86"/>
        <v>819689</v>
      </c>
      <c r="H220" s="21">
        <f t="shared" si="86"/>
        <v>0</v>
      </c>
      <c r="I220" s="21">
        <f t="shared" si="86"/>
        <v>0</v>
      </c>
      <c r="J220" s="21">
        <f t="shared" si="86"/>
        <v>0</v>
      </c>
      <c r="K220" s="21">
        <f>F220+G220</f>
        <v>6099367.0099999998</v>
      </c>
      <c r="L220" s="23">
        <f>L206+L209+L217</f>
        <v>255849</v>
      </c>
      <c r="N220" s="24"/>
    </row>
    <row r="221" spans="1:15">
      <c r="A221" s="202"/>
      <c r="B221" s="206" t="s">
        <v>45</v>
      </c>
      <c r="C221" s="111" t="s">
        <v>16</v>
      </c>
      <c r="D221" s="112">
        <f>D197+D218</f>
        <v>9572426.9499999993</v>
      </c>
      <c r="E221" s="112">
        <f t="shared" ref="E221:N221" si="87">E197+E218</f>
        <v>683196.25</v>
      </c>
      <c r="F221" s="112">
        <f t="shared" si="87"/>
        <v>10255623.200000001</v>
      </c>
      <c r="G221" s="112">
        <f t="shared" si="87"/>
        <v>1778359</v>
      </c>
      <c r="H221" s="112">
        <f t="shared" si="87"/>
        <v>0</v>
      </c>
      <c r="I221" s="112">
        <f t="shared" si="87"/>
        <v>0</v>
      </c>
      <c r="J221" s="112">
        <f t="shared" si="87"/>
        <v>0</v>
      </c>
      <c r="K221" s="112">
        <f t="shared" si="87"/>
        <v>12033982.199999999</v>
      </c>
      <c r="L221" s="112">
        <f t="shared" si="87"/>
        <v>590801.98</v>
      </c>
      <c r="M221" s="112">
        <f t="shared" si="87"/>
        <v>0</v>
      </c>
      <c r="N221" s="112">
        <f t="shared" si="87"/>
        <v>3940.95</v>
      </c>
    </row>
    <row r="222" spans="1:15">
      <c r="A222" s="202"/>
      <c r="B222" s="207"/>
      <c r="C222" s="111" t="s">
        <v>17</v>
      </c>
      <c r="D222" s="112">
        <f>D211+D216</f>
        <v>9439822.3399999999</v>
      </c>
      <c r="E222" s="112">
        <f t="shared" ref="E222:N222" si="88">E211+E216</f>
        <v>673787.17</v>
      </c>
      <c r="F222" s="112">
        <f t="shared" si="88"/>
        <v>10113609.51</v>
      </c>
      <c r="G222" s="112">
        <f t="shared" si="88"/>
        <v>1737606</v>
      </c>
      <c r="H222" s="112">
        <f t="shared" si="88"/>
        <v>0</v>
      </c>
      <c r="I222" s="112">
        <f t="shared" si="88"/>
        <v>0</v>
      </c>
      <c r="J222" s="112">
        <f t="shared" si="88"/>
        <v>0</v>
      </c>
      <c r="K222" s="112">
        <f t="shared" si="88"/>
        <v>11851215.51</v>
      </c>
      <c r="L222" s="112">
        <f t="shared" si="88"/>
        <v>699721</v>
      </c>
      <c r="M222" s="112">
        <f t="shared" si="88"/>
        <v>0</v>
      </c>
      <c r="N222" s="112">
        <f t="shared" si="88"/>
        <v>3940.95</v>
      </c>
      <c r="O222" s="18"/>
    </row>
    <row r="223" spans="1:15">
      <c r="A223" s="202"/>
      <c r="B223" s="207"/>
      <c r="C223" s="111" t="s">
        <v>18</v>
      </c>
      <c r="D223" s="112">
        <f>D214+D217</f>
        <v>9439822.3399999999</v>
      </c>
      <c r="E223" s="112">
        <f t="shared" ref="E223:N223" si="89">E214+E217</f>
        <v>673787.17</v>
      </c>
      <c r="F223" s="112">
        <f t="shared" si="89"/>
        <v>10113609.51</v>
      </c>
      <c r="G223" s="112">
        <f t="shared" si="89"/>
        <v>1737606</v>
      </c>
      <c r="H223" s="112">
        <f t="shared" si="89"/>
        <v>0</v>
      </c>
      <c r="I223" s="112">
        <f t="shared" si="89"/>
        <v>0</v>
      </c>
      <c r="J223" s="112">
        <f t="shared" si="89"/>
        <v>0</v>
      </c>
      <c r="K223" s="112">
        <f t="shared" si="89"/>
        <v>11851215.509999998</v>
      </c>
      <c r="L223" s="112">
        <f t="shared" si="89"/>
        <v>590799</v>
      </c>
      <c r="M223" s="112">
        <f t="shared" si="89"/>
        <v>0</v>
      </c>
      <c r="N223" s="112">
        <f t="shared" si="89"/>
        <v>3940.95</v>
      </c>
    </row>
    <row r="224" spans="1:15">
      <c r="A224" s="202"/>
      <c r="B224" s="208"/>
      <c r="C224" s="111" t="s">
        <v>37</v>
      </c>
      <c r="D224" s="112">
        <f>D223</f>
        <v>9439822.3399999999</v>
      </c>
      <c r="E224" s="112">
        <f t="shared" ref="E224:N224" si="90">E223</f>
        <v>673787.17</v>
      </c>
      <c r="F224" s="112">
        <f t="shared" si="90"/>
        <v>10113609.51</v>
      </c>
      <c r="G224" s="112">
        <f t="shared" si="90"/>
        <v>1737606</v>
      </c>
      <c r="H224" s="112">
        <f t="shared" si="90"/>
        <v>0</v>
      </c>
      <c r="I224" s="112">
        <f t="shared" si="90"/>
        <v>0</v>
      </c>
      <c r="J224" s="112">
        <f t="shared" si="90"/>
        <v>0</v>
      </c>
      <c r="K224" s="112">
        <f t="shared" si="90"/>
        <v>11851215.509999998</v>
      </c>
      <c r="L224" s="112">
        <f t="shared" si="90"/>
        <v>590799</v>
      </c>
      <c r="M224" s="112">
        <f t="shared" si="90"/>
        <v>0</v>
      </c>
      <c r="N224" s="112">
        <f t="shared" si="90"/>
        <v>3940.95</v>
      </c>
    </row>
    <row r="225" spans="1:15">
      <c r="A225" s="203"/>
      <c r="B225" s="209" t="s">
        <v>46</v>
      </c>
      <c r="C225" s="117" t="s">
        <v>16</v>
      </c>
      <c r="D225" s="118">
        <f t="shared" ref="D225:N225" si="91">D182+D221</f>
        <v>19880169.169999998</v>
      </c>
      <c r="E225" s="118">
        <f t="shared" si="91"/>
        <v>1204658.5699999998</v>
      </c>
      <c r="F225" s="118">
        <f t="shared" si="91"/>
        <v>21084827.740000002</v>
      </c>
      <c r="G225" s="118">
        <f t="shared" si="91"/>
        <v>3527984.92</v>
      </c>
      <c r="H225" s="118">
        <f t="shared" si="91"/>
        <v>0</v>
      </c>
      <c r="I225" s="118">
        <f t="shared" si="91"/>
        <v>0</v>
      </c>
      <c r="J225" s="118">
        <f t="shared" si="91"/>
        <v>0</v>
      </c>
      <c r="K225" s="118">
        <f t="shared" si="91"/>
        <v>24612812.659999996</v>
      </c>
      <c r="L225" s="118">
        <f t="shared" si="91"/>
        <v>1329077.98</v>
      </c>
      <c r="M225" s="118">
        <f t="shared" si="91"/>
        <v>11506</v>
      </c>
      <c r="N225" s="118">
        <f t="shared" si="91"/>
        <v>7609.0599999999995</v>
      </c>
    </row>
    <row r="226" spans="1:15">
      <c r="A226" s="203"/>
      <c r="B226" s="209"/>
      <c r="C226" s="117" t="s">
        <v>17</v>
      </c>
      <c r="D226" s="118">
        <f>D211+D185+D216</f>
        <v>19747564.559999999</v>
      </c>
      <c r="E226" s="118">
        <f t="shared" ref="E226:N226" si="92">E211+E185+E216</f>
        <v>1195249.49</v>
      </c>
      <c r="F226" s="118">
        <f t="shared" si="92"/>
        <v>20942814.050000004</v>
      </c>
      <c r="G226" s="118">
        <f t="shared" si="92"/>
        <v>3487231.92</v>
      </c>
      <c r="H226" s="118">
        <f t="shared" si="92"/>
        <v>0</v>
      </c>
      <c r="I226" s="118">
        <f t="shared" si="92"/>
        <v>0</v>
      </c>
      <c r="J226" s="118">
        <f t="shared" si="92"/>
        <v>0</v>
      </c>
      <c r="K226" s="118">
        <f t="shared" si="92"/>
        <v>24430045.969999999</v>
      </c>
      <c r="L226" s="118">
        <f t="shared" si="92"/>
        <v>1437997</v>
      </c>
      <c r="M226" s="118">
        <f t="shared" si="92"/>
        <v>0</v>
      </c>
      <c r="N226" s="118">
        <f t="shared" si="92"/>
        <v>7609.0599999999995</v>
      </c>
    </row>
    <row r="227" spans="1:15">
      <c r="A227" s="203"/>
      <c r="B227" s="209"/>
      <c r="C227" s="117" t="s">
        <v>41</v>
      </c>
      <c r="D227" s="118">
        <f>D211+D185+D216</f>
        <v>19747564.559999999</v>
      </c>
      <c r="E227" s="118">
        <f t="shared" ref="E227:N227" si="93">E211+E185+E216</f>
        <v>1195249.49</v>
      </c>
      <c r="F227" s="118">
        <f t="shared" si="93"/>
        <v>20942814.050000004</v>
      </c>
      <c r="G227" s="118">
        <f t="shared" si="93"/>
        <v>3487231.92</v>
      </c>
      <c r="H227" s="118">
        <f t="shared" si="93"/>
        <v>0</v>
      </c>
      <c r="I227" s="118">
        <f t="shared" si="93"/>
        <v>0</v>
      </c>
      <c r="J227" s="118">
        <f t="shared" si="93"/>
        <v>0</v>
      </c>
      <c r="K227" s="118">
        <f t="shared" si="93"/>
        <v>24430045.969999999</v>
      </c>
      <c r="L227" s="118">
        <f t="shared" si="93"/>
        <v>1437997</v>
      </c>
      <c r="M227" s="118">
        <f t="shared" si="93"/>
        <v>0</v>
      </c>
      <c r="N227" s="118">
        <f t="shared" si="93"/>
        <v>7609.0599999999995</v>
      </c>
    </row>
    <row r="228" spans="1:15">
      <c r="A228" s="203"/>
      <c r="B228" s="209"/>
      <c r="C228" s="119" t="s">
        <v>18</v>
      </c>
      <c r="D228" s="118">
        <f>D214+D187+D217</f>
        <v>19747564.559999999</v>
      </c>
      <c r="E228" s="118">
        <f t="shared" ref="E228:N228" si="94">E214+E187+E217</f>
        <v>1195249.49</v>
      </c>
      <c r="F228" s="118">
        <f t="shared" si="94"/>
        <v>20942814.049999997</v>
      </c>
      <c r="G228" s="118">
        <f t="shared" si="94"/>
        <v>3487231.92</v>
      </c>
      <c r="H228" s="118">
        <f t="shared" si="94"/>
        <v>0</v>
      </c>
      <c r="I228" s="118">
        <f t="shared" si="94"/>
        <v>0</v>
      </c>
      <c r="J228" s="118">
        <f t="shared" si="94"/>
        <v>0</v>
      </c>
      <c r="K228" s="118">
        <f t="shared" si="94"/>
        <v>24430045.969999999</v>
      </c>
      <c r="L228" s="118">
        <f t="shared" si="94"/>
        <v>1329075</v>
      </c>
      <c r="M228" s="118">
        <f t="shared" si="94"/>
        <v>0</v>
      </c>
      <c r="N228" s="118">
        <f t="shared" si="94"/>
        <v>7609.0599999999995</v>
      </c>
      <c r="O228" s="18"/>
    </row>
    <row r="229" spans="1:15">
      <c r="A229" s="190" t="s">
        <v>53</v>
      </c>
      <c r="B229" s="178" t="s">
        <v>15</v>
      </c>
      <c r="C229" s="14" t="s">
        <v>16</v>
      </c>
      <c r="D229" s="15">
        <f>11439.1+6863.46</f>
        <v>18302.560000000001</v>
      </c>
      <c r="E229" s="15">
        <v>589808.27</v>
      </c>
      <c r="F229" s="16">
        <f t="shared" ref="F229:F237" si="95">D229+E229</f>
        <v>608110.83000000007</v>
      </c>
      <c r="G229" s="15">
        <v>0</v>
      </c>
      <c r="H229" s="15">
        <v>0</v>
      </c>
      <c r="I229" s="15">
        <v>0</v>
      </c>
      <c r="J229" s="15">
        <v>0</v>
      </c>
      <c r="K229" s="16">
        <f t="shared" ref="K229:K237" si="96">J229+I229+H229+G229+E229+D229</f>
        <v>608110.83000000007</v>
      </c>
      <c r="L229" s="17">
        <f>103974-13004</f>
        <v>90970</v>
      </c>
      <c r="N229" s="24"/>
    </row>
    <row r="230" spans="1:15">
      <c r="A230" s="191"/>
      <c r="B230" s="178"/>
      <c r="C230" s="20" t="s">
        <v>17</v>
      </c>
      <c r="D230" s="21">
        <v>21381.599999999999</v>
      </c>
      <c r="E230" s="21">
        <v>657590.69999999995</v>
      </c>
      <c r="F230" s="21">
        <f t="shared" si="95"/>
        <v>678972.29999999993</v>
      </c>
      <c r="G230" s="21">
        <v>0</v>
      </c>
      <c r="H230" s="22">
        <v>0</v>
      </c>
      <c r="I230" s="22">
        <v>0</v>
      </c>
      <c r="J230" s="22">
        <v>0</v>
      </c>
      <c r="K230" s="21">
        <f t="shared" si="96"/>
        <v>678972.29999999993</v>
      </c>
      <c r="L230" s="23">
        <v>90970</v>
      </c>
      <c r="N230" s="24"/>
    </row>
    <row r="231" spans="1:15">
      <c r="A231" s="191"/>
      <c r="B231" s="178"/>
      <c r="C231" s="120" t="s">
        <v>18</v>
      </c>
      <c r="D231" s="21">
        <v>16224.18</v>
      </c>
      <c r="E231" s="21">
        <v>589705.64</v>
      </c>
      <c r="F231" s="21">
        <f t="shared" si="95"/>
        <v>605929.82000000007</v>
      </c>
      <c r="G231" s="21">
        <v>0</v>
      </c>
      <c r="H231" s="22">
        <v>0</v>
      </c>
      <c r="I231" s="22">
        <v>0</v>
      </c>
      <c r="J231" s="22">
        <v>0</v>
      </c>
      <c r="K231" s="21">
        <f t="shared" si="96"/>
        <v>605929.82000000007</v>
      </c>
      <c r="L231" s="23">
        <v>90970</v>
      </c>
      <c r="N231" s="24"/>
    </row>
    <row r="232" spans="1:15">
      <c r="A232" s="191"/>
      <c r="B232" s="179" t="s">
        <v>20</v>
      </c>
      <c r="C232" s="20" t="s">
        <v>16</v>
      </c>
      <c r="D232" s="22">
        <f>11439.1+6863.46</f>
        <v>18302.560000000001</v>
      </c>
      <c r="E232" s="22">
        <v>589808.27</v>
      </c>
      <c r="F232" s="21">
        <f t="shared" si="95"/>
        <v>608110.83000000007</v>
      </c>
      <c r="G232" s="22">
        <v>0</v>
      </c>
      <c r="H232" s="22">
        <v>0</v>
      </c>
      <c r="I232" s="22">
        <v>0</v>
      </c>
      <c r="J232" s="22">
        <v>0</v>
      </c>
      <c r="K232" s="21">
        <f t="shared" si="96"/>
        <v>608110.83000000007</v>
      </c>
      <c r="L232" s="23">
        <v>91179</v>
      </c>
      <c r="N232" s="24"/>
    </row>
    <row r="233" spans="1:15">
      <c r="A233" s="191"/>
      <c r="B233" s="178"/>
      <c r="C233" s="20" t="s">
        <v>17</v>
      </c>
      <c r="D233" s="21">
        <v>31476.87</v>
      </c>
      <c r="E233" s="21">
        <v>590438.74</v>
      </c>
      <c r="F233" s="21">
        <f t="shared" si="95"/>
        <v>621915.61</v>
      </c>
      <c r="G233" s="21">
        <v>0</v>
      </c>
      <c r="H233" s="22">
        <v>0</v>
      </c>
      <c r="I233" s="22">
        <v>0</v>
      </c>
      <c r="J233" s="22">
        <v>0</v>
      </c>
      <c r="K233" s="21">
        <f t="shared" si="96"/>
        <v>621915.61</v>
      </c>
      <c r="L233" s="23">
        <v>91179</v>
      </c>
      <c r="N233" s="24"/>
    </row>
    <row r="234" spans="1:15">
      <c r="A234" s="191"/>
      <c r="B234" s="178"/>
      <c r="C234" s="120" t="s">
        <v>18</v>
      </c>
      <c r="D234" s="21">
        <v>17758.400000000001</v>
      </c>
      <c r="E234" s="21">
        <v>589705.64</v>
      </c>
      <c r="F234" s="21">
        <f t="shared" si="95"/>
        <v>607464.04</v>
      </c>
      <c r="G234" s="21">
        <v>0</v>
      </c>
      <c r="H234" s="22">
        <v>0</v>
      </c>
      <c r="I234" s="22">
        <v>0</v>
      </c>
      <c r="J234" s="22">
        <v>0</v>
      </c>
      <c r="K234" s="21">
        <f t="shared" si="96"/>
        <v>607464.04</v>
      </c>
      <c r="L234" s="23">
        <v>91179</v>
      </c>
      <c r="M234" s="18"/>
      <c r="N234" s="24"/>
    </row>
    <row r="235" spans="1:15">
      <c r="A235" s="191"/>
      <c r="B235" s="179" t="s">
        <v>22</v>
      </c>
      <c r="C235" s="20" t="s">
        <v>16</v>
      </c>
      <c r="D235" s="22">
        <f>11439.1+6863.46</f>
        <v>18302.560000000001</v>
      </c>
      <c r="E235" s="22">
        <f>589808.27-14.65</f>
        <v>589793.62</v>
      </c>
      <c r="F235" s="21">
        <f t="shared" si="95"/>
        <v>608096.18000000005</v>
      </c>
      <c r="G235" s="22">
        <v>0</v>
      </c>
      <c r="H235" s="22">
        <v>0</v>
      </c>
      <c r="I235" s="22">
        <v>0</v>
      </c>
      <c r="J235" s="22">
        <v>0</v>
      </c>
      <c r="K235" s="21">
        <f t="shared" si="96"/>
        <v>608096.18000000005</v>
      </c>
      <c r="L235" s="23">
        <v>90794</v>
      </c>
      <c r="N235" s="24"/>
    </row>
    <row r="236" spans="1:15">
      <c r="A236" s="191"/>
      <c r="B236" s="178"/>
      <c r="C236" s="20" t="s">
        <v>17</v>
      </c>
      <c r="D236" s="21">
        <v>32635.439999999999</v>
      </c>
      <c r="E236" s="21">
        <v>652898.86</v>
      </c>
      <c r="F236" s="21">
        <f t="shared" si="95"/>
        <v>685534.29999999993</v>
      </c>
      <c r="G236" s="21">
        <v>0</v>
      </c>
      <c r="H236" s="22">
        <v>0</v>
      </c>
      <c r="I236" s="22">
        <v>0</v>
      </c>
      <c r="J236" s="22">
        <v>0</v>
      </c>
      <c r="K236" s="21">
        <f t="shared" si="96"/>
        <v>685534.29999999993</v>
      </c>
      <c r="L236" s="23">
        <v>90794</v>
      </c>
      <c r="N236" s="24"/>
    </row>
    <row r="237" spans="1:15">
      <c r="A237" s="191"/>
      <c r="B237" s="178"/>
      <c r="C237" s="120" t="s">
        <v>18</v>
      </c>
      <c r="D237" s="21">
        <v>17716.64</v>
      </c>
      <c r="E237" s="21">
        <v>589705.64</v>
      </c>
      <c r="F237" s="21">
        <f t="shared" si="95"/>
        <v>607422.28</v>
      </c>
      <c r="G237" s="21">
        <v>0</v>
      </c>
      <c r="H237" s="22">
        <v>0</v>
      </c>
      <c r="I237" s="22">
        <v>0</v>
      </c>
      <c r="J237" s="22">
        <v>0</v>
      </c>
      <c r="K237" s="21">
        <f t="shared" si="96"/>
        <v>607422.28</v>
      </c>
      <c r="L237" s="23">
        <v>90794</v>
      </c>
      <c r="N237" s="24"/>
    </row>
    <row r="238" spans="1:15">
      <c r="A238" s="191"/>
      <c r="B238" s="184" t="s">
        <v>23</v>
      </c>
      <c r="C238" s="20" t="s">
        <v>16</v>
      </c>
      <c r="D238" s="21">
        <f t="shared" ref="D238:K240" si="97">D235+D232+D229</f>
        <v>54907.680000000008</v>
      </c>
      <c r="E238" s="21">
        <f t="shared" si="97"/>
        <v>1769410.1600000001</v>
      </c>
      <c r="F238" s="21">
        <f t="shared" si="97"/>
        <v>1824317.8400000003</v>
      </c>
      <c r="G238" s="21">
        <f t="shared" si="97"/>
        <v>0</v>
      </c>
      <c r="H238" s="21">
        <f t="shared" si="97"/>
        <v>0</v>
      </c>
      <c r="I238" s="21">
        <f t="shared" si="97"/>
        <v>0</v>
      </c>
      <c r="J238" s="21">
        <f t="shared" si="97"/>
        <v>0</v>
      </c>
      <c r="K238" s="21">
        <f t="shared" si="97"/>
        <v>1824317.8400000003</v>
      </c>
      <c r="L238" s="23">
        <f>L235+L232+L229+913</f>
        <v>273856</v>
      </c>
      <c r="N238" s="24"/>
    </row>
    <row r="239" spans="1:15">
      <c r="A239" s="191"/>
      <c r="B239" s="184"/>
      <c r="C239" s="20" t="s">
        <v>17</v>
      </c>
      <c r="D239" s="21">
        <f t="shared" si="97"/>
        <v>85493.91</v>
      </c>
      <c r="E239" s="21">
        <f t="shared" si="97"/>
        <v>1900928.3</v>
      </c>
      <c r="F239" s="21">
        <f t="shared" si="97"/>
        <v>1986422.21</v>
      </c>
      <c r="G239" s="21">
        <f t="shared" si="97"/>
        <v>0</v>
      </c>
      <c r="H239" s="21">
        <f t="shared" si="97"/>
        <v>0</v>
      </c>
      <c r="I239" s="21">
        <f t="shared" si="97"/>
        <v>0</v>
      </c>
      <c r="J239" s="21">
        <f t="shared" si="97"/>
        <v>0</v>
      </c>
      <c r="K239" s="21">
        <f t="shared" si="97"/>
        <v>1986422.21</v>
      </c>
      <c r="L239" s="23">
        <f>L236+L233+L230</f>
        <v>272943</v>
      </c>
      <c r="N239" s="24"/>
    </row>
    <row r="240" spans="1:15">
      <c r="A240" s="191"/>
      <c r="B240" s="184"/>
      <c r="C240" s="120" t="s">
        <v>18</v>
      </c>
      <c r="D240" s="21">
        <f t="shared" si="97"/>
        <v>51699.22</v>
      </c>
      <c r="E240" s="21">
        <f t="shared" si="97"/>
        <v>1769116.92</v>
      </c>
      <c r="F240" s="21">
        <f t="shared" si="97"/>
        <v>1820816.1400000001</v>
      </c>
      <c r="G240" s="21">
        <f t="shared" si="97"/>
        <v>0</v>
      </c>
      <c r="H240" s="21">
        <f t="shared" si="97"/>
        <v>0</v>
      </c>
      <c r="I240" s="21">
        <f t="shared" si="97"/>
        <v>0</v>
      </c>
      <c r="J240" s="21">
        <f t="shared" si="97"/>
        <v>0</v>
      </c>
      <c r="K240" s="21">
        <f t="shared" si="97"/>
        <v>1820816.1400000001</v>
      </c>
      <c r="L240" s="23">
        <f>L237+L234+L231</f>
        <v>272943</v>
      </c>
      <c r="N240" s="24"/>
    </row>
    <row r="241" spans="1:14">
      <c r="A241" s="191"/>
      <c r="B241" s="184"/>
      <c r="C241" s="147" t="s">
        <v>54</v>
      </c>
      <c r="D241" s="51">
        <v>85493.91</v>
      </c>
      <c r="E241" s="51">
        <v>1900928.3</v>
      </c>
      <c r="F241" s="51">
        <f t="shared" ref="F241:F250" si="98">D241+E241</f>
        <v>1986422.21</v>
      </c>
      <c r="G241" s="51">
        <v>0</v>
      </c>
      <c r="H241" s="51">
        <v>0</v>
      </c>
      <c r="I241" s="51"/>
      <c r="J241" s="51"/>
      <c r="K241" s="51">
        <f>F241</f>
        <v>1986422.21</v>
      </c>
      <c r="L241" s="51">
        <f>L240+913</f>
        <v>273856</v>
      </c>
      <c r="M241" s="52"/>
      <c r="N241" s="53"/>
    </row>
    <row r="242" spans="1:14">
      <c r="A242" s="191"/>
      <c r="B242" s="184"/>
      <c r="C242" s="79" t="s">
        <v>48</v>
      </c>
      <c r="D242" s="80">
        <v>2078.0500000000002</v>
      </c>
      <c r="E242" s="80">
        <v>293.24</v>
      </c>
      <c r="F242" s="80">
        <f t="shared" si="98"/>
        <v>2371.29</v>
      </c>
      <c r="G242" s="80">
        <v>0</v>
      </c>
      <c r="H242" s="80">
        <v>0</v>
      </c>
      <c r="I242" s="80"/>
      <c r="J242" s="80"/>
      <c r="K242" s="80">
        <f>F242</f>
        <v>2371.29</v>
      </c>
      <c r="L242" s="80">
        <f>913</f>
        <v>913</v>
      </c>
      <c r="M242" s="52"/>
      <c r="N242" s="53"/>
    </row>
    <row r="243" spans="1:14">
      <c r="A243" s="191"/>
      <c r="B243" s="184"/>
      <c r="C243" s="79" t="s">
        <v>26</v>
      </c>
      <c r="D243" s="80">
        <f>D240+D242</f>
        <v>53777.270000000004</v>
      </c>
      <c r="E243" s="80">
        <f>E240+E242</f>
        <v>1769410.16</v>
      </c>
      <c r="F243" s="80">
        <f t="shared" si="98"/>
        <v>1823187.43</v>
      </c>
      <c r="G243" s="80">
        <v>0</v>
      </c>
      <c r="H243" s="80">
        <v>0</v>
      </c>
      <c r="I243" s="80"/>
      <c r="J243" s="80"/>
      <c r="K243" s="80">
        <f>F243</f>
        <v>1823187.43</v>
      </c>
      <c r="L243" s="80">
        <f>L240+L242</f>
        <v>273856</v>
      </c>
      <c r="M243" s="52"/>
      <c r="N243" s="53"/>
    </row>
    <row r="244" spans="1:14">
      <c r="A244" s="192"/>
      <c r="B244" s="182" t="s">
        <v>28</v>
      </c>
      <c r="C244" s="49" t="s">
        <v>16</v>
      </c>
      <c r="D244" s="22">
        <f>11439.1+6863.46</f>
        <v>18302.560000000001</v>
      </c>
      <c r="E244" s="22">
        <v>589808.27</v>
      </c>
      <c r="F244" s="22">
        <f t="shared" si="98"/>
        <v>608110.83000000007</v>
      </c>
      <c r="G244" s="22">
        <v>0</v>
      </c>
      <c r="H244" s="22">
        <v>0</v>
      </c>
      <c r="I244" s="22">
        <v>0</v>
      </c>
      <c r="J244" s="22">
        <v>0</v>
      </c>
      <c r="K244" s="22">
        <f t="shared" ref="K244:K254" si="99">J244+I244+H244+G244+E244+D244</f>
        <v>608110.83000000007</v>
      </c>
      <c r="L244" s="22">
        <f>103665.57-12431.57</f>
        <v>91234</v>
      </c>
      <c r="N244" s="121"/>
    </row>
    <row r="245" spans="1:14">
      <c r="A245" s="192"/>
      <c r="B245" s="183"/>
      <c r="C245" s="49" t="s">
        <v>17</v>
      </c>
      <c r="D245" s="22">
        <v>22414.9</v>
      </c>
      <c r="E245" s="22">
        <v>643515.18000000005</v>
      </c>
      <c r="F245" s="22">
        <f t="shared" si="98"/>
        <v>665930.08000000007</v>
      </c>
      <c r="G245" s="22">
        <v>0</v>
      </c>
      <c r="H245" s="22">
        <v>0</v>
      </c>
      <c r="I245" s="22">
        <v>0</v>
      </c>
      <c r="J245" s="22">
        <v>0</v>
      </c>
      <c r="K245" s="22">
        <f t="shared" si="99"/>
        <v>665930.08000000007</v>
      </c>
      <c r="L245" s="22">
        <v>91234</v>
      </c>
      <c r="N245" s="24"/>
    </row>
    <row r="246" spans="1:14">
      <c r="A246" s="192"/>
      <c r="B246" s="183"/>
      <c r="C246" s="107" t="s">
        <v>18</v>
      </c>
      <c r="D246" s="22">
        <v>16954.59</v>
      </c>
      <c r="E246" s="22">
        <v>589705.64</v>
      </c>
      <c r="F246" s="22">
        <f t="shared" si="98"/>
        <v>606660.23</v>
      </c>
      <c r="G246" s="22">
        <v>0</v>
      </c>
      <c r="H246" s="22">
        <v>0</v>
      </c>
      <c r="I246" s="22">
        <v>0</v>
      </c>
      <c r="J246" s="22">
        <v>0</v>
      </c>
      <c r="K246" s="22">
        <f t="shared" si="99"/>
        <v>606660.23</v>
      </c>
      <c r="L246" s="22">
        <v>91234</v>
      </c>
      <c r="N246" s="24"/>
    </row>
    <row r="247" spans="1:14">
      <c r="A247" s="192"/>
      <c r="B247" s="182" t="s">
        <v>29</v>
      </c>
      <c r="C247" s="49" t="s">
        <v>16</v>
      </c>
      <c r="D247" s="22">
        <f>11439.1+6863.46</f>
        <v>18302.560000000001</v>
      </c>
      <c r="E247" s="22">
        <v>589808.27</v>
      </c>
      <c r="F247" s="22">
        <f t="shared" si="98"/>
        <v>608110.83000000007</v>
      </c>
      <c r="G247" s="22">
        <v>0</v>
      </c>
      <c r="H247" s="22">
        <v>0</v>
      </c>
      <c r="I247" s="22">
        <v>0</v>
      </c>
      <c r="J247" s="22">
        <v>0</v>
      </c>
      <c r="K247" s="22">
        <f t="shared" si="99"/>
        <v>608110.83000000007</v>
      </c>
      <c r="L247" s="22">
        <f>104418.28-12249.28</f>
        <v>92169</v>
      </c>
      <c r="N247" s="24"/>
    </row>
    <row r="248" spans="1:14">
      <c r="A248" s="192"/>
      <c r="B248" s="183"/>
      <c r="C248" s="49" t="s">
        <v>17</v>
      </c>
      <c r="D248" s="22">
        <v>34368.83</v>
      </c>
      <c r="E248" s="22">
        <v>657150.84</v>
      </c>
      <c r="F248" s="22">
        <f t="shared" si="98"/>
        <v>691519.66999999993</v>
      </c>
      <c r="G248" s="122">
        <v>0</v>
      </c>
      <c r="H248" s="22">
        <v>0</v>
      </c>
      <c r="I248" s="22">
        <v>0</v>
      </c>
      <c r="J248" s="22">
        <v>0</v>
      </c>
      <c r="K248" s="22">
        <f t="shared" si="99"/>
        <v>691519.66999999993</v>
      </c>
      <c r="L248" s="85">
        <v>92169</v>
      </c>
      <c r="N248" s="24"/>
    </row>
    <row r="249" spans="1:14">
      <c r="A249" s="192"/>
      <c r="B249" s="183"/>
      <c r="C249" s="107" t="s">
        <v>18</v>
      </c>
      <c r="D249" s="22">
        <v>18228.66</v>
      </c>
      <c r="E249" s="22">
        <v>589705.64</v>
      </c>
      <c r="F249" s="22">
        <f t="shared" si="98"/>
        <v>607934.30000000005</v>
      </c>
      <c r="G249" s="22">
        <v>0</v>
      </c>
      <c r="H249" s="22">
        <v>0</v>
      </c>
      <c r="I249" s="22">
        <v>0</v>
      </c>
      <c r="J249" s="22">
        <v>0</v>
      </c>
      <c r="K249" s="22">
        <f t="shared" si="99"/>
        <v>607934.30000000005</v>
      </c>
      <c r="L249" s="22">
        <v>92169</v>
      </c>
      <c r="N249" s="24"/>
    </row>
    <row r="250" spans="1:14">
      <c r="A250" s="192"/>
      <c r="B250" s="179" t="s">
        <v>30</v>
      </c>
      <c r="C250" s="108" t="s">
        <v>16</v>
      </c>
      <c r="D250" s="22">
        <f>11439.1+6863.46-113.16-60</f>
        <v>18129.400000000001</v>
      </c>
      <c r="E250" s="22">
        <f>589808.27-14.64-0.01</f>
        <v>589793.62</v>
      </c>
      <c r="F250" s="22">
        <f t="shared" si="98"/>
        <v>607923.02</v>
      </c>
      <c r="G250" s="27">
        <v>0</v>
      </c>
      <c r="H250" s="27">
        <v>0</v>
      </c>
      <c r="I250" s="27">
        <v>0</v>
      </c>
      <c r="J250" s="27">
        <v>0</v>
      </c>
      <c r="K250" s="27">
        <f t="shared" si="99"/>
        <v>607923.02</v>
      </c>
      <c r="L250" s="27">
        <f>91498</f>
        <v>91498</v>
      </c>
      <c r="N250" s="24"/>
    </row>
    <row r="251" spans="1:14">
      <c r="A251" s="192"/>
      <c r="B251" s="178"/>
      <c r="C251" s="108" t="s">
        <v>17</v>
      </c>
      <c r="D251" s="27">
        <v>32875.870000000003</v>
      </c>
      <c r="E251" s="27">
        <v>632665.30000000005</v>
      </c>
      <c r="F251" s="27">
        <f>SUM(D251:E251)</f>
        <v>665541.17000000004</v>
      </c>
      <c r="G251" s="27">
        <v>0</v>
      </c>
      <c r="H251" s="27">
        <v>0</v>
      </c>
      <c r="I251" s="27">
        <v>0</v>
      </c>
      <c r="J251" s="27">
        <v>0</v>
      </c>
      <c r="K251" s="27">
        <f t="shared" si="99"/>
        <v>665541.17000000004</v>
      </c>
      <c r="L251" s="27">
        <f>91498</f>
        <v>91498</v>
      </c>
      <c r="N251" s="24"/>
    </row>
    <row r="252" spans="1:14">
      <c r="A252" s="192"/>
      <c r="B252" s="178"/>
      <c r="C252" s="107" t="s">
        <v>18</v>
      </c>
      <c r="D252" s="27">
        <v>18197.169999999998</v>
      </c>
      <c r="E252" s="27">
        <v>589705.64</v>
      </c>
      <c r="F252" s="27">
        <f>SUM(D252:E252)</f>
        <v>607902.81000000006</v>
      </c>
      <c r="G252" s="27">
        <v>0</v>
      </c>
      <c r="H252" s="27">
        <v>0</v>
      </c>
      <c r="I252" s="27">
        <v>0</v>
      </c>
      <c r="J252" s="27">
        <v>0</v>
      </c>
      <c r="K252" s="27">
        <f t="shared" si="99"/>
        <v>607902.81000000006</v>
      </c>
      <c r="L252" s="27">
        <f>91498</f>
        <v>91498</v>
      </c>
      <c r="N252" s="24"/>
    </row>
    <row r="253" spans="1:14">
      <c r="A253" s="192"/>
      <c r="B253" s="184" t="s">
        <v>31</v>
      </c>
      <c r="C253" s="49" t="s">
        <v>16</v>
      </c>
      <c r="D253" s="22">
        <f t="shared" ref="D253:J253" si="100">D250+D247+D244</f>
        <v>54734.520000000004</v>
      </c>
      <c r="E253" s="22">
        <f t="shared" si="100"/>
        <v>1769410.1600000001</v>
      </c>
      <c r="F253" s="22">
        <f t="shared" si="100"/>
        <v>1824144.6800000002</v>
      </c>
      <c r="G253" s="22">
        <f t="shared" si="100"/>
        <v>0</v>
      </c>
      <c r="H253" s="22">
        <f t="shared" si="100"/>
        <v>0</v>
      </c>
      <c r="I253" s="22">
        <f t="shared" si="100"/>
        <v>0</v>
      </c>
      <c r="J253" s="22">
        <f t="shared" si="100"/>
        <v>0</v>
      </c>
      <c r="K253" s="22">
        <f t="shared" si="99"/>
        <v>1824144.6800000002</v>
      </c>
      <c r="L253" s="22">
        <f>L250+L247+L244</f>
        <v>274901</v>
      </c>
      <c r="N253" s="24"/>
    </row>
    <row r="254" spans="1:14">
      <c r="A254" s="192"/>
      <c r="B254" s="184"/>
      <c r="C254" s="49" t="s">
        <v>17</v>
      </c>
      <c r="D254" s="22">
        <f>D251+D248+D245</f>
        <v>89659.6</v>
      </c>
      <c r="E254" s="22">
        <f>E251+E248+E245</f>
        <v>1933331.3200000003</v>
      </c>
      <c r="F254" s="22">
        <f>D254+E254</f>
        <v>2022990.9200000004</v>
      </c>
      <c r="G254" s="22">
        <f>G251+G248+G245</f>
        <v>0</v>
      </c>
      <c r="H254" s="22">
        <v>0</v>
      </c>
      <c r="I254" s="22">
        <f>I251+I248+I245</f>
        <v>0</v>
      </c>
      <c r="J254" s="22">
        <f>J251+J248+J245</f>
        <v>0</v>
      </c>
      <c r="K254" s="22">
        <f t="shared" si="99"/>
        <v>2022990.9200000004</v>
      </c>
      <c r="L254" s="22">
        <f>L251+L248+L245</f>
        <v>274901</v>
      </c>
      <c r="N254" s="24"/>
    </row>
    <row r="255" spans="1:14">
      <c r="A255" s="192"/>
      <c r="B255" s="184"/>
      <c r="C255" s="107" t="s">
        <v>18</v>
      </c>
      <c r="D255" s="22">
        <f>D252+D249+D246</f>
        <v>53380.42</v>
      </c>
      <c r="E255" s="22">
        <f>E252+E249+E246</f>
        <v>1769116.92</v>
      </c>
      <c r="F255" s="22">
        <f>F252+F249+F246</f>
        <v>1822497.34</v>
      </c>
      <c r="G255" s="22">
        <f>G252+G249+G246</f>
        <v>0</v>
      </c>
      <c r="H255" s="22">
        <f>H252+H249+H246</f>
        <v>0</v>
      </c>
      <c r="I255" s="22">
        <f>I252+I249+I246</f>
        <v>0</v>
      </c>
      <c r="J255" s="22">
        <f>J252+J249+J246</f>
        <v>0</v>
      </c>
      <c r="K255" s="22">
        <f>K252+K249+K246</f>
        <v>1822497.34</v>
      </c>
      <c r="L255" s="22">
        <f>L252+L249+L246</f>
        <v>274901</v>
      </c>
      <c r="N255" s="24"/>
    </row>
    <row r="256" spans="1:14">
      <c r="A256" s="192"/>
      <c r="B256" s="180" t="s">
        <v>32</v>
      </c>
      <c r="C256" s="50" t="s">
        <v>16</v>
      </c>
      <c r="D256" s="51">
        <f>D238+D253</f>
        <v>109642.20000000001</v>
      </c>
      <c r="E256" s="51">
        <f>E238+E253</f>
        <v>3538820.3200000003</v>
      </c>
      <c r="F256" s="51">
        <f t="shared" ref="F256:F262" si="101">D256+E256</f>
        <v>3648462.5200000005</v>
      </c>
      <c r="G256" s="51">
        <f>G238+G253</f>
        <v>0</v>
      </c>
      <c r="H256" s="51">
        <f>H238+H253</f>
        <v>0</v>
      </c>
      <c r="I256" s="51">
        <f>I238+I253</f>
        <v>0</v>
      </c>
      <c r="J256" s="51">
        <f>J238+J253</f>
        <v>0</v>
      </c>
      <c r="K256" s="51">
        <f>J256+I256+H256+G256+E256+D256</f>
        <v>3648462.5200000005</v>
      </c>
      <c r="L256" s="51">
        <f>L238+L253-858</f>
        <v>547899</v>
      </c>
      <c r="M256" s="52"/>
      <c r="N256" s="53"/>
    </row>
    <row r="257" spans="1:14">
      <c r="A257" s="192"/>
      <c r="B257" s="181"/>
      <c r="C257" s="49" t="s">
        <v>17</v>
      </c>
      <c r="D257" s="22">
        <f>D239+D254</f>
        <v>175153.51</v>
      </c>
      <c r="E257" s="22">
        <f>E239+E254</f>
        <v>3834259.62</v>
      </c>
      <c r="F257" s="22">
        <f t="shared" si="101"/>
        <v>4009413.13</v>
      </c>
      <c r="G257" s="22">
        <f t="shared" ref="G257:J258" si="102">G254+G239</f>
        <v>0</v>
      </c>
      <c r="H257" s="22">
        <f t="shared" si="102"/>
        <v>0</v>
      </c>
      <c r="I257" s="22">
        <f t="shared" si="102"/>
        <v>0</v>
      </c>
      <c r="J257" s="22">
        <f t="shared" si="102"/>
        <v>0</v>
      </c>
      <c r="K257" s="22">
        <f>J257+I257+H257+G257+E257+D257</f>
        <v>4009413.13</v>
      </c>
      <c r="L257" s="22">
        <f>L241+L254</f>
        <v>548757</v>
      </c>
      <c r="N257" s="24"/>
    </row>
    <row r="258" spans="1:14">
      <c r="A258" s="192"/>
      <c r="B258" s="181"/>
      <c r="C258" s="107" t="s">
        <v>18</v>
      </c>
      <c r="D258" s="22">
        <f>D243+D255</f>
        <v>107157.69</v>
      </c>
      <c r="E258" s="22">
        <f>E243+E255</f>
        <v>3538527.08</v>
      </c>
      <c r="F258" s="22">
        <f t="shared" si="101"/>
        <v>3645684.77</v>
      </c>
      <c r="G258" s="22">
        <f t="shared" si="102"/>
        <v>0</v>
      </c>
      <c r="H258" s="22">
        <f t="shared" si="102"/>
        <v>0</v>
      </c>
      <c r="I258" s="22">
        <f t="shared" si="102"/>
        <v>0</v>
      </c>
      <c r="J258" s="22">
        <f t="shared" si="102"/>
        <v>0</v>
      </c>
      <c r="K258" s="22">
        <f>J258+I258+H258+G258+E258+D258</f>
        <v>3645684.77</v>
      </c>
      <c r="L258" s="22">
        <f>L255+L243</f>
        <v>548757</v>
      </c>
      <c r="N258" s="24"/>
    </row>
    <row r="259" spans="1:14">
      <c r="A259" s="192"/>
      <c r="B259" s="178"/>
      <c r="C259" s="79" t="s">
        <v>54</v>
      </c>
      <c r="D259" s="51">
        <v>175153.52</v>
      </c>
      <c r="E259" s="51">
        <v>3834259.62</v>
      </c>
      <c r="F259" s="51">
        <f t="shared" si="101"/>
        <v>4009413.14</v>
      </c>
      <c r="G259" s="51">
        <v>0</v>
      </c>
      <c r="H259" s="51">
        <v>0</v>
      </c>
      <c r="I259" s="51"/>
      <c r="J259" s="51"/>
      <c r="K259" s="51">
        <f>F259</f>
        <v>4009413.14</v>
      </c>
      <c r="L259" s="51">
        <v>547899</v>
      </c>
      <c r="M259" s="52"/>
      <c r="N259" s="53"/>
    </row>
    <row r="260" spans="1:14">
      <c r="A260" s="192"/>
      <c r="B260" s="178"/>
      <c r="C260" s="79" t="s">
        <v>48</v>
      </c>
      <c r="D260" s="51">
        <v>2484.5100000000002</v>
      </c>
      <c r="E260" s="51">
        <v>293.24</v>
      </c>
      <c r="F260" s="51">
        <f t="shared" si="101"/>
        <v>2777.75</v>
      </c>
      <c r="G260" s="51">
        <v>0</v>
      </c>
      <c r="H260" s="51">
        <v>0</v>
      </c>
      <c r="I260" s="51"/>
      <c r="J260" s="51"/>
      <c r="K260" s="51">
        <f>F260</f>
        <v>2777.75</v>
      </c>
      <c r="L260" s="51">
        <v>-858</v>
      </c>
      <c r="M260" s="52"/>
      <c r="N260" s="53"/>
    </row>
    <row r="261" spans="1:14">
      <c r="A261" s="192"/>
      <c r="B261" s="178"/>
      <c r="C261" s="79" t="s">
        <v>26</v>
      </c>
      <c r="D261" s="51">
        <f>D258+D260</f>
        <v>109642.2</v>
      </c>
      <c r="E261" s="51">
        <f>E258+E260</f>
        <v>3538820.3200000003</v>
      </c>
      <c r="F261" s="51">
        <f t="shared" si="101"/>
        <v>3648462.5200000005</v>
      </c>
      <c r="G261" s="51">
        <f>G258+G260</f>
        <v>0</v>
      </c>
      <c r="H261" s="51">
        <f>H258+H260</f>
        <v>0</v>
      </c>
      <c r="I261" s="51">
        <f>I258+I260</f>
        <v>0</v>
      </c>
      <c r="J261" s="51">
        <f>J258+J260</f>
        <v>0</v>
      </c>
      <c r="K261" s="51">
        <f>F261</f>
        <v>3648462.5200000005</v>
      </c>
      <c r="L261" s="51">
        <f>L258+L260</f>
        <v>547899</v>
      </c>
      <c r="M261" s="52"/>
      <c r="N261" s="53"/>
    </row>
    <row r="262" spans="1:14">
      <c r="A262" s="192"/>
      <c r="B262" s="197"/>
      <c r="C262" s="149" t="s">
        <v>19</v>
      </c>
      <c r="D262" s="51">
        <f>D256-D261</f>
        <v>0</v>
      </c>
      <c r="E262" s="51">
        <f>E256-E261</f>
        <v>0</v>
      </c>
      <c r="F262" s="51">
        <f t="shared" si="101"/>
        <v>0</v>
      </c>
      <c r="G262" s="51">
        <f>E262+F262</f>
        <v>0</v>
      </c>
      <c r="H262" s="51">
        <f>F262+G262</f>
        <v>0</v>
      </c>
      <c r="I262" s="51">
        <f>G262+H262</f>
        <v>0</v>
      </c>
      <c r="J262" s="51">
        <f>H262+I262</f>
        <v>0</v>
      </c>
      <c r="K262" s="51">
        <f>I262+J262</f>
        <v>0</v>
      </c>
      <c r="L262" s="51">
        <f>L256-L261</f>
        <v>0</v>
      </c>
      <c r="M262" s="52"/>
      <c r="N262" s="53"/>
    </row>
    <row r="263" spans="1:14">
      <c r="A263" s="192"/>
      <c r="B263" s="171" t="s">
        <v>33</v>
      </c>
      <c r="C263" s="20" t="s">
        <v>16</v>
      </c>
      <c r="D263" s="21">
        <v>38519.279999999999</v>
      </c>
      <c r="E263" s="21">
        <v>589848.5</v>
      </c>
      <c r="F263" s="21">
        <f t="shared" ref="F263:F271" si="103">SUM(D263:E263)</f>
        <v>628367.78</v>
      </c>
      <c r="G263" s="21">
        <v>0</v>
      </c>
      <c r="H263" s="49">
        <v>0</v>
      </c>
      <c r="I263" s="49">
        <v>0</v>
      </c>
      <c r="J263" s="49">
        <v>0</v>
      </c>
      <c r="K263" s="21">
        <f>D263+E263+G263+H263+I263+J263</f>
        <v>628367.78</v>
      </c>
      <c r="L263" s="23">
        <v>92312</v>
      </c>
      <c r="N263" s="24"/>
    </row>
    <row r="264" spans="1:14">
      <c r="A264" s="192"/>
      <c r="B264" s="172"/>
      <c r="C264" s="20" t="s">
        <v>17</v>
      </c>
      <c r="D264" s="21">
        <v>47836.76</v>
      </c>
      <c r="E264" s="21">
        <v>653236.65</v>
      </c>
      <c r="F264" s="21">
        <f t="shared" si="103"/>
        <v>701073.41</v>
      </c>
      <c r="G264" s="21">
        <v>0</v>
      </c>
      <c r="H264" s="49">
        <v>0</v>
      </c>
      <c r="I264" s="49">
        <v>0</v>
      </c>
      <c r="J264" s="49">
        <v>0</v>
      </c>
      <c r="K264" s="21">
        <f>D264+E264+G264+H264+I264+J264</f>
        <v>701073.41</v>
      </c>
      <c r="L264" s="23">
        <v>92312</v>
      </c>
      <c r="N264" s="24"/>
    </row>
    <row r="265" spans="1:14">
      <c r="A265" s="192"/>
      <c r="B265" s="172"/>
      <c r="C265" s="20" t="s">
        <v>18</v>
      </c>
      <c r="D265" s="21">
        <v>37260.959999999999</v>
      </c>
      <c r="E265" s="21">
        <v>589745.86</v>
      </c>
      <c r="F265" s="21">
        <f t="shared" si="103"/>
        <v>627006.81999999995</v>
      </c>
      <c r="G265" s="21">
        <v>0</v>
      </c>
      <c r="H265" s="49">
        <v>0</v>
      </c>
      <c r="I265" s="49">
        <v>0</v>
      </c>
      <c r="J265" s="49">
        <v>0</v>
      </c>
      <c r="K265" s="21">
        <f>D265+E265+G265+H265+I265+J265</f>
        <v>627006.81999999995</v>
      </c>
      <c r="L265" s="23">
        <v>92312</v>
      </c>
      <c r="N265" s="24"/>
    </row>
    <row r="266" spans="1:14">
      <c r="A266" s="192"/>
      <c r="B266" s="171" t="s">
        <v>34</v>
      </c>
      <c r="C266" s="20" t="s">
        <v>16</v>
      </c>
      <c r="D266" s="21">
        <v>62593.83</v>
      </c>
      <c r="E266" s="21">
        <v>589848.5</v>
      </c>
      <c r="F266" s="21">
        <f t="shared" si="103"/>
        <v>652442.32999999996</v>
      </c>
      <c r="G266" s="21">
        <v>0</v>
      </c>
      <c r="H266" s="49">
        <v>0</v>
      </c>
      <c r="I266" s="49">
        <v>0</v>
      </c>
      <c r="J266" s="49">
        <v>0</v>
      </c>
      <c r="K266" s="21">
        <f t="shared" ref="K266:K271" si="104">J266+I266+H266+G266+E266+D266</f>
        <v>652442.32999999996</v>
      </c>
      <c r="L266" s="23">
        <v>94336</v>
      </c>
      <c r="N266" s="24"/>
    </row>
    <row r="267" spans="1:14">
      <c r="A267" s="192"/>
      <c r="B267" s="172"/>
      <c r="C267" s="20" t="s">
        <v>17</v>
      </c>
      <c r="D267" s="21">
        <v>55624.99</v>
      </c>
      <c r="E267" s="21">
        <v>640773.1</v>
      </c>
      <c r="F267" s="21">
        <f t="shared" si="103"/>
        <v>696398.09</v>
      </c>
      <c r="G267" s="21">
        <v>0</v>
      </c>
      <c r="H267" s="49">
        <v>0</v>
      </c>
      <c r="I267" s="49">
        <v>0</v>
      </c>
      <c r="J267" s="49">
        <v>0</v>
      </c>
      <c r="K267" s="21">
        <f t="shared" si="104"/>
        <v>696398.09</v>
      </c>
      <c r="L267" s="23">
        <v>94336</v>
      </c>
      <c r="N267" s="24"/>
    </row>
    <row r="268" spans="1:14">
      <c r="A268" s="192"/>
      <c r="B268" s="172"/>
      <c r="C268" s="20" t="s">
        <v>18</v>
      </c>
      <c r="D268" s="21">
        <v>55624.99</v>
      </c>
      <c r="E268" s="21">
        <v>589745.86</v>
      </c>
      <c r="F268" s="21">
        <f t="shared" si="103"/>
        <v>645370.85</v>
      </c>
      <c r="G268" s="21">
        <v>0</v>
      </c>
      <c r="H268" s="49">
        <v>0</v>
      </c>
      <c r="I268" s="49">
        <v>0</v>
      </c>
      <c r="J268" s="49">
        <v>0</v>
      </c>
      <c r="K268" s="21">
        <f t="shared" si="104"/>
        <v>645370.85</v>
      </c>
      <c r="L268" s="23">
        <v>94336</v>
      </c>
      <c r="N268" s="24"/>
    </row>
    <row r="269" spans="1:14">
      <c r="A269" s="192"/>
      <c r="B269" s="171" t="s">
        <v>35</v>
      </c>
      <c r="C269" s="20" t="s">
        <v>16</v>
      </c>
      <c r="D269" s="21">
        <f>38519.28+24074.55-287.47</f>
        <v>62306.36</v>
      </c>
      <c r="E269" s="21">
        <f>589848.5-14.66</f>
        <v>589833.84</v>
      </c>
      <c r="F269" s="21">
        <f t="shared" si="103"/>
        <v>652140.19999999995</v>
      </c>
      <c r="G269" s="21">
        <v>0</v>
      </c>
      <c r="H269" s="49">
        <v>0</v>
      </c>
      <c r="I269" s="49">
        <v>0</v>
      </c>
      <c r="J269" s="49">
        <v>0</v>
      </c>
      <c r="K269" s="21">
        <f t="shared" si="104"/>
        <v>652140.19999999995</v>
      </c>
      <c r="L269" s="23">
        <f>123615.1-29653.1+44</f>
        <v>94006</v>
      </c>
      <c r="N269" s="24"/>
    </row>
    <row r="270" spans="1:14">
      <c r="A270" s="192"/>
      <c r="B270" s="172"/>
      <c r="C270" s="20" t="s">
        <v>17</v>
      </c>
      <c r="D270" s="21">
        <v>59957.72</v>
      </c>
      <c r="E270" s="21">
        <v>630655.63</v>
      </c>
      <c r="F270" s="21">
        <f t="shared" si="103"/>
        <v>690613.35</v>
      </c>
      <c r="G270" s="21">
        <v>0</v>
      </c>
      <c r="H270" s="49">
        <v>0</v>
      </c>
      <c r="I270" s="49">
        <v>0</v>
      </c>
      <c r="J270" s="49">
        <v>0</v>
      </c>
      <c r="K270" s="21">
        <f t="shared" si="104"/>
        <v>690613.35</v>
      </c>
      <c r="L270" s="23">
        <v>93962</v>
      </c>
      <c r="N270" s="24"/>
    </row>
    <row r="271" spans="1:14">
      <c r="A271" s="192"/>
      <c r="B271" s="172"/>
      <c r="C271" s="20" t="s">
        <v>18</v>
      </c>
      <c r="D271" s="21">
        <v>59957.72</v>
      </c>
      <c r="E271" s="21">
        <v>589745.86</v>
      </c>
      <c r="F271" s="21">
        <f t="shared" si="103"/>
        <v>649703.57999999996</v>
      </c>
      <c r="G271" s="21">
        <v>0</v>
      </c>
      <c r="H271" s="49">
        <v>0</v>
      </c>
      <c r="I271" s="49">
        <v>0</v>
      </c>
      <c r="J271" s="49">
        <v>0</v>
      </c>
      <c r="K271" s="21">
        <f t="shared" si="104"/>
        <v>649703.57999999996</v>
      </c>
      <c r="L271" s="23">
        <v>93962</v>
      </c>
      <c r="N271" s="24"/>
    </row>
    <row r="272" spans="1:14">
      <c r="A272" s="192"/>
      <c r="B272" s="171" t="s">
        <v>36</v>
      </c>
      <c r="C272" s="50" t="s">
        <v>16</v>
      </c>
      <c r="D272" s="51">
        <f t="shared" ref="D272:L272" si="105">D263+D266+D269</f>
        <v>163419.47</v>
      </c>
      <c r="E272" s="51">
        <f t="shared" si="105"/>
        <v>1769530.8399999999</v>
      </c>
      <c r="F272" s="51">
        <f t="shared" si="105"/>
        <v>1932950.3099999998</v>
      </c>
      <c r="G272" s="51">
        <f t="shared" si="105"/>
        <v>0</v>
      </c>
      <c r="H272" s="51">
        <f t="shared" si="105"/>
        <v>0</v>
      </c>
      <c r="I272" s="51">
        <f t="shared" si="105"/>
        <v>0</v>
      </c>
      <c r="J272" s="51">
        <f t="shared" si="105"/>
        <v>0</v>
      </c>
      <c r="K272" s="51">
        <f t="shared" si="105"/>
        <v>1932950.3099999998</v>
      </c>
      <c r="L272" s="51">
        <f t="shared" si="105"/>
        <v>280654</v>
      </c>
      <c r="M272" s="52"/>
      <c r="N272" s="53"/>
    </row>
    <row r="273" spans="1:15">
      <c r="A273" s="192"/>
      <c r="B273" s="172"/>
      <c r="C273" s="50" t="s">
        <v>17</v>
      </c>
      <c r="D273" s="51">
        <f t="shared" ref="D273:L273" si="106">D264+D267+D270</f>
        <v>163419.47</v>
      </c>
      <c r="E273" s="51">
        <f t="shared" si="106"/>
        <v>1924665.38</v>
      </c>
      <c r="F273" s="51">
        <f t="shared" si="106"/>
        <v>2088084.85</v>
      </c>
      <c r="G273" s="51">
        <f t="shared" si="106"/>
        <v>0</v>
      </c>
      <c r="H273" s="51">
        <f t="shared" si="106"/>
        <v>0</v>
      </c>
      <c r="I273" s="51">
        <f t="shared" si="106"/>
        <v>0</v>
      </c>
      <c r="J273" s="51">
        <f t="shared" si="106"/>
        <v>0</v>
      </c>
      <c r="K273" s="51">
        <f t="shared" si="106"/>
        <v>2088084.85</v>
      </c>
      <c r="L273" s="51">
        <f t="shared" si="106"/>
        <v>280610</v>
      </c>
      <c r="M273" s="52"/>
      <c r="N273" s="53"/>
    </row>
    <row r="274" spans="1:15">
      <c r="A274" s="192"/>
      <c r="B274" s="172"/>
      <c r="C274" s="50" t="s">
        <v>18</v>
      </c>
      <c r="D274" s="51">
        <f t="shared" ref="D274:L274" si="107">D265+D268+D271</f>
        <v>152843.66999999998</v>
      </c>
      <c r="E274" s="51">
        <f t="shared" si="107"/>
        <v>1769237.58</v>
      </c>
      <c r="F274" s="51">
        <f t="shared" si="107"/>
        <v>1922081.25</v>
      </c>
      <c r="G274" s="51">
        <f t="shared" si="107"/>
        <v>0</v>
      </c>
      <c r="H274" s="51">
        <f t="shared" si="107"/>
        <v>0</v>
      </c>
      <c r="I274" s="51">
        <f t="shared" si="107"/>
        <v>0</v>
      </c>
      <c r="J274" s="51">
        <f t="shared" si="107"/>
        <v>0</v>
      </c>
      <c r="K274" s="51">
        <f t="shared" si="107"/>
        <v>1922081.25</v>
      </c>
      <c r="L274" s="51">
        <f t="shared" si="107"/>
        <v>280610</v>
      </c>
      <c r="M274" s="52"/>
      <c r="N274" s="53"/>
    </row>
    <row r="275" spans="1:15">
      <c r="A275" s="192"/>
      <c r="B275" s="172"/>
      <c r="C275" s="20" t="s">
        <v>37</v>
      </c>
      <c r="D275" s="21">
        <f t="shared" ref="D275:L275" si="108">D265+D268+D271</f>
        <v>152843.66999999998</v>
      </c>
      <c r="E275" s="21">
        <f t="shared" si="108"/>
        <v>1769237.58</v>
      </c>
      <c r="F275" s="21">
        <f t="shared" si="108"/>
        <v>1922081.25</v>
      </c>
      <c r="G275" s="21">
        <f t="shared" si="108"/>
        <v>0</v>
      </c>
      <c r="H275" s="21">
        <f t="shared" si="108"/>
        <v>0</v>
      </c>
      <c r="I275" s="21">
        <f t="shared" si="108"/>
        <v>0</v>
      </c>
      <c r="J275" s="21">
        <f t="shared" si="108"/>
        <v>0</v>
      </c>
      <c r="K275" s="21">
        <f t="shared" si="108"/>
        <v>1922081.25</v>
      </c>
      <c r="L275" s="21">
        <f t="shared" si="108"/>
        <v>280610</v>
      </c>
      <c r="N275" s="24"/>
    </row>
    <row r="276" spans="1:15">
      <c r="A276" s="192"/>
      <c r="B276" s="173"/>
      <c r="C276" s="147" t="s">
        <v>54</v>
      </c>
      <c r="D276" s="51">
        <v>163419.47</v>
      </c>
      <c r="E276" s="51">
        <v>1924665.38</v>
      </c>
      <c r="F276" s="51">
        <f>D276+E276</f>
        <v>2088084.8499999999</v>
      </c>
      <c r="G276" s="51">
        <v>0</v>
      </c>
      <c r="H276" s="51"/>
      <c r="I276" s="51"/>
      <c r="J276" s="51"/>
      <c r="K276" s="51">
        <f>F276+G276</f>
        <v>2088084.8499999999</v>
      </c>
      <c r="L276" s="51">
        <v>280654</v>
      </c>
      <c r="M276" s="52"/>
      <c r="N276" s="53"/>
    </row>
    <row r="277" spans="1:15">
      <c r="A277" s="192"/>
      <c r="B277" s="173"/>
      <c r="C277" s="79" t="s">
        <v>48</v>
      </c>
      <c r="D277" s="51">
        <v>10575.8</v>
      </c>
      <c r="E277" s="51">
        <v>293.26</v>
      </c>
      <c r="F277" s="51">
        <f>D277+E277</f>
        <v>10869.06</v>
      </c>
      <c r="G277" s="51">
        <v>0</v>
      </c>
      <c r="H277" s="51"/>
      <c r="I277" s="51"/>
      <c r="J277" s="51"/>
      <c r="K277" s="51">
        <f>F277+G277</f>
        <v>10869.06</v>
      </c>
      <c r="L277" s="51">
        <v>44</v>
      </c>
      <c r="M277" s="52"/>
      <c r="N277" s="53"/>
    </row>
    <row r="278" spans="1:15">
      <c r="A278" s="192"/>
      <c r="B278" s="173"/>
      <c r="C278" s="79" t="s">
        <v>26</v>
      </c>
      <c r="D278" s="51">
        <f t="shared" ref="D278:L278" si="109">D275+D277</f>
        <v>163419.46999999997</v>
      </c>
      <c r="E278" s="51">
        <f t="shared" si="109"/>
        <v>1769530.84</v>
      </c>
      <c r="F278" s="51">
        <f t="shared" si="109"/>
        <v>1932950.31</v>
      </c>
      <c r="G278" s="51">
        <f t="shared" si="109"/>
        <v>0</v>
      </c>
      <c r="H278" s="51">
        <f t="shared" si="109"/>
        <v>0</v>
      </c>
      <c r="I278" s="51">
        <f t="shared" si="109"/>
        <v>0</v>
      </c>
      <c r="J278" s="51">
        <f t="shared" si="109"/>
        <v>0</v>
      </c>
      <c r="K278" s="51">
        <f t="shared" si="109"/>
        <v>1932950.31</v>
      </c>
      <c r="L278" s="51">
        <f t="shared" si="109"/>
        <v>280654</v>
      </c>
      <c r="M278" s="52"/>
      <c r="N278" s="53"/>
    </row>
    <row r="279" spans="1:15">
      <c r="A279" s="192"/>
      <c r="B279" s="171" t="s">
        <v>38</v>
      </c>
      <c r="C279" s="20" t="s">
        <v>16</v>
      </c>
      <c r="D279" s="21">
        <f>38519.28+24074.55</f>
        <v>62593.83</v>
      </c>
      <c r="E279" s="21">
        <v>589848.5</v>
      </c>
      <c r="F279" s="21">
        <f t="shared" ref="F279:F284" si="110">SUM(D279:E279)</f>
        <v>652442.32999999996</v>
      </c>
      <c r="G279" s="21">
        <v>0</v>
      </c>
      <c r="H279" s="49">
        <v>0</v>
      </c>
      <c r="I279" s="49">
        <v>0</v>
      </c>
      <c r="J279" s="49">
        <v>0</v>
      </c>
      <c r="K279" s="21">
        <f t="shared" ref="K279:K284" si="111">D279+E279+G279+H279+I279+J279</f>
        <v>652442.32999999996</v>
      </c>
      <c r="L279" s="23">
        <v>94479</v>
      </c>
      <c r="N279" s="24"/>
    </row>
    <row r="280" spans="1:15">
      <c r="A280" s="192"/>
      <c r="B280" s="172"/>
      <c r="C280" s="20" t="s">
        <v>17</v>
      </c>
      <c r="D280" s="21">
        <v>64227.47</v>
      </c>
      <c r="E280" s="21">
        <v>617752.18999999994</v>
      </c>
      <c r="F280" s="21">
        <f t="shared" si="110"/>
        <v>681979.65999999992</v>
      </c>
      <c r="G280" s="21">
        <v>0</v>
      </c>
      <c r="H280" s="49">
        <v>0</v>
      </c>
      <c r="I280" s="49">
        <v>0</v>
      </c>
      <c r="J280" s="49">
        <v>0</v>
      </c>
      <c r="K280" s="21">
        <f t="shared" si="111"/>
        <v>681979.65999999992</v>
      </c>
      <c r="L280" s="23">
        <v>94479</v>
      </c>
      <c r="N280" s="24"/>
    </row>
    <row r="281" spans="1:15">
      <c r="A281" s="192"/>
      <c r="B281" s="172"/>
      <c r="C281" s="20" t="s">
        <v>18</v>
      </c>
      <c r="D281" s="21">
        <v>61742.64</v>
      </c>
      <c r="E281" s="21">
        <v>589745.86</v>
      </c>
      <c r="F281" s="21">
        <f t="shared" si="110"/>
        <v>651488.5</v>
      </c>
      <c r="G281" s="21">
        <v>0</v>
      </c>
      <c r="H281" s="49">
        <v>0</v>
      </c>
      <c r="I281" s="49">
        <v>0</v>
      </c>
      <c r="J281" s="49">
        <v>0</v>
      </c>
      <c r="K281" s="21">
        <f t="shared" si="111"/>
        <v>651488.5</v>
      </c>
      <c r="L281" s="23">
        <v>94479</v>
      </c>
      <c r="N281" s="24"/>
      <c r="O281" s="18"/>
    </row>
    <row r="282" spans="1:15">
      <c r="A282" s="192"/>
      <c r="B282" s="171" t="s">
        <v>39</v>
      </c>
      <c r="C282" s="20" t="s">
        <v>16</v>
      </c>
      <c r="D282" s="21">
        <v>62593.83</v>
      </c>
      <c r="E282" s="21">
        <v>589848.5</v>
      </c>
      <c r="F282" s="21">
        <f t="shared" si="110"/>
        <v>652442.32999999996</v>
      </c>
      <c r="G282" s="21">
        <v>0</v>
      </c>
      <c r="H282" s="49">
        <v>0</v>
      </c>
      <c r="I282" s="49">
        <v>0</v>
      </c>
      <c r="J282" s="49">
        <v>0</v>
      </c>
      <c r="K282" s="21">
        <f t="shared" si="111"/>
        <v>652442.32999999996</v>
      </c>
      <c r="L282" s="23">
        <f>7200.34+84660.66+2046</f>
        <v>93907</v>
      </c>
      <c r="N282" s="24"/>
    </row>
    <row r="283" spans="1:15">
      <c r="A283" s="192"/>
      <c r="B283" s="172"/>
      <c r="C283" s="20" t="s">
        <v>17</v>
      </c>
      <c r="D283" s="21">
        <v>86433.59</v>
      </c>
      <c r="E283" s="21">
        <v>580068.28</v>
      </c>
      <c r="F283" s="21">
        <f t="shared" si="110"/>
        <v>666501.87</v>
      </c>
      <c r="G283" s="21">
        <v>0</v>
      </c>
      <c r="H283" s="49">
        <v>0</v>
      </c>
      <c r="I283" s="49">
        <v>0</v>
      </c>
      <c r="J283" s="49">
        <v>0</v>
      </c>
      <c r="K283" s="21">
        <f t="shared" si="111"/>
        <v>666501.87</v>
      </c>
      <c r="L283" s="23">
        <v>91861</v>
      </c>
      <c r="N283" s="24"/>
    </row>
    <row r="284" spans="1:15">
      <c r="A284" s="192"/>
      <c r="B284" s="172"/>
      <c r="C284" s="20" t="s">
        <v>18</v>
      </c>
      <c r="D284" s="21">
        <v>62233.61</v>
      </c>
      <c r="E284" s="21">
        <v>580068.28</v>
      </c>
      <c r="F284" s="21">
        <f t="shared" si="110"/>
        <v>642301.89</v>
      </c>
      <c r="G284" s="21">
        <v>0</v>
      </c>
      <c r="H284" s="49">
        <v>0</v>
      </c>
      <c r="I284" s="49">
        <v>0</v>
      </c>
      <c r="J284" s="49">
        <v>0</v>
      </c>
      <c r="K284" s="21">
        <f t="shared" si="111"/>
        <v>642301.89</v>
      </c>
      <c r="L284" s="23">
        <v>91861</v>
      </c>
      <c r="N284" s="24"/>
    </row>
    <row r="285" spans="1:15">
      <c r="A285" s="192"/>
      <c r="B285" s="204" t="s">
        <v>55</v>
      </c>
      <c r="C285" s="57" t="s">
        <v>16</v>
      </c>
      <c r="D285" s="58">
        <f t="shared" ref="D285:N285" si="112">D272+D279+D282</f>
        <v>288607.13</v>
      </c>
      <c r="E285" s="58">
        <f t="shared" si="112"/>
        <v>2949227.84</v>
      </c>
      <c r="F285" s="58">
        <f t="shared" si="112"/>
        <v>3237834.9699999997</v>
      </c>
      <c r="G285" s="58">
        <f t="shared" si="112"/>
        <v>0</v>
      </c>
      <c r="H285" s="58">
        <f t="shared" si="112"/>
        <v>0</v>
      </c>
      <c r="I285" s="58">
        <f t="shared" si="112"/>
        <v>0</v>
      </c>
      <c r="J285" s="58">
        <f t="shared" si="112"/>
        <v>0</v>
      </c>
      <c r="K285" s="58">
        <f t="shared" si="112"/>
        <v>3237834.9699999997</v>
      </c>
      <c r="L285" s="58">
        <f t="shared" si="112"/>
        <v>469040</v>
      </c>
      <c r="M285" s="58">
        <f t="shared" si="112"/>
        <v>0</v>
      </c>
      <c r="N285" s="58">
        <f t="shared" si="112"/>
        <v>0</v>
      </c>
    </row>
    <row r="286" spans="1:15">
      <c r="A286" s="192"/>
      <c r="B286" s="205"/>
      <c r="C286" s="57" t="s">
        <v>17</v>
      </c>
      <c r="D286" s="58">
        <v>314080.53999999998</v>
      </c>
      <c r="E286" s="58">
        <v>3122485.85</v>
      </c>
      <c r="F286" s="58">
        <f>D286+E286</f>
        <v>3436566.39</v>
      </c>
      <c r="G286" s="58"/>
      <c r="H286" s="58"/>
      <c r="I286" s="58"/>
      <c r="J286" s="58"/>
      <c r="K286" s="58">
        <f>F286+G286</f>
        <v>3436566.39</v>
      </c>
      <c r="L286" s="58">
        <v>469040</v>
      </c>
      <c r="M286" s="116"/>
      <c r="N286" s="60"/>
    </row>
    <row r="287" spans="1:15">
      <c r="A287" s="192"/>
      <c r="B287" s="205"/>
      <c r="C287" s="57" t="s">
        <v>49</v>
      </c>
      <c r="D287" s="58">
        <f t="shared" ref="D287:N287" si="113">D278+D281+D284</f>
        <v>287395.71999999997</v>
      </c>
      <c r="E287" s="58">
        <f t="shared" si="113"/>
        <v>2939344.9800000004</v>
      </c>
      <c r="F287" s="58">
        <f t="shared" si="113"/>
        <v>3226740.7</v>
      </c>
      <c r="G287" s="58">
        <f t="shared" si="113"/>
        <v>0</v>
      </c>
      <c r="H287" s="58">
        <f t="shared" si="113"/>
        <v>0</v>
      </c>
      <c r="I287" s="58">
        <f t="shared" si="113"/>
        <v>0</v>
      </c>
      <c r="J287" s="58">
        <f t="shared" si="113"/>
        <v>0</v>
      </c>
      <c r="K287" s="58">
        <f t="shared" si="113"/>
        <v>3226740.7</v>
      </c>
      <c r="L287" s="58">
        <f t="shared" si="113"/>
        <v>466994</v>
      </c>
      <c r="M287" s="58">
        <f t="shared" si="113"/>
        <v>0</v>
      </c>
      <c r="N287" s="58">
        <f t="shared" si="113"/>
        <v>0</v>
      </c>
    </row>
    <row r="288" spans="1:15">
      <c r="A288" s="192"/>
      <c r="B288" s="205"/>
      <c r="C288" s="57" t="s">
        <v>48</v>
      </c>
      <c r="D288" s="58">
        <v>302.89</v>
      </c>
      <c r="E288" s="58">
        <v>9824.2099999999991</v>
      </c>
      <c r="F288" s="58">
        <f>D288+E288</f>
        <v>10127.099999999999</v>
      </c>
      <c r="G288" s="58"/>
      <c r="H288" s="58"/>
      <c r="I288" s="58"/>
      <c r="J288" s="58"/>
      <c r="K288" s="58">
        <f>F288+G288</f>
        <v>10127.099999999999</v>
      </c>
      <c r="L288" s="58">
        <v>2046</v>
      </c>
      <c r="M288" s="116"/>
      <c r="N288" s="60"/>
    </row>
    <row r="289" spans="1:16">
      <c r="A289" s="192"/>
      <c r="B289" s="205"/>
      <c r="C289" s="57" t="s">
        <v>26</v>
      </c>
      <c r="D289" s="58">
        <f>D287+D288</f>
        <v>287698.61</v>
      </c>
      <c r="E289" s="58">
        <f t="shared" ref="E289:N289" si="114">E287+E288</f>
        <v>2949169.1900000004</v>
      </c>
      <c r="F289" s="58">
        <f t="shared" si="114"/>
        <v>3236867.8000000003</v>
      </c>
      <c r="G289" s="58">
        <f t="shared" si="114"/>
        <v>0</v>
      </c>
      <c r="H289" s="58">
        <f t="shared" si="114"/>
        <v>0</v>
      </c>
      <c r="I289" s="58">
        <f t="shared" si="114"/>
        <v>0</v>
      </c>
      <c r="J289" s="58">
        <f t="shared" si="114"/>
        <v>0</v>
      </c>
      <c r="K289" s="58">
        <f t="shared" si="114"/>
        <v>3236867.8000000003</v>
      </c>
      <c r="L289" s="58">
        <f t="shared" si="114"/>
        <v>469040</v>
      </c>
      <c r="M289" s="58">
        <f t="shared" si="114"/>
        <v>0</v>
      </c>
      <c r="N289" s="58">
        <f t="shared" si="114"/>
        <v>0</v>
      </c>
    </row>
    <row r="290" spans="1:16">
      <c r="A290" s="192"/>
      <c r="B290" s="211"/>
      <c r="C290" s="57" t="s">
        <v>27</v>
      </c>
      <c r="D290" s="58">
        <f>D285-D289</f>
        <v>908.52000000001863</v>
      </c>
      <c r="E290" s="58">
        <f>E285-E289</f>
        <v>58.649999999441206</v>
      </c>
      <c r="F290" s="58">
        <f>D290+E290</f>
        <v>967.16999999945983</v>
      </c>
      <c r="G290" s="58"/>
      <c r="H290" s="58"/>
      <c r="I290" s="58"/>
      <c r="J290" s="58"/>
      <c r="K290" s="58">
        <f>F290+G290</f>
        <v>967.16999999945983</v>
      </c>
      <c r="L290" s="58">
        <f>L285-L289</f>
        <v>0</v>
      </c>
      <c r="M290" s="116"/>
      <c r="N290" s="60"/>
    </row>
    <row r="291" spans="1:16">
      <c r="A291" s="192"/>
      <c r="B291" s="171" t="s">
        <v>43</v>
      </c>
      <c r="C291" s="20" t="s">
        <v>16</v>
      </c>
      <c r="D291" s="21">
        <v>62593.84</v>
      </c>
      <c r="E291" s="21">
        <v>630000</v>
      </c>
      <c r="F291" s="21">
        <f>SUM(D291:E291)</f>
        <v>692593.84</v>
      </c>
      <c r="G291" s="21">
        <v>0</v>
      </c>
      <c r="H291" s="49">
        <v>0</v>
      </c>
      <c r="I291" s="49">
        <v>0</v>
      </c>
      <c r="J291" s="49">
        <v>0</v>
      </c>
      <c r="K291" s="21">
        <f>D291+E291+G291+H291+I291+J291</f>
        <v>692593.84</v>
      </c>
      <c r="L291" s="23">
        <v>0</v>
      </c>
      <c r="N291" s="24"/>
    </row>
    <row r="292" spans="1:16">
      <c r="A292" s="192"/>
      <c r="B292" s="172"/>
      <c r="C292" s="20" t="s">
        <v>17</v>
      </c>
      <c r="D292" s="21">
        <v>86265.57</v>
      </c>
      <c r="E292" s="21">
        <v>582267.73</v>
      </c>
      <c r="F292" s="21">
        <f>SUM(D292:E292)</f>
        <v>668533.30000000005</v>
      </c>
      <c r="G292" s="21">
        <v>0</v>
      </c>
      <c r="H292" s="49">
        <v>0</v>
      </c>
      <c r="I292" s="49">
        <v>0</v>
      </c>
      <c r="J292" s="49">
        <v>0</v>
      </c>
      <c r="K292" s="21">
        <f>D292+E292+G292+H292+I292+J292</f>
        <v>668533.30000000005</v>
      </c>
      <c r="L292" s="23">
        <v>87450</v>
      </c>
      <c r="N292" s="24"/>
    </row>
    <row r="293" spans="1:16">
      <c r="A293" s="192"/>
      <c r="B293" s="172"/>
      <c r="C293" s="20" t="s">
        <v>18</v>
      </c>
      <c r="D293" s="21">
        <v>60739.99</v>
      </c>
      <c r="E293" s="21">
        <v>582267.73</v>
      </c>
      <c r="F293" s="21">
        <f>SUM(D293:E293)</f>
        <v>643007.72</v>
      </c>
      <c r="G293" s="21">
        <v>0</v>
      </c>
      <c r="H293" s="49">
        <v>0</v>
      </c>
      <c r="I293" s="49">
        <v>0</v>
      </c>
      <c r="J293" s="49">
        <v>0</v>
      </c>
      <c r="K293" s="21">
        <f>D293+E293+G293+H293+I293+J293</f>
        <v>643007.72</v>
      </c>
      <c r="L293" s="23">
        <v>0</v>
      </c>
      <c r="N293" s="24"/>
    </row>
    <row r="294" spans="1:16">
      <c r="A294" s="192"/>
      <c r="B294" s="187" t="s">
        <v>44</v>
      </c>
      <c r="C294" s="20" t="s">
        <v>16</v>
      </c>
      <c r="D294" s="21">
        <f t="shared" ref="D294:L294" si="115">D279+D282+D291</f>
        <v>187781.5</v>
      </c>
      <c r="E294" s="21">
        <f t="shared" si="115"/>
        <v>1809697</v>
      </c>
      <c r="F294" s="21">
        <f t="shared" si="115"/>
        <v>1997478.5</v>
      </c>
      <c r="G294" s="21">
        <f t="shared" si="115"/>
        <v>0</v>
      </c>
      <c r="H294" s="21">
        <f t="shared" si="115"/>
        <v>0</v>
      </c>
      <c r="I294" s="21">
        <f t="shared" si="115"/>
        <v>0</v>
      </c>
      <c r="J294" s="21">
        <f t="shared" si="115"/>
        <v>0</v>
      </c>
      <c r="K294" s="21">
        <f t="shared" si="115"/>
        <v>1997478.5</v>
      </c>
      <c r="L294" s="21">
        <f t="shared" si="115"/>
        <v>188386</v>
      </c>
      <c r="N294" s="24"/>
    </row>
    <row r="295" spans="1:16">
      <c r="A295" s="192"/>
      <c r="B295" s="188"/>
      <c r="C295" s="20" t="s">
        <v>17</v>
      </c>
      <c r="D295" s="21">
        <f>D286</f>
        <v>314080.53999999998</v>
      </c>
      <c r="E295" s="21">
        <f t="shared" ref="E295:L295" si="116">E280+E283+E292</f>
        <v>1780088.2</v>
      </c>
      <c r="F295" s="21">
        <f t="shared" si="116"/>
        <v>2017014.8299999998</v>
      </c>
      <c r="G295" s="21">
        <f t="shared" si="116"/>
        <v>0</v>
      </c>
      <c r="H295" s="21">
        <f t="shared" si="116"/>
        <v>0</v>
      </c>
      <c r="I295" s="21">
        <f t="shared" si="116"/>
        <v>0</v>
      </c>
      <c r="J295" s="21">
        <f t="shared" si="116"/>
        <v>0</v>
      </c>
      <c r="K295" s="21">
        <f t="shared" si="116"/>
        <v>2017014.8299999998</v>
      </c>
      <c r="L295" s="21">
        <f t="shared" si="116"/>
        <v>273790</v>
      </c>
      <c r="N295" s="24"/>
    </row>
    <row r="296" spans="1:16">
      <c r="A296" s="192"/>
      <c r="B296" s="188"/>
      <c r="C296" s="20" t="s">
        <v>18</v>
      </c>
      <c r="D296" s="21">
        <f>D289</f>
        <v>287698.61</v>
      </c>
      <c r="E296" s="21">
        <f t="shared" ref="E296:J296" si="117">E281+E284+E293</f>
        <v>1752081.87</v>
      </c>
      <c r="F296" s="21">
        <f t="shared" si="117"/>
        <v>1936798.11</v>
      </c>
      <c r="G296" s="21">
        <f t="shared" si="117"/>
        <v>0</v>
      </c>
      <c r="H296" s="21">
        <f t="shared" si="117"/>
        <v>0</v>
      </c>
      <c r="I296" s="21">
        <f t="shared" si="117"/>
        <v>0</v>
      </c>
      <c r="J296" s="21">
        <f t="shared" si="117"/>
        <v>0</v>
      </c>
      <c r="K296" s="21">
        <f>K289</f>
        <v>3236867.8000000003</v>
      </c>
      <c r="L296" s="21">
        <f>L281+L284+L293</f>
        <v>186340</v>
      </c>
      <c r="N296" s="24"/>
    </row>
    <row r="297" spans="1:16">
      <c r="A297" s="192"/>
      <c r="B297" s="212" t="s">
        <v>45</v>
      </c>
      <c r="C297" s="40" t="s">
        <v>16</v>
      </c>
      <c r="D297" s="41">
        <f t="shared" ref="D297:L297" si="118">D272+D294</f>
        <v>351200.97</v>
      </c>
      <c r="E297" s="41">
        <f t="shared" si="118"/>
        <v>3579227.84</v>
      </c>
      <c r="F297" s="41">
        <f t="shared" si="118"/>
        <v>3930428.8099999996</v>
      </c>
      <c r="G297" s="41">
        <f t="shared" si="118"/>
        <v>0</v>
      </c>
      <c r="H297" s="41">
        <f t="shared" si="118"/>
        <v>0</v>
      </c>
      <c r="I297" s="41">
        <f t="shared" si="118"/>
        <v>0</v>
      </c>
      <c r="J297" s="41">
        <f t="shared" si="118"/>
        <v>0</v>
      </c>
      <c r="K297" s="41">
        <f t="shared" si="118"/>
        <v>3930428.8099999996</v>
      </c>
      <c r="L297" s="41">
        <f t="shared" si="118"/>
        <v>469040</v>
      </c>
      <c r="M297" s="42"/>
      <c r="N297" s="43"/>
    </row>
    <row r="298" spans="1:16">
      <c r="A298" s="192"/>
      <c r="B298" s="213"/>
      <c r="C298" s="40" t="s">
        <v>17</v>
      </c>
      <c r="D298" s="41">
        <f>D286+D292</f>
        <v>400346.11</v>
      </c>
      <c r="E298" s="41">
        <f t="shared" ref="E298:M298" si="119">E286+E292</f>
        <v>3704753.58</v>
      </c>
      <c r="F298" s="41">
        <f t="shared" si="119"/>
        <v>4105099.6900000004</v>
      </c>
      <c r="G298" s="41">
        <f t="shared" si="119"/>
        <v>0</v>
      </c>
      <c r="H298" s="41">
        <f t="shared" si="119"/>
        <v>0</v>
      </c>
      <c r="I298" s="41">
        <f t="shared" si="119"/>
        <v>0</v>
      </c>
      <c r="J298" s="41">
        <f t="shared" si="119"/>
        <v>0</v>
      </c>
      <c r="K298" s="41">
        <f t="shared" si="119"/>
        <v>4105099.6900000004</v>
      </c>
      <c r="L298" s="41">
        <f t="shared" si="119"/>
        <v>556490</v>
      </c>
      <c r="M298" s="41">
        <f t="shared" si="119"/>
        <v>0</v>
      </c>
      <c r="N298" s="43"/>
    </row>
    <row r="299" spans="1:16">
      <c r="A299" s="192"/>
      <c r="B299" s="213"/>
      <c r="C299" s="40" t="s">
        <v>18</v>
      </c>
      <c r="D299" s="41">
        <f>D289+D293</f>
        <v>348438.6</v>
      </c>
      <c r="E299" s="41">
        <f t="shared" ref="E299:M299" si="120">E289+E293</f>
        <v>3531436.9200000004</v>
      </c>
      <c r="F299" s="41">
        <f t="shared" si="120"/>
        <v>3879875.5200000005</v>
      </c>
      <c r="G299" s="41">
        <f t="shared" si="120"/>
        <v>0</v>
      </c>
      <c r="H299" s="41">
        <f t="shared" si="120"/>
        <v>0</v>
      </c>
      <c r="I299" s="41">
        <f t="shared" si="120"/>
        <v>0</v>
      </c>
      <c r="J299" s="41">
        <f t="shared" si="120"/>
        <v>0</v>
      </c>
      <c r="K299" s="41">
        <f t="shared" si="120"/>
        <v>3879875.5200000005</v>
      </c>
      <c r="L299" s="41">
        <f t="shared" si="120"/>
        <v>469040</v>
      </c>
      <c r="M299" s="41">
        <f t="shared" si="120"/>
        <v>0</v>
      </c>
      <c r="N299" s="43"/>
    </row>
    <row r="300" spans="1:16">
      <c r="A300" s="210"/>
      <c r="B300" s="214" t="s">
        <v>46</v>
      </c>
      <c r="C300" s="150" t="s">
        <v>16</v>
      </c>
      <c r="D300" s="151">
        <f>D256+D297</f>
        <v>460843.17</v>
      </c>
      <c r="E300" s="151">
        <f t="shared" ref="E300:L300" si="121">E256+E297</f>
        <v>7118048.1600000001</v>
      </c>
      <c r="F300" s="151">
        <f t="shared" si="121"/>
        <v>7578891.3300000001</v>
      </c>
      <c r="G300" s="151">
        <f t="shared" si="121"/>
        <v>0</v>
      </c>
      <c r="H300" s="151">
        <f t="shared" si="121"/>
        <v>0</v>
      </c>
      <c r="I300" s="151">
        <f t="shared" si="121"/>
        <v>0</v>
      </c>
      <c r="J300" s="151">
        <f t="shared" si="121"/>
        <v>0</v>
      </c>
      <c r="K300" s="151">
        <f t="shared" si="121"/>
        <v>7578891.3300000001</v>
      </c>
      <c r="L300" s="151">
        <f t="shared" si="121"/>
        <v>1016939</v>
      </c>
      <c r="M300" s="152"/>
      <c r="N300" s="153"/>
    </row>
    <row r="301" spans="1:16">
      <c r="A301" s="210"/>
      <c r="B301" s="214"/>
      <c r="C301" s="150" t="s">
        <v>17</v>
      </c>
      <c r="D301" s="151">
        <f t="shared" ref="D301:L301" si="122">D259+D298</f>
        <v>575499.63</v>
      </c>
      <c r="E301" s="151">
        <f t="shared" si="122"/>
        <v>7539013.2000000002</v>
      </c>
      <c r="F301" s="151">
        <f t="shared" si="122"/>
        <v>8114512.8300000001</v>
      </c>
      <c r="G301" s="151">
        <f t="shared" si="122"/>
        <v>0</v>
      </c>
      <c r="H301" s="151">
        <f t="shared" si="122"/>
        <v>0</v>
      </c>
      <c r="I301" s="151">
        <f t="shared" si="122"/>
        <v>0</v>
      </c>
      <c r="J301" s="151">
        <f t="shared" si="122"/>
        <v>0</v>
      </c>
      <c r="K301" s="151">
        <f t="shared" si="122"/>
        <v>8114512.8300000001</v>
      </c>
      <c r="L301" s="151">
        <f t="shared" si="122"/>
        <v>1104389</v>
      </c>
      <c r="M301" s="152"/>
      <c r="N301" s="153"/>
    </row>
    <row r="302" spans="1:16">
      <c r="A302" s="210"/>
      <c r="B302" s="214"/>
      <c r="C302" s="150" t="s">
        <v>56</v>
      </c>
      <c r="D302" s="151">
        <f>D298+D259</f>
        <v>575499.63</v>
      </c>
      <c r="E302" s="151">
        <f t="shared" ref="E302:K302" si="123">E259+E276+E295</f>
        <v>7539013.2000000002</v>
      </c>
      <c r="F302" s="151">
        <f t="shared" si="123"/>
        <v>8114512.8200000003</v>
      </c>
      <c r="G302" s="151">
        <f t="shared" si="123"/>
        <v>0</v>
      </c>
      <c r="H302" s="151">
        <f t="shared" si="123"/>
        <v>0</v>
      </c>
      <c r="I302" s="151">
        <f t="shared" si="123"/>
        <v>0</v>
      </c>
      <c r="J302" s="151">
        <f t="shared" si="123"/>
        <v>0</v>
      </c>
      <c r="K302" s="151">
        <f t="shared" si="123"/>
        <v>8114512.8200000003</v>
      </c>
      <c r="L302" s="151">
        <f>L298+L261</f>
        <v>1104389</v>
      </c>
      <c r="M302" s="152"/>
      <c r="N302" s="153"/>
    </row>
    <row r="303" spans="1:16">
      <c r="A303" s="210"/>
      <c r="B303" s="214"/>
      <c r="C303" s="154" t="s">
        <v>18</v>
      </c>
      <c r="D303" s="151">
        <f>D299+D278</f>
        <v>511858.06999999995</v>
      </c>
      <c r="E303" s="151">
        <f>E289+E261</f>
        <v>6487989.5100000007</v>
      </c>
      <c r="F303" s="151">
        <f t="shared" ref="F303:F312" si="124">D303+E303</f>
        <v>6999847.580000001</v>
      </c>
      <c r="G303" s="151">
        <f t="shared" ref="G303:L303" si="125">G299+G261</f>
        <v>0</v>
      </c>
      <c r="H303" s="151">
        <f t="shared" si="125"/>
        <v>0</v>
      </c>
      <c r="I303" s="151">
        <f t="shared" si="125"/>
        <v>0</v>
      </c>
      <c r="J303" s="151">
        <f t="shared" si="125"/>
        <v>0</v>
      </c>
      <c r="K303" s="151">
        <f t="shared" si="125"/>
        <v>7528338.040000001</v>
      </c>
      <c r="L303" s="151">
        <f t="shared" si="125"/>
        <v>1016939</v>
      </c>
      <c r="M303" s="155"/>
      <c r="N303" s="153"/>
      <c r="O303" s="18"/>
      <c r="P303" s="18"/>
    </row>
    <row r="304" spans="1:16">
      <c r="A304" s="190" t="s">
        <v>57</v>
      </c>
      <c r="B304" s="178" t="s">
        <v>15</v>
      </c>
      <c r="C304" s="123" t="s">
        <v>16</v>
      </c>
      <c r="D304" s="15">
        <v>0</v>
      </c>
      <c r="E304" s="15">
        <v>0</v>
      </c>
      <c r="F304" s="15">
        <f t="shared" si="124"/>
        <v>0</v>
      </c>
      <c r="G304" s="15">
        <f>100248.07-10664.27</f>
        <v>89583.8</v>
      </c>
      <c r="H304" s="15">
        <v>0</v>
      </c>
      <c r="I304" s="15">
        <v>0</v>
      </c>
      <c r="J304" s="15">
        <v>0</v>
      </c>
      <c r="K304" s="15">
        <f t="shared" ref="K304:K312" si="126">J304+I304+H304+G304+E304+D304</f>
        <v>89583.8</v>
      </c>
      <c r="L304" s="15">
        <v>0</v>
      </c>
      <c r="N304" s="24"/>
    </row>
    <row r="305" spans="1:14">
      <c r="A305" s="191"/>
      <c r="B305" s="178"/>
      <c r="C305" s="49" t="s">
        <v>17</v>
      </c>
      <c r="D305" s="22">
        <v>0</v>
      </c>
      <c r="E305" s="22">
        <v>0</v>
      </c>
      <c r="F305" s="22">
        <f t="shared" si="124"/>
        <v>0</v>
      </c>
      <c r="G305" s="22">
        <v>87931.85</v>
      </c>
      <c r="H305" s="22">
        <v>0</v>
      </c>
      <c r="I305" s="22">
        <v>0</v>
      </c>
      <c r="J305" s="22">
        <v>0</v>
      </c>
      <c r="K305" s="22">
        <f t="shared" si="126"/>
        <v>87931.85</v>
      </c>
      <c r="L305" s="22">
        <v>0</v>
      </c>
      <c r="N305" s="24"/>
    </row>
    <row r="306" spans="1:14">
      <c r="A306" s="191"/>
      <c r="B306" s="178"/>
      <c r="C306" s="83" t="s">
        <v>18</v>
      </c>
      <c r="D306" s="22">
        <v>0</v>
      </c>
      <c r="E306" s="22">
        <v>0</v>
      </c>
      <c r="F306" s="22">
        <f t="shared" si="124"/>
        <v>0</v>
      </c>
      <c r="G306" s="22">
        <v>87931.85</v>
      </c>
      <c r="H306" s="22">
        <v>0</v>
      </c>
      <c r="I306" s="22">
        <v>0</v>
      </c>
      <c r="J306" s="22">
        <v>0</v>
      </c>
      <c r="K306" s="22">
        <f t="shared" si="126"/>
        <v>87931.85</v>
      </c>
      <c r="L306" s="22">
        <v>0</v>
      </c>
      <c r="N306" s="24"/>
    </row>
    <row r="307" spans="1:14">
      <c r="A307" s="191"/>
      <c r="B307" s="179" t="s">
        <v>20</v>
      </c>
      <c r="C307" s="49" t="s">
        <v>16</v>
      </c>
      <c r="D307" s="22">
        <v>0</v>
      </c>
      <c r="E307" s="22">
        <v>0</v>
      </c>
      <c r="F307" s="22">
        <f t="shared" si="124"/>
        <v>0</v>
      </c>
      <c r="G307" s="22">
        <v>100248.07</v>
      </c>
      <c r="H307" s="22">
        <v>0</v>
      </c>
      <c r="I307" s="22">
        <v>0</v>
      </c>
      <c r="J307" s="22">
        <v>0</v>
      </c>
      <c r="K307" s="22">
        <f t="shared" si="126"/>
        <v>100248.07</v>
      </c>
      <c r="L307" s="22">
        <v>0</v>
      </c>
      <c r="N307" s="24"/>
    </row>
    <row r="308" spans="1:14">
      <c r="A308" s="191"/>
      <c r="B308" s="178"/>
      <c r="C308" s="49" t="s">
        <v>17</v>
      </c>
      <c r="D308" s="22">
        <v>0</v>
      </c>
      <c r="E308" s="22">
        <v>0</v>
      </c>
      <c r="F308" s="22">
        <f t="shared" si="124"/>
        <v>0</v>
      </c>
      <c r="G308" s="22">
        <v>96904.24</v>
      </c>
      <c r="H308" s="22">
        <v>0</v>
      </c>
      <c r="I308" s="22">
        <v>0</v>
      </c>
      <c r="J308" s="22">
        <v>0</v>
      </c>
      <c r="K308" s="22">
        <f t="shared" si="126"/>
        <v>96904.24</v>
      </c>
      <c r="L308" s="22">
        <v>0</v>
      </c>
      <c r="N308" s="24"/>
    </row>
    <row r="309" spans="1:14">
      <c r="A309" s="191"/>
      <c r="B309" s="178"/>
      <c r="C309" s="83" t="s">
        <v>18</v>
      </c>
      <c r="D309" s="22">
        <v>0</v>
      </c>
      <c r="E309" s="22">
        <v>0</v>
      </c>
      <c r="F309" s="22">
        <f t="shared" si="124"/>
        <v>0</v>
      </c>
      <c r="G309" s="22">
        <v>96904.24</v>
      </c>
      <c r="H309" s="22">
        <v>0</v>
      </c>
      <c r="I309" s="22">
        <v>0</v>
      </c>
      <c r="J309" s="22">
        <v>0</v>
      </c>
      <c r="K309" s="22">
        <f t="shared" si="126"/>
        <v>96904.24</v>
      </c>
      <c r="L309" s="22">
        <v>0</v>
      </c>
      <c r="N309" s="24"/>
    </row>
    <row r="310" spans="1:14">
      <c r="A310" s="191"/>
      <c r="B310" s="179" t="s">
        <v>22</v>
      </c>
      <c r="C310" s="49" t="s">
        <v>16</v>
      </c>
      <c r="D310" s="22">
        <v>0</v>
      </c>
      <c r="E310" s="22">
        <v>0</v>
      </c>
      <c r="F310" s="22">
        <f t="shared" si="124"/>
        <v>0</v>
      </c>
      <c r="G310" s="15">
        <v>100248.07</v>
      </c>
      <c r="H310" s="22">
        <v>0</v>
      </c>
      <c r="I310" s="22">
        <v>0</v>
      </c>
      <c r="J310" s="22">
        <v>0</v>
      </c>
      <c r="K310" s="22">
        <f t="shared" si="126"/>
        <v>100248.07</v>
      </c>
      <c r="L310" s="22">
        <v>0</v>
      </c>
      <c r="N310" s="24"/>
    </row>
    <row r="311" spans="1:14">
      <c r="A311" s="191"/>
      <c r="B311" s="178"/>
      <c r="C311" s="49" t="s">
        <v>17</v>
      </c>
      <c r="D311" s="22">
        <v>0</v>
      </c>
      <c r="E311" s="22">
        <v>0</v>
      </c>
      <c r="F311" s="22">
        <f t="shared" si="124"/>
        <v>0</v>
      </c>
      <c r="G311" s="22">
        <v>103984.63</v>
      </c>
      <c r="H311" s="22">
        <v>0</v>
      </c>
      <c r="I311" s="22">
        <v>0</v>
      </c>
      <c r="J311" s="22">
        <v>0</v>
      </c>
      <c r="K311" s="22">
        <f t="shared" si="126"/>
        <v>103984.63</v>
      </c>
      <c r="L311" s="22">
        <v>0</v>
      </c>
      <c r="N311" s="24"/>
    </row>
    <row r="312" spans="1:14">
      <c r="A312" s="191"/>
      <c r="B312" s="178"/>
      <c r="C312" s="83" t="s">
        <v>18</v>
      </c>
      <c r="D312" s="22">
        <v>0</v>
      </c>
      <c r="E312" s="22">
        <v>0</v>
      </c>
      <c r="F312" s="22">
        <f t="shared" si="124"/>
        <v>0</v>
      </c>
      <c r="G312" s="22">
        <v>99990.83</v>
      </c>
      <c r="H312" s="22">
        <v>0</v>
      </c>
      <c r="I312" s="22">
        <v>0</v>
      </c>
      <c r="J312" s="22">
        <v>0</v>
      </c>
      <c r="K312" s="22">
        <f t="shared" si="126"/>
        <v>99990.83</v>
      </c>
      <c r="L312" s="22">
        <v>0</v>
      </c>
      <c r="N312" s="24"/>
    </row>
    <row r="313" spans="1:14">
      <c r="A313" s="191"/>
      <c r="B313" s="178"/>
      <c r="C313" s="49" t="s">
        <v>21</v>
      </c>
      <c r="D313" s="22">
        <f>D310-D312</f>
        <v>0</v>
      </c>
      <c r="E313" s="22">
        <f t="shared" ref="E313:J313" si="127">E310-E312</f>
        <v>0</v>
      </c>
      <c r="F313" s="22">
        <f t="shared" si="127"/>
        <v>0</v>
      </c>
      <c r="G313" s="22">
        <f t="shared" si="127"/>
        <v>257.24000000000524</v>
      </c>
      <c r="H313" s="22">
        <f t="shared" si="127"/>
        <v>0</v>
      </c>
      <c r="I313" s="22">
        <f t="shared" si="127"/>
        <v>0</v>
      </c>
      <c r="J313" s="22">
        <f t="shared" si="127"/>
        <v>0</v>
      </c>
      <c r="K313" s="22">
        <f>K310-K312</f>
        <v>257.24000000000524</v>
      </c>
      <c r="L313" s="22">
        <f>L310-L312</f>
        <v>0</v>
      </c>
      <c r="N313" s="24"/>
    </row>
    <row r="314" spans="1:14">
      <c r="A314" s="191"/>
      <c r="B314" s="184" t="s">
        <v>23</v>
      </c>
      <c r="C314" s="50" t="s">
        <v>16</v>
      </c>
      <c r="D314" s="51">
        <f t="shared" ref="D314:L314" si="128">D310+D307+D304</f>
        <v>0</v>
      </c>
      <c r="E314" s="51">
        <f t="shared" si="128"/>
        <v>0</v>
      </c>
      <c r="F314" s="51">
        <f t="shared" si="128"/>
        <v>0</v>
      </c>
      <c r="G314" s="51">
        <f t="shared" si="128"/>
        <v>290079.94</v>
      </c>
      <c r="H314" s="51">
        <f t="shared" si="128"/>
        <v>0</v>
      </c>
      <c r="I314" s="51">
        <f t="shared" si="128"/>
        <v>0</v>
      </c>
      <c r="J314" s="51">
        <f t="shared" si="128"/>
        <v>0</v>
      </c>
      <c r="K314" s="51">
        <f t="shared" si="128"/>
        <v>290079.94</v>
      </c>
      <c r="L314" s="51">
        <f t="shared" si="128"/>
        <v>0</v>
      </c>
      <c r="M314" s="52"/>
      <c r="N314" s="53"/>
    </row>
    <row r="315" spans="1:14">
      <c r="A315" s="191"/>
      <c r="B315" s="184"/>
      <c r="C315" s="49" t="s">
        <v>17</v>
      </c>
      <c r="D315" s="22">
        <f t="shared" ref="D315:L315" si="129">D311+D308+D305</f>
        <v>0</v>
      </c>
      <c r="E315" s="22">
        <f t="shared" si="129"/>
        <v>0</v>
      </c>
      <c r="F315" s="22">
        <f t="shared" si="129"/>
        <v>0</v>
      </c>
      <c r="G315" s="22">
        <f t="shared" si="129"/>
        <v>288820.71999999997</v>
      </c>
      <c r="H315" s="22">
        <f t="shared" si="129"/>
        <v>0</v>
      </c>
      <c r="I315" s="22">
        <f t="shared" si="129"/>
        <v>0</v>
      </c>
      <c r="J315" s="22">
        <f t="shared" si="129"/>
        <v>0</v>
      </c>
      <c r="K315" s="22">
        <f t="shared" si="129"/>
        <v>288820.71999999997</v>
      </c>
      <c r="L315" s="22">
        <f t="shared" si="129"/>
        <v>0</v>
      </c>
      <c r="N315" s="24"/>
    </row>
    <row r="316" spans="1:14">
      <c r="A316" s="191"/>
      <c r="B316" s="184"/>
      <c r="C316" s="83" t="s">
        <v>18</v>
      </c>
      <c r="D316" s="22">
        <f t="shared" ref="D316:L316" si="130">D312+D309+D306</f>
        <v>0</v>
      </c>
      <c r="E316" s="22">
        <f t="shared" si="130"/>
        <v>0</v>
      </c>
      <c r="F316" s="22">
        <f t="shared" si="130"/>
        <v>0</v>
      </c>
      <c r="G316" s="22">
        <f t="shared" si="130"/>
        <v>284826.92000000004</v>
      </c>
      <c r="H316" s="22">
        <f t="shared" si="130"/>
        <v>0</v>
      </c>
      <c r="I316" s="22">
        <f t="shared" si="130"/>
        <v>0</v>
      </c>
      <c r="J316" s="22">
        <f t="shared" si="130"/>
        <v>0</v>
      </c>
      <c r="K316" s="22">
        <f t="shared" si="130"/>
        <v>284826.92000000004</v>
      </c>
      <c r="L316" s="22">
        <f t="shared" si="130"/>
        <v>0</v>
      </c>
      <c r="N316" s="24"/>
    </row>
    <row r="317" spans="1:14">
      <c r="A317" s="191"/>
      <c r="B317" s="184"/>
      <c r="C317" s="145" t="s">
        <v>56</v>
      </c>
      <c r="D317" s="51">
        <v>0</v>
      </c>
      <c r="E317" s="51">
        <v>0</v>
      </c>
      <c r="F317" s="51">
        <v>0</v>
      </c>
      <c r="G317" s="51">
        <v>290079.94</v>
      </c>
      <c r="H317" s="51">
        <v>0</v>
      </c>
      <c r="I317" s="51"/>
      <c r="J317" s="51"/>
      <c r="K317" s="51">
        <f>G317</f>
        <v>290079.94</v>
      </c>
      <c r="L317" s="51">
        <v>0</v>
      </c>
      <c r="M317" s="52"/>
      <c r="N317" s="53"/>
    </row>
    <row r="318" spans="1:14">
      <c r="A318" s="191"/>
      <c r="B318" s="184"/>
      <c r="C318" s="145" t="s">
        <v>48</v>
      </c>
      <c r="D318" s="51">
        <v>0</v>
      </c>
      <c r="E318" s="51">
        <v>0</v>
      </c>
      <c r="F318" s="51">
        <v>0</v>
      </c>
      <c r="G318" s="51">
        <v>5253.02</v>
      </c>
      <c r="H318" s="51">
        <v>0</v>
      </c>
      <c r="I318" s="51"/>
      <c r="J318" s="51"/>
      <c r="K318" s="51">
        <f>G318</f>
        <v>5253.02</v>
      </c>
      <c r="L318" s="51">
        <v>0</v>
      </c>
      <c r="M318" s="52"/>
      <c r="N318" s="53"/>
    </row>
    <row r="319" spans="1:14">
      <c r="A319" s="191"/>
      <c r="B319" s="184"/>
      <c r="C319" s="145" t="s">
        <v>26</v>
      </c>
      <c r="D319" s="51">
        <v>0</v>
      </c>
      <c r="E319" s="51">
        <v>0</v>
      </c>
      <c r="F319" s="51">
        <v>0</v>
      </c>
      <c r="G319" s="51">
        <f>G316+G318</f>
        <v>290079.94000000006</v>
      </c>
      <c r="H319" s="51">
        <v>0</v>
      </c>
      <c r="I319" s="51"/>
      <c r="J319" s="51"/>
      <c r="K319" s="51">
        <f>G319</f>
        <v>290079.94000000006</v>
      </c>
      <c r="L319" s="51">
        <v>0</v>
      </c>
      <c r="M319" s="52"/>
      <c r="N319" s="53"/>
    </row>
    <row r="320" spans="1:14">
      <c r="A320" s="192"/>
      <c r="B320" s="182" t="s">
        <v>28</v>
      </c>
      <c r="C320" s="49" t="s">
        <v>16</v>
      </c>
      <c r="D320" s="22">
        <v>0</v>
      </c>
      <c r="E320" s="22">
        <v>0</v>
      </c>
      <c r="F320" s="22">
        <f t="shared" ref="F320:F325" si="131">D320+E320</f>
        <v>0</v>
      </c>
      <c r="G320" s="15">
        <f>100248.07-42993.86</f>
        <v>57254.210000000006</v>
      </c>
      <c r="H320" s="22">
        <v>0</v>
      </c>
      <c r="I320" s="22">
        <v>0</v>
      </c>
      <c r="J320" s="22">
        <v>0</v>
      </c>
      <c r="K320" s="22">
        <f t="shared" ref="K320:K334" si="132">J320+I320+H320+G320+E320+D320</f>
        <v>57254.210000000006</v>
      </c>
      <c r="L320" s="22">
        <v>0</v>
      </c>
      <c r="N320" s="24"/>
    </row>
    <row r="321" spans="1:14">
      <c r="A321" s="192"/>
      <c r="B321" s="183"/>
      <c r="C321" s="49" t="s">
        <v>17</v>
      </c>
      <c r="D321" s="22">
        <v>0</v>
      </c>
      <c r="E321" s="22">
        <v>0</v>
      </c>
      <c r="F321" s="22">
        <f t="shared" si="131"/>
        <v>0</v>
      </c>
      <c r="G321" s="22">
        <v>57254.21</v>
      </c>
      <c r="H321" s="22">
        <v>0</v>
      </c>
      <c r="I321" s="22">
        <v>0</v>
      </c>
      <c r="J321" s="22">
        <v>0</v>
      </c>
      <c r="K321" s="22">
        <f t="shared" si="132"/>
        <v>57254.21</v>
      </c>
      <c r="L321" s="22">
        <v>0</v>
      </c>
      <c r="N321" s="24"/>
    </row>
    <row r="322" spans="1:14">
      <c r="A322" s="192"/>
      <c r="B322" s="183"/>
      <c r="C322" s="83" t="s">
        <v>18</v>
      </c>
      <c r="D322" s="22">
        <v>0</v>
      </c>
      <c r="E322" s="22">
        <v>0</v>
      </c>
      <c r="F322" s="22">
        <f t="shared" si="131"/>
        <v>0</v>
      </c>
      <c r="G322" s="22">
        <v>57254.21</v>
      </c>
      <c r="H322" s="22">
        <v>0</v>
      </c>
      <c r="I322" s="22">
        <v>0</v>
      </c>
      <c r="J322" s="22">
        <v>0</v>
      </c>
      <c r="K322" s="22">
        <f t="shared" si="132"/>
        <v>57254.21</v>
      </c>
      <c r="L322" s="22">
        <v>0</v>
      </c>
      <c r="N322" s="24"/>
    </row>
    <row r="323" spans="1:14">
      <c r="A323" s="192"/>
      <c r="B323" s="182" t="s">
        <v>29</v>
      </c>
      <c r="C323" s="49" t="s">
        <v>16</v>
      </c>
      <c r="D323" s="22">
        <v>0</v>
      </c>
      <c r="E323" s="22">
        <v>0</v>
      </c>
      <c r="F323" s="22">
        <f t="shared" si="131"/>
        <v>0</v>
      </c>
      <c r="G323" s="15">
        <f>100248.07</f>
        <v>100248.07</v>
      </c>
      <c r="H323" s="22">
        <v>0</v>
      </c>
      <c r="I323" s="22">
        <v>0</v>
      </c>
      <c r="J323" s="22">
        <v>0</v>
      </c>
      <c r="K323" s="22">
        <f t="shared" si="132"/>
        <v>100248.07</v>
      </c>
      <c r="L323" s="22">
        <v>0</v>
      </c>
      <c r="N323" s="24"/>
    </row>
    <row r="324" spans="1:14">
      <c r="A324" s="192"/>
      <c r="B324" s="183"/>
      <c r="C324" s="49" t="s">
        <v>17</v>
      </c>
      <c r="D324" s="22">
        <v>0</v>
      </c>
      <c r="E324" s="22">
        <v>0</v>
      </c>
      <c r="F324" s="22">
        <f t="shared" si="131"/>
        <v>0</v>
      </c>
      <c r="G324" s="84">
        <v>99271.26</v>
      </c>
      <c r="H324" s="22">
        <v>0</v>
      </c>
      <c r="I324" s="22">
        <v>0</v>
      </c>
      <c r="J324" s="22">
        <v>0</v>
      </c>
      <c r="K324" s="22">
        <f t="shared" si="132"/>
        <v>99271.26</v>
      </c>
      <c r="L324" s="22">
        <v>0</v>
      </c>
      <c r="N324" s="24"/>
    </row>
    <row r="325" spans="1:14">
      <c r="A325" s="192"/>
      <c r="B325" s="183"/>
      <c r="C325" s="83" t="s">
        <v>18</v>
      </c>
      <c r="D325" s="22">
        <v>0</v>
      </c>
      <c r="E325" s="22">
        <v>0</v>
      </c>
      <c r="F325" s="22">
        <f t="shared" si="131"/>
        <v>0</v>
      </c>
      <c r="G325" s="22">
        <v>99271.26</v>
      </c>
      <c r="H325" s="22">
        <v>0</v>
      </c>
      <c r="I325" s="22">
        <v>0</v>
      </c>
      <c r="J325" s="22">
        <v>0</v>
      </c>
      <c r="K325" s="22">
        <f t="shared" si="132"/>
        <v>99271.26</v>
      </c>
      <c r="L325" s="22">
        <v>0</v>
      </c>
      <c r="N325" s="24"/>
    </row>
    <row r="326" spans="1:14">
      <c r="A326" s="192"/>
      <c r="B326" s="179" t="s">
        <v>30</v>
      </c>
      <c r="C326" s="49" t="s">
        <v>16</v>
      </c>
      <c r="D326" s="22">
        <v>0</v>
      </c>
      <c r="E326" s="22">
        <v>0</v>
      </c>
      <c r="F326" s="22">
        <f>SUM(D326:E326)</f>
        <v>0</v>
      </c>
      <c r="G326" s="15">
        <f>100248.07-5683.15</f>
        <v>94564.920000000013</v>
      </c>
      <c r="H326" s="22">
        <v>0</v>
      </c>
      <c r="I326" s="22">
        <v>0</v>
      </c>
      <c r="J326" s="22">
        <v>0</v>
      </c>
      <c r="K326" s="22">
        <f t="shared" si="132"/>
        <v>94564.920000000013</v>
      </c>
      <c r="L326" s="22">
        <v>0</v>
      </c>
      <c r="N326" s="24"/>
    </row>
    <row r="327" spans="1:14">
      <c r="A327" s="192"/>
      <c r="B327" s="178"/>
      <c r="C327" s="49" t="s">
        <v>17</v>
      </c>
      <c r="D327" s="22">
        <v>0</v>
      </c>
      <c r="E327" s="22">
        <v>0</v>
      </c>
      <c r="F327" s="22">
        <f>SUM(D327:E327)</f>
        <v>0</v>
      </c>
      <c r="G327" s="22">
        <f>95965.26</f>
        <v>95965.26</v>
      </c>
      <c r="H327" s="22">
        <v>0</v>
      </c>
      <c r="I327" s="22">
        <v>0</v>
      </c>
      <c r="J327" s="22">
        <v>0</v>
      </c>
      <c r="K327" s="22">
        <f t="shared" si="132"/>
        <v>95965.26</v>
      </c>
      <c r="L327" s="22">
        <v>0</v>
      </c>
      <c r="N327" s="24"/>
    </row>
    <row r="328" spans="1:14">
      <c r="A328" s="192"/>
      <c r="B328" s="178"/>
      <c r="C328" s="83" t="s">
        <v>18</v>
      </c>
      <c r="D328" s="22">
        <v>0</v>
      </c>
      <c r="E328" s="22">
        <v>0</v>
      </c>
      <c r="F328" s="22">
        <f>SUM(D328:E328)</f>
        <v>0</v>
      </c>
      <c r="G328" s="22">
        <v>95965.26</v>
      </c>
      <c r="H328" s="22">
        <v>0</v>
      </c>
      <c r="I328" s="22">
        <v>0</v>
      </c>
      <c r="J328" s="22">
        <v>0</v>
      </c>
      <c r="K328" s="22">
        <f t="shared" si="132"/>
        <v>95965.26</v>
      </c>
      <c r="L328" s="22">
        <v>0</v>
      </c>
      <c r="N328" s="24"/>
    </row>
    <row r="329" spans="1:14">
      <c r="A329" s="192"/>
      <c r="B329" s="184" t="s">
        <v>31</v>
      </c>
      <c r="C329" s="49" t="s">
        <v>16</v>
      </c>
      <c r="D329" s="22">
        <f t="shared" ref="D329:J329" si="133">D326+D323+D320</f>
        <v>0</v>
      </c>
      <c r="E329" s="22">
        <f t="shared" si="133"/>
        <v>0</v>
      </c>
      <c r="F329" s="22">
        <f t="shared" si="133"/>
        <v>0</v>
      </c>
      <c r="G329" s="22">
        <f t="shared" si="133"/>
        <v>252067.20000000001</v>
      </c>
      <c r="H329" s="22">
        <f t="shared" si="133"/>
        <v>0</v>
      </c>
      <c r="I329" s="22">
        <f t="shared" si="133"/>
        <v>0</v>
      </c>
      <c r="J329" s="22">
        <f t="shared" si="133"/>
        <v>0</v>
      </c>
      <c r="K329" s="22">
        <f t="shared" si="132"/>
        <v>252067.20000000001</v>
      </c>
      <c r="L329" s="22">
        <f>L326+L323+L320</f>
        <v>0</v>
      </c>
      <c r="N329" s="24"/>
    </row>
    <row r="330" spans="1:14">
      <c r="A330" s="192"/>
      <c r="B330" s="184"/>
      <c r="C330" s="49" t="s">
        <v>17</v>
      </c>
      <c r="D330" s="22">
        <f>D327+D324+D321</f>
        <v>0</v>
      </c>
      <c r="E330" s="22">
        <f>E327+E324+E321</f>
        <v>0</v>
      </c>
      <c r="F330" s="22">
        <f>D330+E330</f>
        <v>0</v>
      </c>
      <c r="G330" s="22">
        <f>G327+G324+G321</f>
        <v>252490.72999999998</v>
      </c>
      <c r="H330" s="22">
        <v>0</v>
      </c>
      <c r="I330" s="22">
        <f>I327+I324+I321</f>
        <v>0</v>
      </c>
      <c r="J330" s="22">
        <f>J327+J324+J321</f>
        <v>0</v>
      </c>
      <c r="K330" s="22">
        <f t="shared" si="132"/>
        <v>252490.72999999998</v>
      </c>
      <c r="L330" s="22">
        <f>L327+L324+L321</f>
        <v>0</v>
      </c>
      <c r="N330" s="24"/>
    </row>
    <row r="331" spans="1:14">
      <c r="A331" s="192"/>
      <c r="B331" s="184"/>
      <c r="C331" s="83" t="s">
        <v>18</v>
      </c>
      <c r="D331" s="22">
        <f>D328+D325+D322</f>
        <v>0</v>
      </c>
      <c r="E331" s="22">
        <f>E328+E325+E322</f>
        <v>0</v>
      </c>
      <c r="F331" s="22">
        <f>D331+E331</f>
        <v>0</v>
      </c>
      <c r="G331" s="22">
        <f>G328+G325+G322</f>
        <v>252490.72999999998</v>
      </c>
      <c r="H331" s="22">
        <f>H328+H325+H322</f>
        <v>0</v>
      </c>
      <c r="I331" s="22">
        <f>I328+I325+I322</f>
        <v>0</v>
      </c>
      <c r="J331" s="22">
        <f>J328+J325+J322</f>
        <v>0</v>
      </c>
      <c r="K331" s="22">
        <f t="shared" si="132"/>
        <v>252490.72999999998</v>
      </c>
      <c r="L331" s="22">
        <f>L328+L325+L322</f>
        <v>0</v>
      </c>
      <c r="N331" s="24"/>
    </row>
    <row r="332" spans="1:14">
      <c r="A332" s="192"/>
      <c r="B332" s="180" t="s">
        <v>32</v>
      </c>
      <c r="C332" s="50" t="s">
        <v>16</v>
      </c>
      <c r="D332" s="51">
        <f t="shared" ref="D332:E334" si="134">D314+D329</f>
        <v>0</v>
      </c>
      <c r="E332" s="51">
        <f t="shared" si="134"/>
        <v>0</v>
      </c>
      <c r="F332" s="51">
        <f>D332+E332</f>
        <v>0</v>
      </c>
      <c r="G332" s="51">
        <f>G314+G329</f>
        <v>542147.14</v>
      </c>
      <c r="H332" s="51">
        <f>H314+H329</f>
        <v>0</v>
      </c>
      <c r="I332" s="51">
        <f>I314+I329</f>
        <v>0</v>
      </c>
      <c r="J332" s="51">
        <f>J314+J329</f>
        <v>0</v>
      </c>
      <c r="K332" s="51">
        <f t="shared" si="132"/>
        <v>542147.14</v>
      </c>
      <c r="L332" s="51">
        <f>L314+L329</f>
        <v>0</v>
      </c>
      <c r="M332" s="52"/>
      <c r="N332" s="53"/>
    </row>
    <row r="333" spans="1:14">
      <c r="A333" s="192"/>
      <c r="B333" s="181"/>
      <c r="C333" s="20" t="s">
        <v>17</v>
      </c>
      <c r="D333" s="21">
        <f t="shared" si="134"/>
        <v>0</v>
      </c>
      <c r="E333" s="21">
        <f t="shared" si="134"/>
        <v>0</v>
      </c>
      <c r="F333" s="21">
        <f>D333+E333</f>
        <v>0</v>
      </c>
      <c r="G333" s="21">
        <f>G317+G330</f>
        <v>542570.66999999993</v>
      </c>
      <c r="H333" s="21">
        <f t="shared" ref="H333:J334" si="135">H330+H315</f>
        <v>0</v>
      </c>
      <c r="I333" s="21">
        <f t="shared" si="135"/>
        <v>0</v>
      </c>
      <c r="J333" s="21">
        <f t="shared" si="135"/>
        <v>0</v>
      </c>
      <c r="K333" s="21">
        <f t="shared" si="132"/>
        <v>542570.66999999993</v>
      </c>
      <c r="L333" s="23">
        <f>L330+L315</f>
        <v>0</v>
      </c>
      <c r="N333" s="24"/>
    </row>
    <row r="334" spans="1:14">
      <c r="A334" s="192"/>
      <c r="B334" s="181"/>
      <c r="C334" s="31" t="s">
        <v>18</v>
      </c>
      <c r="D334" s="21">
        <f t="shared" si="134"/>
        <v>0</v>
      </c>
      <c r="E334" s="21">
        <f t="shared" si="134"/>
        <v>0</v>
      </c>
      <c r="F334" s="21">
        <f>D334+E334</f>
        <v>0</v>
      </c>
      <c r="G334" s="33">
        <f>G319+G331</f>
        <v>542570.67000000004</v>
      </c>
      <c r="H334" s="33">
        <f t="shared" si="135"/>
        <v>0</v>
      </c>
      <c r="I334" s="33">
        <f t="shared" si="135"/>
        <v>0</v>
      </c>
      <c r="J334" s="33">
        <f t="shared" si="135"/>
        <v>0</v>
      </c>
      <c r="K334" s="21">
        <f t="shared" si="132"/>
        <v>542570.67000000004</v>
      </c>
      <c r="L334" s="34">
        <f>L331+L316</f>
        <v>0</v>
      </c>
      <c r="N334" s="24"/>
    </row>
    <row r="335" spans="1:14">
      <c r="A335" s="192"/>
      <c r="B335" s="178"/>
      <c r="C335" s="145" t="s">
        <v>56</v>
      </c>
      <c r="D335" s="51"/>
      <c r="E335" s="51"/>
      <c r="F335" s="51"/>
      <c r="G335" s="51">
        <v>542147.14</v>
      </c>
      <c r="H335" s="51"/>
      <c r="I335" s="51"/>
      <c r="J335" s="51"/>
      <c r="K335" s="51">
        <f>G335</f>
        <v>542147.14</v>
      </c>
      <c r="L335" s="51"/>
      <c r="M335" s="52"/>
      <c r="N335" s="53"/>
    </row>
    <row r="336" spans="1:14">
      <c r="A336" s="192"/>
      <c r="B336" s="178"/>
      <c r="C336" s="145" t="s">
        <v>48</v>
      </c>
      <c r="D336" s="51"/>
      <c r="E336" s="51"/>
      <c r="F336" s="51"/>
      <c r="G336" s="51">
        <v>-423.53</v>
      </c>
      <c r="H336" s="51"/>
      <c r="I336" s="51"/>
      <c r="J336" s="51"/>
      <c r="K336" s="51">
        <f>G336</f>
        <v>-423.53</v>
      </c>
      <c r="L336" s="51"/>
      <c r="M336" s="52"/>
      <c r="N336" s="53"/>
    </row>
    <row r="337" spans="1:14">
      <c r="A337" s="192"/>
      <c r="B337" s="178"/>
      <c r="C337" s="145" t="s">
        <v>26</v>
      </c>
      <c r="D337" s="51"/>
      <c r="E337" s="51"/>
      <c r="F337" s="51"/>
      <c r="G337" s="51">
        <f>G336+G334</f>
        <v>542147.14</v>
      </c>
      <c r="H337" s="51"/>
      <c r="I337" s="51"/>
      <c r="J337" s="51"/>
      <c r="K337" s="51">
        <f>G337</f>
        <v>542147.14</v>
      </c>
      <c r="L337" s="51"/>
      <c r="M337" s="52"/>
      <c r="N337" s="53"/>
    </row>
    <row r="338" spans="1:14">
      <c r="A338" s="192"/>
      <c r="B338" s="171" t="s">
        <v>33</v>
      </c>
      <c r="C338" s="20" t="s">
        <v>16</v>
      </c>
      <c r="D338" s="21">
        <v>0</v>
      </c>
      <c r="E338" s="21">
        <v>0</v>
      </c>
      <c r="F338" s="21">
        <f t="shared" ref="F338:F346" si="136">SUM(D338:E338)</f>
        <v>0</v>
      </c>
      <c r="G338" s="21">
        <f>109533-16463</f>
        <v>93070</v>
      </c>
      <c r="H338" s="49">
        <v>0</v>
      </c>
      <c r="I338" s="49">
        <v>0</v>
      </c>
      <c r="J338" s="49">
        <v>0</v>
      </c>
      <c r="K338" s="21">
        <f>D338+E338+G338+H338+I338+J338</f>
        <v>93070</v>
      </c>
      <c r="L338" s="23">
        <v>0</v>
      </c>
      <c r="N338" s="24"/>
    </row>
    <row r="339" spans="1:14">
      <c r="A339" s="192"/>
      <c r="B339" s="172"/>
      <c r="C339" s="20" t="s">
        <v>17</v>
      </c>
      <c r="D339" s="21">
        <v>0</v>
      </c>
      <c r="E339" s="21">
        <v>0</v>
      </c>
      <c r="F339" s="21">
        <f t="shared" si="136"/>
        <v>0</v>
      </c>
      <c r="G339" s="21">
        <v>93070</v>
      </c>
      <c r="H339" s="49">
        <v>0</v>
      </c>
      <c r="I339" s="49">
        <v>0</v>
      </c>
      <c r="J339" s="49">
        <v>0</v>
      </c>
      <c r="K339" s="21">
        <f>D339+E339+G339+H339+I339+J339</f>
        <v>93070</v>
      </c>
      <c r="L339" s="23">
        <v>0</v>
      </c>
      <c r="N339" s="24"/>
    </row>
    <row r="340" spans="1:14">
      <c r="A340" s="192"/>
      <c r="B340" s="172"/>
      <c r="C340" s="20" t="s">
        <v>18</v>
      </c>
      <c r="D340" s="21">
        <v>0</v>
      </c>
      <c r="E340" s="21">
        <f>E322+E334</f>
        <v>0</v>
      </c>
      <c r="F340" s="21">
        <f t="shared" si="136"/>
        <v>0</v>
      </c>
      <c r="G340" s="21">
        <v>93070</v>
      </c>
      <c r="H340" s="49">
        <v>0</v>
      </c>
      <c r="I340" s="49">
        <v>0</v>
      </c>
      <c r="J340" s="49">
        <v>0</v>
      </c>
      <c r="K340" s="21">
        <f>D340+E340+G340+H340+I340+J340</f>
        <v>93070</v>
      </c>
      <c r="L340" s="23">
        <v>0</v>
      </c>
      <c r="N340" s="24"/>
    </row>
    <row r="341" spans="1:14">
      <c r="A341" s="192"/>
      <c r="B341" s="171" t="s">
        <v>34</v>
      </c>
      <c r="C341" s="20" t="s">
        <v>16</v>
      </c>
      <c r="D341" s="21">
        <v>0</v>
      </c>
      <c r="E341" s="21">
        <f>E325+E340</f>
        <v>0</v>
      </c>
      <c r="F341" s="21">
        <f t="shared" si="136"/>
        <v>0</v>
      </c>
      <c r="G341" s="21">
        <f>109533-21094</f>
        <v>88439</v>
      </c>
      <c r="H341" s="49">
        <v>0</v>
      </c>
      <c r="I341" s="49">
        <v>0</v>
      </c>
      <c r="J341" s="49">
        <v>0</v>
      </c>
      <c r="K341" s="21">
        <f t="shared" ref="K341:K346" si="137">J341+I341+H341+G341+E341+D341</f>
        <v>88439</v>
      </c>
      <c r="L341" s="23">
        <v>0</v>
      </c>
      <c r="N341" s="24"/>
    </row>
    <row r="342" spans="1:14">
      <c r="A342" s="192"/>
      <c r="B342" s="172"/>
      <c r="C342" s="20" t="s">
        <v>17</v>
      </c>
      <c r="D342" s="21">
        <v>0</v>
      </c>
      <c r="E342" s="21">
        <v>0</v>
      </c>
      <c r="F342" s="21">
        <f t="shared" si="136"/>
        <v>0</v>
      </c>
      <c r="G342" s="21">
        <v>88439</v>
      </c>
      <c r="H342" s="49">
        <v>0</v>
      </c>
      <c r="I342" s="49">
        <v>0</v>
      </c>
      <c r="J342" s="49">
        <v>0</v>
      </c>
      <c r="K342" s="21">
        <f t="shared" si="137"/>
        <v>88439</v>
      </c>
      <c r="L342" s="23">
        <v>0</v>
      </c>
      <c r="N342" s="24"/>
    </row>
    <row r="343" spans="1:14">
      <c r="A343" s="192"/>
      <c r="B343" s="172"/>
      <c r="C343" s="20" t="s">
        <v>18</v>
      </c>
      <c r="D343" s="21">
        <v>0</v>
      </c>
      <c r="E343" s="21">
        <v>0</v>
      </c>
      <c r="F343" s="21">
        <f t="shared" si="136"/>
        <v>0</v>
      </c>
      <c r="G343" s="21">
        <v>88439</v>
      </c>
      <c r="H343" s="49">
        <v>0</v>
      </c>
      <c r="I343" s="49">
        <v>0</v>
      </c>
      <c r="J343" s="49">
        <v>0</v>
      </c>
      <c r="K343" s="21">
        <f t="shared" si="137"/>
        <v>88439</v>
      </c>
      <c r="L343" s="23">
        <v>0</v>
      </c>
      <c r="N343" s="24"/>
    </row>
    <row r="344" spans="1:14">
      <c r="A344" s="192"/>
      <c r="B344" s="171" t="s">
        <v>35</v>
      </c>
      <c r="C344" s="20" t="s">
        <v>16</v>
      </c>
      <c r="D344" s="21">
        <v>0</v>
      </c>
      <c r="E344" s="21">
        <f>E329+E343</f>
        <v>0</v>
      </c>
      <c r="F344" s="21">
        <f t="shared" si="136"/>
        <v>0</v>
      </c>
      <c r="G344" s="21">
        <f>109533-14147</f>
        <v>95386</v>
      </c>
      <c r="H344" s="49">
        <v>0</v>
      </c>
      <c r="I344" s="49">
        <v>0</v>
      </c>
      <c r="J344" s="49">
        <v>0</v>
      </c>
      <c r="K344" s="21">
        <f t="shared" si="137"/>
        <v>95386</v>
      </c>
      <c r="L344" s="23">
        <v>0</v>
      </c>
      <c r="N344" s="24"/>
    </row>
    <row r="345" spans="1:14">
      <c r="A345" s="192"/>
      <c r="B345" s="172"/>
      <c r="C345" s="20" t="s">
        <v>17</v>
      </c>
      <c r="D345" s="21">
        <v>0</v>
      </c>
      <c r="E345" s="21">
        <v>0</v>
      </c>
      <c r="F345" s="21">
        <f t="shared" si="136"/>
        <v>0</v>
      </c>
      <c r="G345" s="21">
        <v>91834</v>
      </c>
      <c r="H345" s="49">
        <v>0</v>
      </c>
      <c r="I345" s="49">
        <v>0</v>
      </c>
      <c r="J345" s="49">
        <v>0</v>
      </c>
      <c r="K345" s="21">
        <f t="shared" si="137"/>
        <v>91834</v>
      </c>
      <c r="L345" s="23">
        <v>0</v>
      </c>
      <c r="N345" s="24"/>
    </row>
    <row r="346" spans="1:14">
      <c r="A346" s="192"/>
      <c r="B346" s="172"/>
      <c r="C346" s="20" t="s">
        <v>18</v>
      </c>
      <c r="D346" s="21">
        <v>0</v>
      </c>
      <c r="E346" s="21">
        <v>0</v>
      </c>
      <c r="F346" s="21">
        <f t="shared" si="136"/>
        <v>0</v>
      </c>
      <c r="G346" s="21">
        <v>91834</v>
      </c>
      <c r="H346" s="49">
        <v>0</v>
      </c>
      <c r="I346" s="49">
        <v>0</v>
      </c>
      <c r="J346" s="49">
        <v>0</v>
      </c>
      <c r="K346" s="21">
        <f t="shared" si="137"/>
        <v>91834</v>
      </c>
      <c r="L346" s="23">
        <v>0</v>
      </c>
      <c r="N346" s="24"/>
    </row>
    <row r="347" spans="1:14">
      <c r="A347" s="192"/>
      <c r="B347" s="171" t="s">
        <v>36</v>
      </c>
      <c r="C347" s="50" t="s">
        <v>16</v>
      </c>
      <c r="D347" s="51">
        <f t="shared" ref="D347:L347" si="138">D338+D341+D344</f>
        <v>0</v>
      </c>
      <c r="E347" s="51">
        <f t="shared" si="138"/>
        <v>0</v>
      </c>
      <c r="F347" s="51">
        <f t="shared" si="138"/>
        <v>0</v>
      </c>
      <c r="G347" s="51">
        <f t="shared" si="138"/>
        <v>276895</v>
      </c>
      <c r="H347" s="51">
        <f t="shared" si="138"/>
        <v>0</v>
      </c>
      <c r="I347" s="51">
        <f t="shared" si="138"/>
        <v>0</v>
      </c>
      <c r="J347" s="51">
        <f t="shared" si="138"/>
        <v>0</v>
      </c>
      <c r="K347" s="51">
        <f t="shared" si="138"/>
        <v>276895</v>
      </c>
      <c r="L347" s="51">
        <f t="shared" si="138"/>
        <v>0</v>
      </c>
      <c r="M347" s="52"/>
      <c r="N347" s="53"/>
    </row>
    <row r="348" spans="1:14">
      <c r="A348" s="192"/>
      <c r="B348" s="172"/>
      <c r="C348" s="20" t="s">
        <v>17</v>
      </c>
      <c r="D348" s="21">
        <f t="shared" ref="D348:L348" si="139">D339+D342+D345</f>
        <v>0</v>
      </c>
      <c r="E348" s="21">
        <f t="shared" si="139"/>
        <v>0</v>
      </c>
      <c r="F348" s="21">
        <f t="shared" si="139"/>
        <v>0</v>
      </c>
      <c r="G348" s="21">
        <f t="shared" si="139"/>
        <v>273343</v>
      </c>
      <c r="H348" s="21">
        <f t="shared" si="139"/>
        <v>0</v>
      </c>
      <c r="I348" s="21">
        <f t="shared" si="139"/>
        <v>0</v>
      </c>
      <c r="J348" s="21">
        <f t="shared" si="139"/>
        <v>0</v>
      </c>
      <c r="K348" s="21">
        <f t="shared" si="139"/>
        <v>273343</v>
      </c>
      <c r="L348" s="21">
        <f t="shared" si="139"/>
        <v>0</v>
      </c>
      <c r="N348" s="24"/>
    </row>
    <row r="349" spans="1:14">
      <c r="A349" s="192"/>
      <c r="B349" s="172"/>
      <c r="C349" s="20" t="s">
        <v>18</v>
      </c>
      <c r="D349" s="21">
        <f t="shared" ref="D349:L349" si="140">D340+D343+D346</f>
        <v>0</v>
      </c>
      <c r="E349" s="21">
        <f t="shared" si="140"/>
        <v>0</v>
      </c>
      <c r="F349" s="21">
        <f t="shared" si="140"/>
        <v>0</v>
      </c>
      <c r="G349" s="21">
        <f t="shared" si="140"/>
        <v>273343</v>
      </c>
      <c r="H349" s="21">
        <f t="shared" si="140"/>
        <v>0</v>
      </c>
      <c r="I349" s="21">
        <f t="shared" si="140"/>
        <v>0</v>
      </c>
      <c r="J349" s="21">
        <f t="shared" si="140"/>
        <v>0</v>
      </c>
      <c r="K349" s="21">
        <f t="shared" si="140"/>
        <v>273343</v>
      </c>
      <c r="L349" s="21">
        <f t="shared" si="140"/>
        <v>0</v>
      </c>
      <c r="N349" s="24"/>
    </row>
    <row r="350" spans="1:14">
      <c r="A350" s="192"/>
      <c r="B350" s="173"/>
      <c r="C350" s="145" t="s">
        <v>56</v>
      </c>
      <c r="D350" s="51">
        <v>0</v>
      </c>
      <c r="E350" s="51">
        <v>0</v>
      </c>
      <c r="F350" s="51">
        <v>0</v>
      </c>
      <c r="G350" s="51">
        <v>276895</v>
      </c>
      <c r="H350" s="51"/>
      <c r="I350" s="51"/>
      <c r="J350" s="51"/>
      <c r="K350" s="51">
        <f>G350</f>
        <v>276895</v>
      </c>
      <c r="L350" s="51">
        <v>0</v>
      </c>
      <c r="M350" s="52"/>
      <c r="N350" s="53"/>
    </row>
    <row r="351" spans="1:14">
      <c r="A351" s="192"/>
      <c r="B351" s="173"/>
      <c r="C351" s="145" t="s">
        <v>48</v>
      </c>
      <c r="D351" s="51">
        <v>0</v>
      </c>
      <c r="E351" s="51">
        <v>0</v>
      </c>
      <c r="F351" s="51"/>
      <c r="G351" s="51">
        <v>3552</v>
      </c>
      <c r="H351" s="51"/>
      <c r="I351" s="51"/>
      <c r="J351" s="51"/>
      <c r="K351" s="51">
        <f>G351</f>
        <v>3552</v>
      </c>
      <c r="L351" s="51">
        <v>0</v>
      </c>
      <c r="M351" s="52"/>
      <c r="N351" s="53"/>
    </row>
    <row r="352" spans="1:14">
      <c r="A352" s="192"/>
      <c r="B352" s="173"/>
      <c r="C352" s="145" t="s">
        <v>26</v>
      </c>
      <c r="D352" s="51">
        <v>0</v>
      </c>
      <c r="E352" s="51">
        <v>0</v>
      </c>
      <c r="F352" s="51"/>
      <c r="G352" s="51">
        <f>G351+G349</f>
        <v>276895</v>
      </c>
      <c r="H352" s="51"/>
      <c r="I352" s="51"/>
      <c r="J352" s="51"/>
      <c r="K352" s="51">
        <f>G352</f>
        <v>276895</v>
      </c>
      <c r="L352" s="51">
        <v>0</v>
      </c>
      <c r="M352" s="52"/>
      <c r="N352" s="53"/>
    </row>
    <row r="353" spans="1:14">
      <c r="A353" s="192"/>
      <c r="B353" s="171" t="s">
        <v>38</v>
      </c>
      <c r="C353" s="20" t="s">
        <v>16</v>
      </c>
      <c r="D353" s="21">
        <v>0</v>
      </c>
      <c r="E353" s="21">
        <v>0</v>
      </c>
      <c r="F353" s="21">
        <f t="shared" ref="F353:F358" si="141">SUM(D353:E353)</f>
        <v>0</v>
      </c>
      <c r="G353" s="21">
        <f>109533-21321</f>
        <v>88212</v>
      </c>
      <c r="H353" s="49">
        <v>0</v>
      </c>
      <c r="I353" s="49">
        <v>0</v>
      </c>
      <c r="J353" s="49">
        <v>0</v>
      </c>
      <c r="K353" s="21">
        <f t="shared" ref="K353:K358" si="142">D353+E353+G353+H353+I353+J353</f>
        <v>88212</v>
      </c>
      <c r="L353" s="23">
        <v>0</v>
      </c>
      <c r="N353" s="24"/>
    </row>
    <row r="354" spans="1:14">
      <c r="A354" s="192"/>
      <c r="B354" s="172"/>
      <c r="C354" s="20" t="s">
        <v>17</v>
      </c>
      <c r="D354" s="21">
        <v>0</v>
      </c>
      <c r="E354" s="21">
        <v>0</v>
      </c>
      <c r="F354" s="21">
        <f t="shared" si="141"/>
        <v>0</v>
      </c>
      <c r="G354" s="21">
        <v>88212</v>
      </c>
      <c r="H354" s="49">
        <v>0</v>
      </c>
      <c r="I354" s="49">
        <v>0</v>
      </c>
      <c r="J354" s="49">
        <v>0</v>
      </c>
      <c r="K354" s="21">
        <f t="shared" si="142"/>
        <v>88212</v>
      </c>
      <c r="L354" s="23">
        <v>0</v>
      </c>
      <c r="N354" s="24"/>
    </row>
    <row r="355" spans="1:14">
      <c r="A355" s="192"/>
      <c r="B355" s="172"/>
      <c r="C355" s="20" t="s">
        <v>18</v>
      </c>
      <c r="D355" s="21">
        <v>0</v>
      </c>
      <c r="E355" s="21">
        <v>0</v>
      </c>
      <c r="F355" s="21">
        <f t="shared" si="141"/>
        <v>0</v>
      </c>
      <c r="G355" s="21">
        <v>88212</v>
      </c>
      <c r="H355" s="49">
        <v>0</v>
      </c>
      <c r="I355" s="49">
        <v>0</v>
      </c>
      <c r="J355" s="49">
        <v>0</v>
      </c>
      <c r="K355" s="21">
        <f t="shared" si="142"/>
        <v>88212</v>
      </c>
      <c r="L355" s="23">
        <v>0</v>
      </c>
      <c r="N355" s="24"/>
    </row>
    <row r="356" spans="1:14">
      <c r="A356" s="192"/>
      <c r="B356" s="171" t="s">
        <v>39</v>
      </c>
      <c r="C356" s="20" t="s">
        <v>16</v>
      </c>
      <c r="D356" s="21">
        <v>0</v>
      </c>
      <c r="E356" s="21">
        <v>0</v>
      </c>
      <c r="F356" s="21">
        <f t="shared" si="141"/>
        <v>0</v>
      </c>
      <c r="G356" s="21">
        <f>109533-35243</f>
        <v>74290</v>
      </c>
      <c r="H356" s="49">
        <v>0</v>
      </c>
      <c r="I356" s="49">
        <v>0</v>
      </c>
      <c r="J356" s="49">
        <v>0</v>
      </c>
      <c r="K356" s="21">
        <f t="shared" si="142"/>
        <v>74290</v>
      </c>
      <c r="L356" s="23">
        <v>0</v>
      </c>
      <c r="N356" s="24"/>
    </row>
    <row r="357" spans="1:14">
      <c r="A357" s="192"/>
      <c r="B357" s="172"/>
      <c r="C357" s="20" t="s">
        <v>17</v>
      </c>
      <c r="D357" s="21">
        <v>0</v>
      </c>
      <c r="E357" s="21">
        <v>0</v>
      </c>
      <c r="F357" s="21">
        <f t="shared" si="141"/>
        <v>0</v>
      </c>
      <c r="G357" s="21">
        <v>74216</v>
      </c>
      <c r="H357" s="49">
        <v>0</v>
      </c>
      <c r="I357" s="49">
        <v>0</v>
      </c>
      <c r="J357" s="49">
        <v>0</v>
      </c>
      <c r="K357" s="21">
        <f t="shared" si="142"/>
        <v>74216</v>
      </c>
      <c r="L357" s="23">
        <v>0</v>
      </c>
      <c r="N357" s="24"/>
    </row>
    <row r="358" spans="1:14">
      <c r="A358" s="192"/>
      <c r="B358" s="172"/>
      <c r="C358" s="20" t="s">
        <v>18</v>
      </c>
      <c r="D358" s="21">
        <v>0</v>
      </c>
      <c r="E358" s="21">
        <v>0</v>
      </c>
      <c r="F358" s="21">
        <f t="shared" si="141"/>
        <v>0</v>
      </c>
      <c r="G358" s="21">
        <v>74216</v>
      </c>
      <c r="H358" s="49">
        <v>0</v>
      </c>
      <c r="I358" s="49">
        <v>0</v>
      </c>
      <c r="J358" s="49">
        <v>0</v>
      </c>
      <c r="K358" s="21">
        <f t="shared" si="142"/>
        <v>74216</v>
      </c>
      <c r="L358" s="23">
        <v>0</v>
      </c>
      <c r="N358" s="24"/>
    </row>
    <row r="359" spans="1:14">
      <c r="A359" s="192"/>
      <c r="B359" s="204" t="s">
        <v>55</v>
      </c>
      <c r="C359" s="124" t="s">
        <v>16</v>
      </c>
      <c r="D359" s="58">
        <f t="shared" ref="D359:N359" si="143">D347+D353+D356</f>
        <v>0</v>
      </c>
      <c r="E359" s="58">
        <f t="shared" si="143"/>
        <v>0</v>
      </c>
      <c r="F359" s="58">
        <f t="shared" si="143"/>
        <v>0</v>
      </c>
      <c r="G359" s="58">
        <f t="shared" si="143"/>
        <v>439397</v>
      </c>
      <c r="H359" s="58">
        <f t="shared" si="143"/>
        <v>0</v>
      </c>
      <c r="I359" s="58">
        <f t="shared" si="143"/>
        <v>0</v>
      </c>
      <c r="J359" s="58">
        <f t="shared" si="143"/>
        <v>0</v>
      </c>
      <c r="K359" s="58">
        <f t="shared" si="143"/>
        <v>439397</v>
      </c>
      <c r="L359" s="58">
        <f t="shared" si="143"/>
        <v>0</v>
      </c>
      <c r="M359" s="58">
        <f t="shared" si="143"/>
        <v>0</v>
      </c>
      <c r="N359" s="58">
        <f t="shared" si="143"/>
        <v>0</v>
      </c>
    </row>
    <row r="360" spans="1:14">
      <c r="A360" s="192"/>
      <c r="B360" s="205"/>
      <c r="C360" s="124" t="s">
        <v>17</v>
      </c>
      <c r="D360" s="58">
        <v>0</v>
      </c>
      <c r="E360" s="58">
        <v>0</v>
      </c>
      <c r="F360" s="58">
        <v>0</v>
      </c>
      <c r="G360" s="58">
        <v>439397</v>
      </c>
      <c r="H360" s="58">
        <v>0</v>
      </c>
      <c r="I360" s="58"/>
      <c r="J360" s="58"/>
      <c r="K360" s="58">
        <f>G360</f>
        <v>439397</v>
      </c>
      <c r="L360" s="58">
        <v>0</v>
      </c>
      <c r="M360" s="59"/>
      <c r="N360" s="60"/>
    </row>
    <row r="361" spans="1:14">
      <c r="A361" s="192"/>
      <c r="B361" s="205"/>
      <c r="C361" s="124" t="s">
        <v>18</v>
      </c>
      <c r="D361" s="58">
        <v>0</v>
      </c>
      <c r="E361" s="58">
        <v>0</v>
      </c>
      <c r="F361" s="58">
        <v>0</v>
      </c>
      <c r="G361" s="58">
        <f>G352+G355+G358</f>
        <v>439323</v>
      </c>
      <c r="H361" s="58">
        <v>0</v>
      </c>
      <c r="I361" s="58"/>
      <c r="J361" s="58"/>
      <c r="K361" s="58">
        <f>G361</f>
        <v>439323</v>
      </c>
      <c r="L361" s="58">
        <v>0</v>
      </c>
      <c r="M361" s="59"/>
      <c r="N361" s="60"/>
    </row>
    <row r="362" spans="1:14">
      <c r="A362" s="192"/>
      <c r="B362" s="205"/>
      <c r="C362" s="124" t="s">
        <v>48</v>
      </c>
      <c r="D362" s="58">
        <v>0</v>
      </c>
      <c r="E362" s="58">
        <v>0</v>
      </c>
      <c r="F362" s="58">
        <v>0</v>
      </c>
      <c r="G362" s="58">
        <v>74</v>
      </c>
      <c r="H362" s="58">
        <v>0</v>
      </c>
      <c r="I362" s="58"/>
      <c r="J362" s="58"/>
      <c r="K362" s="58">
        <f>G362</f>
        <v>74</v>
      </c>
      <c r="L362" s="58">
        <v>0</v>
      </c>
      <c r="M362" s="59"/>
      <c r="N362" s="60"/>
    </row>
    <row r="363" spans="1:14">
      <c r="A363" s="192"/>
      <c r="B363" s="205"/>
      <c r="C363" s="124" t="s">
        <v>26</v>
      </c>
      <c r="D363" s="58">
        <v>0</v>
      </c>
      <c r="E363" s="58">
        <v>0</v>
      </c>
      <c r="F363" s="58">
        <v>0</v>
      </c>
      <c r="G363" s="58">
        <f>G361+G362</f>
        <v>439397</v>
      </c>
      <c r="H363" s="58">
        <v>0</v>
      </c>
      <c r="I363" s="58"/>
      <c r="J363" s="58"/>
      <c r="K363" s="58">
        <f>G363</f>
        <v>439397</v>
      </c>
      <c r="L363" s="58">
        <v>0</v>
      </c>
      <c r="M363" s="59"/>
      <c r="N363" s="60"/>
    </row>
    <row r="364" spans="1:14">
      <c r="A364" s="192"/>
      <c r="B364" s="171" t="s">
        <v>43</v>
      </c>
      <c r="C364" s="20" t="s">
        <v>16</v>
      </c>
      <c r="D364" s="21">
        <v>0</v>
      </c>
      <c r="E364" s="21">
        <v>0</v>
      </c>
      <c r="F364" s="21">
        <f>SUM(D364:E364)</f>
        <v>0</v>
      </c>
      <c r="G364" s="21">
        <f>452+84449</f>
        <v>84901</v>
      </c>
      <c r="H364" s="49">
        <v>0</v>
      </c>
      <c r="I364" s="49">
        <v>0</v>
      </c>
      <c r="J364" s="49">
        <v>0</v>
      </c>
      <c r="K364" s="21">
        <f>D364+E364+G364+H364+I364+J364</f>
        <v>84901</v>
      </c>
      <c r="L364" s="23">
        <v>0</v>
      </c>
      <c r="N364" s="24"/>
    </row>
    <row r="365" spans="1:14">
      <c r="A365" s="192"/>
      <c r="B365" s="172"/>
      <c r="C365" s="20" t="s">
        <v>17</v>
      </c>
      <c r="D365" s="21">
        <v>0</v>
      </c>
      <c r="E365" s="21">
        <v>0</v>
      </c>
      <c r="F365" s="21">
        <f>SUM(D365:E365)</f>
        <v>0</v>
      </c>
      <c r="G365" s="21">
        <v>53021</v>
      </c>
      <c r="H365" s="49">
        <v>0</v>
      </c>
      <c r="I365" s="49">
        <v>0</v>
      </c>
      <c r="J365" s="49">
        <v>0</v>
      </c>
      <c r="K365" s="21">
        <f>D365+E365+G365+H365+I365+J365</f>
        <v>53021</v>
      </c>
      <c r="L365" s="23">
        <v>0</v>
      </c>
      <c r="N365" s="24"/>
    </row>
    <row r="366" spans="1:14">
      <c r="A366" s="192"/>
      <c r="B366" s="172"/>
      <c r="C366" s="20" t="s">
        <v>18</v>
      </c>
      <c r="D366" s="21">
        <v>0</v>
      </c>
      <c r="E366" s="21">
        <v>0</v>
      </c>
      <c r="F366" s="21">
        <f>SUM(D366:E366)</f>
        <v>0</v>
      </c>
      <c r="G366" s="21">
        <v>53021</v>
      </c>
      <c r="H366" s="49">
        <v>0</v>
      </c>
      <c r="I366" s="49">
        <v>0</v>
      </c>
      <c r="J366" s="49">
        <v>0</v>
      </c>
      <c r="K366" s="21">
        <f>D366+E366+G366+H366+I366+J366</f>
        <v>53021</v>
      </c>
      <c r="L366" s="23">
        <v>0</v>
      </c>
      <c r="N366" s="24"/>
    </row>
    <row r="367" spans="1:14">
      <c r="A367" s="192"/>
      <c r="B367" s="187" t="s">
        <v>44</v>
      </c>
      <c r="C367" s="20" t="s">
        <v>16</v>
      </c>
      <c r="D367" s="21">
        <f t="shared" ref="D367:F369" si="144">D353+D356+D364</f>
        <v>0</v>
      </c>
      <c r="E367" s="21">
        <f t="shared" si="144"/>
        <v>0</v>
      </c>
      <c r="F367" s="21">
        <f t="shared" si="144"/>
        <v>0</v>
      </c>
      <c r="G367" s="21">
        <f>G364+G356+G353</f>
        <v>247403</v>
      </c>
      <c r="H367" s="21">
        <f t="shared" ref="H367:L369" si="145">H353+H356+H364</f>
        <v>0</v>
      </c>
      <c r="I367" s="21">
        <f t="shared" si="145"/>
        <v>0</v>
      </c>
      <c r="J367" s="21">
        <f t="shared" si="145"/>
        <v>0</v>
      </c>
      <c r="K367" s="21">
        <f t="shared" si="145"/>
        <v>247403</v>
      </c>
      <c r="L367" s="23">
        <f t="shared" si="145"/>
        <v>0</v>
      </c>
      <c r="N367" s="24"/>
    </row>
    <row r="368" spans="1:14">
      <c r="A368" s="192"/>
      <c r="B368" s="188"/>
      <c r="C368" s="20" t="s">
        <v>17</v>
      </c>
      <c r="D368" s="21">
        <f t="shared" si="144"/>
        <v>0</v>
      </c>
      <c r="E368" s="21">
        <f t="shared" si="144"/>
        <v>0</v>
      </c>
      <c r="F368" s="21">
        <f t="shared" si="144"/>
        <v>0</v>
      </c>
      <c r="G368" s="21">
        <f>G354+G357+G365</f>
        <v>215449</v>
      </c>
      <c r="H368" s="21">
        <f t="shared" si="145"/>
        <v>0</v>
      </c>
      <c r="I368" s="21">
        <f t="shared" si="145"/>
        <v>0</v>
      </c>
      <c r="J368" s="21">
        <f t="shared" si="145"/>
        <v>0</v>
      </c>
      <c r="K368" s="21">
        <f t="shared" si="145"/>
        <v>215449</v>
      </c>
      <c r="L368" s="21">
        <f t="shared" si="145"/>
        <v>0</v>
      </c>
      <c r="N368" s="24"/>
    </row>
    <row r="369" spans="1:16">
      <c r="A369" s="192"/>
      <c r="B369" s="188"/>
      <c r="C369" s="20" t="s">
        <v>18</v>
      </c>
      <c r="D369" s="21">
        <f t="shared" si="144"/>
        <v>0</v>
      </c>
      <c r="E369" s="21">
        <f t="shared" si="144"/>
        <v>0</v>
      </c>
      <c r="F369" s="21">
        <f t="shared" si="144"/>
        <v>0</v>
      </c>
      <c r="G369" s="21">
        <f>G363</f>
        <v>439397</v>
      </c>
      <c r="H369" s="21">
        <f t="shared" si="145"/>
        <v>0</v>
      </c>
      <c r="I369" s="21">
        <f t="shared" si="145"/>
        <v>0</v>
      </c>
      <c r="J369" s="21">
        <f t="shared" si="145"/>
        <v>0</v>
      </c>
      <c r="K369" s="21">
        <f t="shared" si="145"/>
        <v>215449</v>
      </c>
      <c r="L369" s="21">
        <f t="shared" si="145"/>
        <v>0</v>
      </c>
      <c r="N369" s="24"/>
    </row>
    <row r="370" spans="1:16">
      <c r="A370" s="192"/>
      <c r="B370" s="212" t="s">
        <v>45</v>
      </c>
      <c r="C370" s="40" t="s">
        <v>16</v>
      </c>
      <c r="D370" s="41">
        <f t="shared" ref="D370:L370" si="146">D347+D367</f>
        <v>0</v>
      </c>
      <c r="E370" s="41">
        <f t="shared" si="146"/>
        <v>0</v>
      </c>
      <c r="F370" s="41">
        <f t="shared" si="146"/>
        <v>0</v>
      </c>
      <c r="G370" s="41">
        <f>G347+G367</f>
        <v>524298</v>
      </c>
      <c r="H370" s="41">
        <f t="shared" si="146"/>
        <v>0</v>
      </c>
      <c r="I370" s="41">
        <f t="shared" si="146"/>
        <v>0</v>
      </c>
      <c r="J370" s="41">
        <f t="shared" si="146"/>
        <v>0</v>
      </c>
      <c r="K370" s="41">
        <f t="shared" si="146"/>
        <v>524298</v>
      </c>
      <c r="L370" s="41">
        <f t="shared" si="146"/>
        <v>0</v>
      </c>
      <c r="M370" s="42"/>
      <c r="N370" s="43"/>
    </row>
    <row r="371" spans="1:16">
      <c r="A371" s="192"/>
      <c r="B371" s="213"/>
      <c r="C371" s="40" t="s">
        <v>17</v>
      </c>
      <c r="D371" s="41">
        <f t="shared" ref="D371:F372" si="147">D348+D368</f>
        <v>0</v>
      </c>
      <c r="E371" s="41">
        <f t="shared" si="147"/>
        <v>0</v>
      </c>
      <c r="F371" s="41">
        <f t="shared" si="147"/>
        <v>0</v>
      </c>
      <c r="G371" s="41">
        <f>G360+G365</f>
        <v>492418</v>
      </c>
      <c r="H371" s="41">
        <f t="shared" ref="H371:J372" si="148">H348+H368</f>
        <v>0</v>
      </c>
      <c r="I371" s="41">
        <f t="shared" si="148"/>
        <v>0</v>
      </c>
      <c r="J371" s="41">
        <f t="shared" si="148"/>
        <v>0</v>
      </c>
      <c r="K371" s="41">
        <f>G371</f>
        <v>492418</v>
      </c>
      <c r="L371" s="41">
        <f>L348+L368</f>
        <v>0</v>
      </c>
      <c r="M371" s="42"/>
      <c r="N371" s="43"/>
    </row>
    <row r="372" spans="1:16">
      <c r="A372" s="192"/>
      <c r="B372" s="213"/>
      <c r="C372" s="40" t="s">
        <v>18</v>
      </c>
      <c r="D372" s="41">
        <f t="shared" si="147"/>
        <v>0</v>
      </c>
      <c r="E372" s="41">
        <f t="shared" si="147"/>
        <v>0</v>
      </c>
      <c r="F372" s="41">
        <f t="shared" si="147"/>
        <v>0</v>
      </c>
      <c r="G372" s="41">
        <f>G363+G366</f>
        <v>492418</v>
      </c>
      <c r="H372" s="41">
        <f t="shared" si="148"/>
        <v>0</v>
      </c>
      <c r="I372" s="41">
        <f t="shared" si="148"/>
        <v>0</v>
      </c>
      <c r="J372" s="41">
        <f t="shared" si="148"/>
        <v>0</v>
      </c>
      <c r="K372" s="41">
        <f>G372</f>
        <v>492418</v>
      </c>
      <c r="L372" s="41">
        <f>L349+L369</f>
        <v>0</v>
      </c>
      <c r="M372" s="42"/>
      <c r="N372" s="43"/>
    </row>
    <row r="373" spans="1:16">
      <c r="A373" s="193"/>
      <c r="B373" s="215" t="s">
        <v>46</v>
      </c>
      <c r="C373" s="125" t="s">
        <v>16</v>
      </c>
      <c r="D373" s="126">
        <f t="shared" ref="D373:L373" si="149">D332+D370</f>
        <v>0</v>
      </c>
      <c r="E373" s="126">
        <f t="shared" si="149"/>
        <v>0</v>
      </c>
      <c r="F373" s="126">
        <f t="shared" si="149"/>
        <v>0</v>
      </c>
      <c r="G373" s="126">
        <f t="shared" si="149"/>
        <v>1066445.1400000001</v>
      </c>
      <c r="H373" s="126">
        <f t="shared" si="149"/>
        <v>0</v>
      </c>
      <c r="I373" s="126">
        <f t="shared" si="149"/>
        <v>0</v>
      </c>
      <c r="J373" s="126">
        <f t="shared" si="149"/>
        <v>0</v>
      </c>
      <c r="K373" s="126">
        <f t="shared" si="149"/>
        <v>1066445.1400000001</v>
      </c>
      <c r="L373" s="126">
        <f t="shared" si="149"/>
        <v>0</v>
      </c>
      <c r="M373" s="127"/>
      <c r="N373" s="128"/>
    </row>
    <row r="374" spans="1:16">
      <c r="A374" s="193"/>
      <c r="B374" s="215"/>
      <c r="C374" s="125" t="s">
        <v>17</v>
      </c>
      <c r="D374" s="126">
        <f>D333+D371</f>
        <v>0</v>
      </c>
      <c r="E374" s="126">
        <f>E333+E371</f>
        <v>0</v>
      </c>
      <c r="F374" s="126">
        <f>F333+F371</f>
        <v>0</v>
      </c>
      <c r="G374" s="126">
        <f>G335+G371</f>
        <v>1034565.14</v>
      </c>
      <c r="H374" s="126">
        <f>H333+H371</f>
        <v>0</v>
      </c>
      <c r="I374" s="126">
        <f>I333+I371</f>
        <v>0</v>
      </c>
      <c r="J374" s="126">
        <f>J333+J371</f>
        <v>0</v>
      </c>
      <c r="K374" s="126">
        <f>K335+K371</f>
        <v>1034565.14</v>
      </c>
      <c r="L374" s="126">
        <f>L333+L371</f>
        <v>0</v>
      </c>
      <c r="M374" s="127"/>
      <c r="N374" s="128"/>
    </row>
    <row r="375" spans="1:16">
      <c r="A375" s="193"/>
      <c r="B375" s="215"/>
      <c r="C375" s="125" t="s">
        <v>58</v>
      </c>
      <c r="D375" s="126">
        <v>0</v>
      </c>
      <c r="E375" s="126">
        <v>0</v>
      </c>
      <c r="F375" s="126">
        <v>0</v>
      </c>
      <c r="G375" s="126">
        <f>G360+G365+G335</f>
        <v>1034565.14</v>
      </c>
      <c r="H375" s="126">
        <v>0</v>
      </c>
      <c r="I375" s="126"/>
      <c r="J375" s="126"/>
      <c r="K375" s="126">
        <f>G375</f>
        <v>1034565.14</v>
      </c>
      <c r="L375" s="126">
        <v>0</v>
      </c>
      <c r="M375" s="127"/>
      <c r="N375" s="128"/>
    </row>
    <row r="376" spans="1:16">
      <c r="A376" s="193"/>
      <c r="B376" s="215"/>
      <c r="C376" s="129" t="s">
        <v>18</v>
      </c>
      <c r="D376" s="126">
        <f>D337+D372</f>
        <v>0</v>
      </c>
      <c r="E376" s="126">
        <f>E334+E372</f>
        <v>0</v>
      </c>
      <c r="F376" s="126">
        <f>F334+F372</f>
        <v>0</v>
      </c>
      <c r="G376" s="126">
        <f>G363+G337+G366</f>
        <v>1034565.14</v>
      </c>
      <c r="H376" s="126">
        <f>H363+H337+H366</f>
        <v>0</v>
      </c>
      <c r="I376" s="126">
        <f>I363+I337+I366</f>
        <v>0</v>
      </c>
      <c r="J376" s="126">
        <f>J363+J337+J366</f>
        <v>0</v>
      </c>
      <c r="K376" s="126">
        <f>K363+K337+K366</f>
        <v>1034565.14</v>
      </c>
      <c r="L376" s="126">
        <f>L334+L372</f>
        <v>0</v>
      </c>
      <c r="M376" s="127"/>
      <c r="N376" s="128"/>
      <c r="O376" s="18"/>
      <c r="P376" s="18"/>
    </row>
    <row r="377" spans="1:16">
      <c r="A377" s="216" t="s">
        <v>59</v>
      </c>
      <c r="B377" s="178" t="s">
        <v>15</v>
      </c>
      <c r="C377" s="14" t="s">
        <v>16</v>
      </c>
      <c r="D377" s="15">
        <v>0</v>
      </c>
      <c r="E377" s="15">
        <v>225564.08</v>
      </c>
      <c r="F377" s="16">
        <f t="shared" ref="F377:F385" si="150">D377+E377</f>
        <v>225564.08</v>
      </c>
      <c r="G377" s="15">
        <v>0</v>
      </c>
      <c r="H377" s="15">
        <v>0</v>
      </c>
      <c r="I377" s="15">
        <v>0</v>
      </c>
      <c r="J377" s="15">
        <v>0</v>
      </c>
      <c r="K377" s="16">
        <f t="shared" ref="K377:K385" si="151">J377+I377+H377+G377+E377+D377</f>
        <v>225564.08</v>
      </c>
      <c r="L377" s="17">
        <v>0</v>
      </c>
      <c r="N377" s="24"/>
    </row>
    <row r="378" spans="1:16">
      <c r="A378" s="217"/>
      <c r="B378" s="178"/>
      <c r="C378" s="20" t="s">
        <v>17</v>
      </c>
      <c r="D378" s="21">
        <v>0</v>
      </c>
      <c r="E378" s="15">
        <v>290830.2</v>
      </c>
      <c r="F378" s="21">
        <f t="shared" si="150"/>
        <v>290830.2</v>
      </c>
      <c r="G378" s="21">
        <v>0</v>
      </c>
      <c r="H378" s="22">
        <v>0</v>
      </c>
      <c r="I378" s="22">
        <v>0</v>
      </c>
      <c r="J378" s="22">
        <v>0</v>
      </c>
      <c r="K378" s="21">
        <f t="shared" si="151"/>
        <v>290830.2</v>
      </c>
      <c r="L378" s="23">
        <v>0</v>
      </c>
      <c r="N378" s="24"/>
    </row>
    <row r="379" spans="1:16">
      <c r="A379" s="217"/>
      <c r="B379" s="178"/>
      <c r="C379" s="25" t="s">
        <v>18</v>
      </c>
      <c r="D379" s="26">
        <v>0</v>
      </c>
      <c r="E379" s="15">
        <v>225564.08</v>
      </c>
      <c r="F379" s="26">
        <f t="shared" si="150"/>
        <v>225564.08</v>
      </c>
      <c r="G379" s="26">
        <v>0</v>
      </c>
      <c r="H379" s="27">
        <v>0</v>
      </c>
      <c r="I379" s="27">
        <v>0</v>
      </c>
      <c r="J379" s="27">
        <v>0</v>
      </c>
      <c r="K379" s="26">
        <f t="shared" si="151"/>
        <v>225564.08</v>
      </c>
      <c r="L379" s="28">
        <v>0</v>
      </c>
      <c r="N379" s="24"/>
    </row>
    <row r="380" spans="1:16">
      <c r="A380" s="217"/>
      <c r="B380" s="179" t="s">
        <v>20</v>
      </c>
      <c r="C380" s="20" t="s">
        <v>16</v>
      </c>
      <c r="D380" s="22">
        <v>0</v>
      </c>
      <c r="E380" s="22">
        <v>225564.08</v>
      </c>
      <c r="F380" s="21">
        <f t="shared" si="150"/>
        <v>225564.08</v>
      </c>
      <c r="G380" s="22">
        <v>0</v>
      </c>
      <c r="H380" s="22">
        <v>0</v>
      </c>
      <c r="I380" s="22">
        <v>0</v>
      </c>
      <c r="J380" s="30">
        <v>0</v>
      </c>
      <c r="K380" s="21">
        <f t="shared" si="151"/>
        <v>225564.08</v>
      </c>
      <c r="L380" s="23">
        <v>0</v>
      </c>
      <c r="N380" s="24"/>
    </row>
    <row r="381" spans="1:16">
      <c r="A381" s="217"/>
      <c r="B381" s="178"/>
      <c r="C381" s="20" t="s">
        <v>17</v>
      </c>
      <c r="D381" s="21">
        <v>0</v>
      </c>
      <c r="E381" s="21">
        <v>267618.40000000002</v>
      </c>
      <c r="F381" s="21">
        <f t="shared" si="150"/>
        <v>267618.40000000002</v>
      </c>
      <c r="G381" s="21">
        <v>0</v>
      </c>
      <c r="H381" s="22">
        <v>0</v>
      </c>
      <c r="I381" s="22">
        <v>0</v>
      </c>
      <c r="J381" s="30">
        <v>0</v>
      </c>
      <c r="K381" s="21">
        <f t="shared" si="151"/>
        <v>267618.40000000002</v>
      </c>
      <c r="L381" s="23">
        <v>0</v>
      </c>
      <c r="N381" s="24"/>
    </row>
    <row r="382" spans="1:16">
      <c r="A382" s="217"/>
      <c r="B382" s="178"/>
      <c r="C382" s="25" t="s">
        <v>18</v>
      </c>
      <c r="D382" s="26">
        <v>0</v>
      </c>
      <c r="E382" s="26">
        <v>225564.08</v>
      </c>
      <c r="F382" s="26">
        <f t="shared" si="150"/>
        <v>225564.08</v>
      </c>
      <c r="G382" s="26">
        <v>0</v>
      </c>
      <c r="H382" s="27">
        <v>0</v>
      </c>
      <c r="I382" s="27">
        <v>0</v>
      </c>
      <c r="J382" s="27">
        <v>0</v>
      </c>
      <c r="K382" s="26">
        <f t="shared" si="151"/>
        <v>225564.08</v>
      </c>
      <c r="L382" s="28">
        <v>0</v>
      </c>
      <c r="N382" s="24"/>
    </row>
    <row r="383" spans="1:16">
      <c r="A383" s="217"/>
      <c r="B383" s="179" t="s">
        <v>22</v>
      </c>
      <c r="C383" s="20" t="s">
        <v>16</v>
      </c>
      <c r="D383" s="22">
        <v>0</v>
      </c>
      <c r="E383" s="22">
        <v>225564.08</v>
      </c>
      <c r="F383" s="21">
        <f t="shared" si="150"/>
        <v>225564.08</v>
      </c>
      <c r="G383" s="22">
        <v>0</v>
      </c>
      <c r="H383" s="22">
        <v>0</v>
      </c>
      <c r="I383" s="22">
        <v>0</v>
      </c>
      <c r="J383" s="30">
        <v>0</v>
      </c>
      <c r="K383" s="21">
        <f t="shared" si="151"/>
        <v>225564.08</v>
      </c>
      <c r="L383" s="23">
        <v>0</v>
      </c>
      <c r="N383" s="24"/>
    </row>
    <row r="384" spans="1:16">
      <c r="A384" s="217"/>
      <c r="B384" s="178"/>
      <c r="C384" s="20" t="s">
        <v>17</v>
      </c>
      <c r="D384" s="21">
        <v>0</v>
      </c>
      <c r="E384" s="21">
        <v>294107.15999999997</v>
      </c>
      <c r="F384" s="21">
        <f t="shared" si="150"/>
        <v>294107.15999999997</v>
      </c>
      <c r="G384" s="21">
        <v>0</v>
      </c>
      <c r="H384" s="22">
        <v>0</v>
      </c>
      <c r="I384" s="22">
        <v>0</v>
      </c>
      <c r="J384" s="30">
        <v>0</v>
      </c>
      <c r="K384" s="21">
        <f t="shared" si="151"/>
        <v>294107.15999999997</v>
      </c>
      <c r="L384" s="23">
        <v>0</v>
      </c>
      <c r="N384" s="24"/>
    </row>
    <row r="385" spans="1:14">
      <c r="A385" s="217"/>
      <c r="B385" s="178"/>
      <c r="C385" s="25" t="s">
        <v>18</v>
      </c>
      <c r="D385" s="26">
        <v>0</v>
      </c>
      <c r="E385" s="26">
        <v>225564.08</v>
      </c>
      <c r="F385" s="26">
        <f t="shared" si="150"/>
        <v>225564.08</v>
      </c>
      <c r="G385" s="26">
        <v>0</v>
      </c>
      <c r="H385" s="27">
        <v>0</v>
      </c>
      <c r="I385" s="27">
        <v>0</v>
      </c>
      <c r="J385" s="27">
        <v>0</v>
      </c>
      <c r="K385" s="26">
        <f t="shared" si="151"/>
        <v>225564.08</v>
      </c>
      <c r="L385" s="28">
        <v>0</v>
      </c>
      <c r="N385" s="24"/>
    </row>
    <row r="386" spans="1:14">
      <c r="A386" s="217"/>
      <c r="B386" s="184" t="s">
        <v>23</v>
      </c>
      <c r="C386" s="20" t="s">
        <v>16</v>
      </c>
      <c r="D386" s="21">
        <f t="shared" ref="D386:L386" si="152">D383+D380+D377</f>
        <v>0</v>
      </c>
      <c r="E386" s="21">
        <f t="shared" si="152"/>
        <v>676692.24</v>
      </c>
      <c r="F386" s="21">
        <f t="shared" si="152"/>
        <v>676692.24</v>
      </c>
      <c r="G386" s="21">
        <f t="shared" si="152"/>
        <v>0</v>
      </c>
      <c r="H386" s="21">
        <f t="shared" si="152"/>
        <v>0</v>
      </c>
      <c r="I386" s="21">
        <f t="shared" si="152"/>
        <v>0</v>
      </c>
      <c r="J386" s="21">
        <f t="shared" si="152"/>
        <v>0</v>
      </c>
      <c r="K386" s="21">
        <f t="shared" si="152"/>
        <v>676692.24</v>
      </c>
      <c r="L386" s="23">
        <f t="shared" si="152"/>
        <v>0</v>
      </c>
      <c r="N386" s="24"/>
    </row>
    <row r="387" spans="1:14">
      <c r="A387" s="217"/>
      <c r="B387" s="184"/>
      <c r="C387" s="20" t="s">
        <v>17</v>
      </c>
      <c r="D387" s="21">
        <f t="shared" ref="D387:L387" si="153">D384+D381+D378</f>
        <v>0</v>
      </c>
      <c r="E387" s="21">
        <f t="shared" si="153"/>
        <v>852555.76</v>
      </c>
      <c r="F387" s="21">
        <f t="shared" si="153"/>
        <v>852555.76</v>
      </c>
      <c r="G387" s="21">
        <f t="shared" si="153"/>
        <v>0</v>
      </c>
      <c r="H387" s="21">
        <f t="shared" si="153"/>
        <v>0</v>
      </c>
      <c r="I387" s="21">
        <f t="shared" si="153"/>
        <v>0</v>
      </c>
      <c r="J387" s="21">
        <f t="shared" si="153"/>
        <v>0</v>
      </c>
      <c r="K387" s="21">
        <f t="shared" si="153"/>
        <v>852555.76</v>
      </c>
      <c r="L387" s="23">
        <f t="shared" si="153"/>
        <v>0</v>
      </c>
      <c r="N387" s="24"/>
    </row>
    <row r="388" spans="1:14">
      <c r="A388" s="217"/>
      <c r="B388" s="184"/>
      <c r="C388" s="25" t="s">
        <v>18</v>
      </c>
      <c r="D388" s="21">
        <f t="shared" ref="D388:L388" si="154">D385+D382+D379</f>
        <v>0</v>
      </c>
      <c r="E388" s="21">
        <f t="shared" si="154"/>
        <v>676692.24</v>
      </c>
      <c r="F388" s="21">
        <f t="shared" si="154"/>
        <v>676692.24</v>
      </c>
      <c r="G388" s="21">
        <f t="shared" si="154"/>
        <v>0</v>
      </c>
      <c r="H388" s="21">
        <f t="shared" si="154"/>
        <v>0</v>
      </c>
      <c r="I388" s="21">
        <f t="shared" si="154"/>
        <v>0</v>
      </c>
      <c r="J388" s="21">
        <f t="shared" si="154"/>
        <v>0</v>
      </c>
      <c r="K388" s="21">
        <f t="shared" si="154"/>
        <v>676692.24</v>
      </c>
      <c r="L388" s="23">
        <f t="shared" si="154"/>
        <v>0</v>
      </c>
      <c r="N388" s="24"/>
    </row>
    <row r="389" spans="1:14">
      <c r="A389" s="217"/>
      <c r="B389" s="184"/>
      <c r="C389" s="75" t="s">
        <v>51</v>
      </c>
      <c r="D389" s="51">
        <v>0</v>
      </c>
      <c r="E389" s="51">
        <v>852555.76</v>
      </c>
      <c r="F389" s="51">
        <f t="shared" ref="F389:F397" si="155">D389+E389</f>
        <v>852555.76</v>
      </c>
      <c r="G389" s="51">
        <v>0</v>
      </c>
      <c r="H389" s="51">
        <v>0</v>
      </c>
      <c r="I389" s="51"/>
      <c r="J389" s="51"/>
      <c r="K389" s="51">
        <f>F389</f>
        <v>852555.76</v>
      </c>
      <c r="L389" s="51">
        <v>0</v>
      </c>
      <c r="M389" s="52"/>
      <c r="N389" s="53"/>
    </row>
    <row r="390" spans="1:14">
      <c r="A390" s="217"/>
      <c r="B390" s="184"/>
      <c r="C390" s="75" t="s">
        <v>48</v>
      </c>
      <c r="D390" s="51">
        <v>0</v>
      </c>
      <c r="E390" s="51">
        <v>0</v>
      </c>
      <c r="F390" s="51">
        <f t="shared" si="155"/>
        <v>0</v>
      </c>
      <c r="G390" s="51">
        <v>0</v>
      </c>
      <c r="H390" s="51">
        <v>0</v>
      </c>
      <c r="I390" s="51"/>
      <c r="J390" s="51"/>
      <c r="K390" s="51">
        <f>F390</f>
        <v>0</v>
      </c>
      <c r="L390" s="51">
        <v>0</v>
      </c>
      <c r="M390" s="52"/>
      <c r="N390" s="53"/>
    </row>
    <row r="391" spans="1:14">
      <c r="A391" s="217"/>
      <c r="B391" s="184"/>
      <c r="C391" s="75" t="s">
        <v>26</v>
      </c>
      <c r="D391" s="51">
        <v>0</v>
      </c>
      <c r="E391" s="51">
        <f>E388+E390</f>
        <v>676692.24</v>
      </c>
      <c r="F391" s="51">
        <f t="shared" si="155"/>
        <v>676692.24</v>
      </c>
      <c r="G391" s="51">
        <v>0</v>
      </c>
      <c r="H391" s="51">
        <v>0</v>
      </c>
      <c r="I391" s="51"/>
      <c r="J391" s="51"/>
      <c r="K391" s="51">
        <f>F391</f>
        <v>676692.24</v>
      </c>
      <c r="L391" s="51">
        <v>0</v>
      </c>
      <c r="M391" s="52"/>
      <c r="N391" s="53"/>
    </row>
    <row r="392" spans="1:14">
      <c r="A392" s="218"/>
      <c r="B392" s="182" t="s">
        <v>28</v>
      </c>
      <c r="C392" s="20" t="s">
        <v>16</v>
      </c>
      <c r="D392" s="21">
        <v>0</v>
      </c>
      <c r="E392" s="22">
        <v>225564.08</v>
      </c>
      <c r="F392" s="21">
        <f t="shared" si="155"/>
        <v>225564.08</v>
      </c>
      <c r="G392" s="21">
        <v>0</v>
      </c>
      <c r="H392" s="22">
        <v>0</v>
      </c>
      <c r="I392" s="22">
        <v>0</v>
      </c>
      <c r="J392" s="30">
        <v>0</v>
      </c>
      <c r="K392" s="21">
        <f t="shared" ref="K392:K406" si="156">J392+I392+H392+G392+E392+D392</f>
        <v>225564.08</v>
      </c>
      <c r="L392" s="23">
        <v>0</v>
      </c>
      <c r="N392" s="24"/>
    </row>
    <row r="393" spans="1:14">
      <c r="A393" s="218"/>
      <c r="B393" s="183"/>
      <c r="C393" s="20" t="s">
        <v>17</v>
      </c>
      <c r="D393" s="21">
        <v>0</v>
      </c>
      <c r="E393" s="21">
        <v>283183.96000000002</v>
      </c>
      <c r="F393" s="21">
        <f t="shared" si="155"/>
        <v>283183.96000000002</v>
      </c>
      <c r="G393" s="21">
        <v>0</v>
      </c>
      <c r="H393" s="22">
        <v>0</v>
      </c>
      <c r="I393" s="22">
        <v>0</v>
      </c>
      <c r="J393" s="30">
        <v>0</v>
      </c>
      <c r="K393" s="21">
        <f t="shared" si="156"/>
        <v>283183.96000000002</v>
      </c>
      <c r="L393" s="23">
        <v>0</v>
      </c>
      <c r="N393" s="24"/>
    </row>
    <row r="394" spans="1:14">
      <c r="A394" s="218"/>
      <c r="B394" s="183"/>
      <c r="C394" s="25" t="s">
        <v>18</v>
      </c>
      <c r="D394" s="26">
        <v>0</v>
      </c>
      <c r="E394" s="26">
        <v>225564.08</v>
      </c>
      <c r="F394" s="21">
        <f t="shared" si="155"/>
        <v>225564.08</v>
      </c>
      <c r="G394" s="21">
        <v>0</v>
      </c>
      <c r="H394" s="22">
        <v>0</v>
      </c>
      <c r="I394" s="22">
        <v>0</v>
      </c>
      <c r="J394" s="22">
        <v>0</v>
      </c>
      <c r="K394" s="21">
        <f t="shared" si="156"/>
        <v>225564.08</v>
      </c>
      <c r="L394" s="23">
        <v>0</v>
      </c>
      <c r="N394" s="24"/>
    </row>
    <row r="395" spans="1:14">
      <c r="A395" s="218"/>
      <c r="B395" s="182" t="s">
        <v>29</v>
      </c>
      <c r="C395" s="20" t="s">
        <v>16</v>
      </c>
      <c r="D395" s="21">
        <v>0</v>
      </c>
      <c r="E395" s="22">
        <v>225564.08</v>
      </c>
      <c r="F395" s="21">
        <f t="shared" si="155"/>
        <v>225564.08</v>
      </c>
      <c r="G395" s="21">
        <v>0</v>
      </c>
      <c r="H395" s="22">
        <v>0</v>
      </c>
      <c r="I395" s="22">
        <v>0</v>
      </c>
      <c r="J395" s="22">
        <v>0</v>
      </c>
      <c r="K395" s="21">
        <f t="shared" si="156"/>
        <v>225564.08</v>
      </c>
      <c r="L395" s="23">
        <v>0</v>
      </c>
      <c r="N395" s="24"/>
    </row>
    <row r="396" spans="1:14">
      <c r="A396" s="218"/>
      <c r="B396" s="183"/>
      <c r="C396" s="20" t="s">
        <v>17</v>
      </c>
      <c r="D396" s="21">
        <v>0</v>
      </c>
      <c r="E396" s="21">
        <v>295199.48</v>
      </c>
      <c r="F396" s="21">
        <f t="shared" si="155"/>
        <v>295199.48</v>
      </c>
      <c r="G396" s="130">
        <v>0</v>
      </c>
      <c r="H396" s="22">
        <v>0</v>
      </c>
      <c r="I396" s="22">
        <v>0</v>
      </c>
      <c r="J396" s="22">
        <v>0</v>
      </c>
      <c r="K396" s="21">
        <f t="shared" si="156"/>
        <v>295199.48</v>
      </c>
      <c r="L396" s="131">
        <v>0</v>
      </c>
      <c r="N396" s="24"/>
    </row>
    <row r="397" spans="1:14">
      <c r="A397" s="218"/>
      <c r="B397" s="183"/>
      <c r="C397" s="25" t="s">
        <v>18</v>
      </c>
      <c r="D397" s="26">
        <v>0</v>
      </c>
      <c r="E397" s="26">
        <v>225564.08</v>
      </c>
      <c r="F397" s="21">
        <f t="shared" si="155"/>
        <v>225564.08</v>
      </c>
      <c r="G397" s="21">
        <v>0</v>
      </c>
      <c r="H397" s="22">
        <v>0</v>
      </c>
      <c r="I397" s="22">
        <v>0</v>
      </c>
      <c r="J397" s="22">
        <v>0</v>
      </c>
      <c r="K397" s="21">
        <f t="shared" si="156"/>
        <v>225564.08</v>
      </c>
      <c r="L397" s="23">
        <v>0</v>
      </c>
      <c r="N397" s="24"/>
    </row>
    <row r="398" spans="1:14">
      <c r="A398" s="218"/>
      <c r="B398" s="179" t="s">
        <v>30</v>
      </c>
      <c r="C398" s="37" t="s">
        <v>16</v>
      </c>
      <c r="D398" s="26">
        <v>0</v>
      </c>
      <c r="E398" s="22">
        <v>225564.08</v>
      </c>
      <c r="F398" s="26">
        <f>SUM(D398:E398)</f>
        <v>225564.08</v>
      </c>
      <c r="G398" s="26">
        <v>0</v>
      </c>
      <c r="H398" s="26">
        <v>0</v>
      </c>
      <c r="I398" s="26">
        <v>0</v>
      </c>
      <c r="J398" s="26">
        <v>0</v>
      </c>
      <c r="K398" s="26">
        <f t="shared" si="156"/>
        <v>225564.08</v>
      </c>
      <c r="L398" s="28">
        <v>0</v>
      </c>
      <c r="N398" s="24"/>
    </row>
    <row r="399" spans="1:14">
      <c r="A399" s="218"/>
      <c r="B399" s="178"/>
      <c r="C399" s="37" t="s">
        <v>17</v>
      </c>
      <c r="D399" s="26">
        <v>0</v>
      </c>
      <c r="E399" s="26">
        <v>285641.68</v>
      </c>
      <c r="F399" s="26">
        <f>SUM(D399:E399)</f>
        <v>285641.68</v>
      </c>
      <c r="G399" s="26">
        <v>0</v>
      </c>
      <c r="H399" s="26">
        <v>0</v>
      </c>
      <c r="I399" s="26">
        <v>0</v>
      </c>
      <c r="J399" s="26">
        <v>0</v>
      </c>
      <c r="K399" s="26">
        <f t="shared" si="156"/>
        <v>285641.68</v>
      </c>
      <c r="L399" s="28">
        <v>0</v>
      </c>
      <c r="N399" s="24"/>
    </row>
    <row r="400" spans="1:14">
      <c r="A400" s="218"/>
      <c r="B400" s="178"/>
      <c r="C400" s="25" t="s">
        <v>18</v>
      </c>
      <c r="D400" s="26">
        <v>0</v>
      </c>
      <c r="E400" s="26">
        <v>225564.08</v>
      </c>
      <c r="F400" s="26">
        <f>SUM(D400:E400)</f>
        <v>225564.08</v>
      </c>
      <c r="G400" s="26">
        <v>0</v>
      </c>
      <c r="H400" s="26">
        <v>0</v>
      </c>
      <c r="I400" s="39">
        <v>0</v>
      </c>
      <c r="J400" s="39">
        <v>0</v>
      </c>
      <c r="K400" s="26">
        <f t="shared" si="156"/>
        <v>225564.08</v>
      </c>
      <c r="L400" s="28">
        <v>0</v>
      </c>
      <c r="N400" s="24"/>
    </row>
    <row r="401" spans="1:14">
      <c r="A401" s="218"/>
      <c r="B401" s="184" t="s">
        <v>31</v>
      </c>
      <c r="C401" s="20" t="s">
        <v>16</v>
      </c>
      <c r="D401" s="21">
        <f t="shared" ref="D401:J401" si="157">D398+D395+D392</f>
        <v>0</v>
      </c>
      <c r="E401" s="21">
        <f t="shared" si="157"/>
        <v>676692.24</v>
      </c>
      <c r="F401" s="21">
        <f t="shared" si="157"/>
        <v>676692.24</v>
      </c>
      <c r="G401" s="21">
        <f t="shared" si="157"/>
        <v>0</v>
      </c>
      <c r="H401" s="21">
        <f t="shared" si="157"/>
        <v>0</v>
      </c>
      <c r="I401" s="21">
        <f t="shared" si="157"/>
        <v>0</v>
      </c>
      <c r="J401" s="21">
        <f t="shared" si="157"/>
        <v>0</v>
      </c>
      <c r="K401" s="21">
        <f t="shared" si="156"/>
        <v>676692.24</v>
      </c>
      <c r="L401" s="23">
        <f>L398+L395+L392</f>
        <v>0</v>
      </c>
      <c r="N401" s="24"/>
    </row>
    <row r="402" spans="1:14">
      <c r="A402" s="218"/>
      <c r="B402" s="184"/>
      <c r="C402" s="20" t="s">
        <v>17</v>
      </c>
      <c r="D402" s="21">
        <f>D399+D396+D393</f>
        <v>0</v>
      </c>
      <c r="E402" s="21">
        <f>E399+E396+E393</f>
        <v>864025.11999999988</v>
      </c>
      <c r="F402" s="21">
        <f>D402+E402</f>
        <v>864025.11999999988</v>
      </c>
      <c r="G402" s="21">
        <f>G399+G396+G393</f>
        <v>0</v>
      </c>
      <c r="H402" s="21">
        <v>0</v>
      </c>
      <c r="I402" s="21">
        <f>I399+I396+I393</f>
        <v>0</v>
      </c>
      <c r="J402" s="21">
        <f>J399+J396+J393</f>
        <v>0</v>
      </c>
      <c r="K402" s="21">
        <f t="shared" si="156"/>
        <v>864025.11999999988</v>
      </c>
      <c r="L402" s="23">
        <f>L399+L396+L393</f>
        <v>0</v>
      </c>
      <c r="N402" s="24"/>
    </row>
    <row r="403" spans="1:14">
      <c r="A403" s="218"/>
      <c r="B403" s="184"/>
      <c r="C403" s="25" t="s">
        <v>18</v>
      </c>
      <c r="D403" s="26">
        <f>D400+D397+D394</f>
        <v>0</v>
      </c>
      <c r="E403" s="26">
        <f>E400+E397+E394</f>
        <v>676692.24</v>
      </c>
      <c r="F403" s="26">
        <f>D403+E403</f>
        <v>676692.24</v>
      </c>
      <c r="G403" s="26">
        <f>G400+G397+G394</f>
        <v>0</v>
      </c>
      <c r="H403" s="26">
        <f>H400+H397+H394</f>
        <v>0</v>
      </c>
      <c r="I403" s="33">
        <f>I400+I397+I394</f>
        <v>0</v>
      </c>
      <c r="J403" s="33">
        <f>J400+J397+J394</f>
        <v>0</v>
      </c>
      <c r="K403" s="21">
        <f t="shared" si="156"/>
        <v>676692.24</v>
      </c>
      <c r="L403" s="23">
        <f>L400+L397+L394</f>
        <v>0</v>
      </c>
      <c r="N403" s="24"/>
    </row>
    <row r="404" spans="1:14">
      <c r="A404" s="218"/>
      <c r="B404" s="180" t="s">
        <v>32</v>
      </c>
      <c r="C404" s="20" t="s">
        <v>16</v>
      </c>
      <c r="D404" s="21">
        <f>D386+D401</f>
        <v>0</v>
      </c>
      <c r="E404" s="21">
        <f>E386+E401</f>
        <v>1353384.48</v>
      </c>
      <c r="F404" s="21">
        <f>D404+E404</f>
        <v>1353384.48</v>
      </c>
      <c r="G404" s="21">
        <f>G386+G401</f>
        <v>0</v>
      </c>
      <c r="H404" s="21">
        <f>H386+H401</f>
        <v>0</v>
      </c>
      <c r="I404" s="21">
        <f>I386+I401</f>
        <v>0</v>
      </c>
      <c r="J404" s="21">
        <f>J386+J401</f>
        <v>0</v>
      </c>
      <c r="K404" s="21">
        <f t="shared" si="156"/>
        <v>1353384.48</v>
      </c>
      <c r="L404" s="23">
        <f>L386+L401</f>
        <v>0</v>
      </c>
      <c r="N404" s="24"/>
    </row>
    <row r="405" spans="1:14">
      <c r="A405" s="218"/>
      <c r="B405" s="181"/>
      <c r="C405" s="20" t="s">
        <v>17</v>
      </c>
      <c r="D405" s="21">
        <f>D387+D402</f>
        <v>0</v>
      </c>
      <c r="E405" s="21">
        <f>E389+E402</f>
        <v>1716580.88</v>
      </c>
      <c r="F405" s="21">
        <f>D405+E405</f>
        <v>1716580.88</v>
      </c>
      <c r="G405" s="21">
        <f t="shared" ref="G405:J406" si="158">G402+G387</f>
        <v>0</v>
      </c>
      <c r="H405" s="21">
        <f t="shared" si="158"/>
        <v>0</v>
      </c>
      <c r="I405" s="21">
        <f t="shared" si="158"/>
        <v>0</v>
      </c>
      <c r="J405" s="21">
        <f t="shared" si="158"/>
        <v>0</v>
      </c>
      <c r="K405" s="21">
        <f t="shared" si="156"/>
        <v>1716580.88</v>
      </c>
      <c r="L405" s="23">
        <f>L402+L387</f>
        <v>0</v>
      </c>
      <c r="N405" s="24"/>
    </row>
    <row r="406" spans="1:14">
      <c r="A406" s="218"/>
      <c r="B406" s="181"/>
      <c r="C406" s="25" t="s">
        <v>18</v>
      </c>
      <c r="D406" s="26">
        <f>D388+D403</f>
        <v>0</v>
      </c>
      <c r="E406" s="26">
        <f>E388+E403</f>
        <v>1353384.48</v>
      </c>
      <c r="F406" s="26">
        <f>D406+E406</f>
        <v>1353384.48</v>
      </c>
      <c r="G406" s="26">
        <f t="shared" si="158"/>
        <v>0</v>
      </c>
      <c r="H406" s="26">
        <f t="shared" si="158"/>
        <v>0</v>
      </c>
      <c r="I406" s="33">
        <f t="shared" si="158"/>
        <v>0</v>
      </c>
      <c r="J406" s="33">
        <f t="shared" si="158"/>
        <v>0</v>
      </c>
      <c r="K406" s="21">
        <f t="shared" si="156"/>
        <v>1353384.48</v>
      </c>
      <c r="L406" s="23">
        <f>L403+L388</f>
        <v>0</v>
      </c>
      <c r="N406" s="24"/>
    </row>
    <row r="407" spans="1:14">
      <c r="A407" s="218"/>
      <c r="B407" s="178"/>
      <c r="C407" s="75" t="s">
        <v>51</v>
      </c>
      <c r="D407" s="51">
        <v>0</v>
      </c>
      <c r="E407" s="51">
        <f>E389+864025.12</f>
        <v>1716580.88</v>
      </c>
      <c r="F407" s="51">
        <f t="shared" ref="F407:K407" si="159">F389+864025.12</f>
        <v>1716580.88</v>
      </c>
      <c r="G407" s="51">
        <v>0</v>
      </c>
      <c r="H407" s="51">
        <v>0</v>
      </c>
      <c r="I407" s="51">
        <f t="shared" si="159"/>
        <v>864025.12</v>
      </c>
      <c r="J407" s="51">
        <f t="shared" si="159"/>
        <v>864025.12</v>
      </c>
      <c r="K407" s="51">
        <f t="shared" si="159"/>
        <v>1716580.88</v>
      </c>
      <c r="L407" s="51">
        <v>0</v>
      </c>
      <c r="M407" s="52"/>
      <c r="N407" s="53"/>
    </row>
    <row r="408" spans="1:14">
      <c r="A408" s="218"/>
      <c r="B408" s="178"/>
      <c r="C408" s="75" t="s">
        <v>48</v>
      </c>
      <c r="D408" s="51">
        <v>0</v>
      </c>
      <c r="E408" s="51">
        <v>0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2"/>
      <c r="N408" s="53"/>
    </row>
    <row r="409" spans="1:14">
      <c r="A409" s="218"/>
      <c r="B409" s="178"/>
      <c r="C409" s="75" t="s">
        <v>26</v>
      </c>
      <c r="D409" s="51">
        <v>0</v>
      </c>
      <c r="E409" s="51">
        <f t="shared" ref="E409:L409" si="160">E408+E406</f>
        <v>1353384.48</v>
      </c>
      <c r="F409" s="51">
        <f t="shared" si="160"/>
        <v>1353384.48</v>
      </c>
      <c r="G409" s="51">
        <f t="shared" si="160"/>
        <v>0</v>
      </c>
      <c r="H409" s="51">
        <f t="shared" si="160"/>
        <v>0</v>
      </c>
      <c r="I409" s="51">
        <f t="shared" si="160"/>
        <v>0</v>
      </c>
      <c r="J409" s="51">
        <f t="shared" si="160"/>
        <v>0</v>
      </c>
      <c r="K409" s="51">
        <f t="shared" si="160"/>
        <v>1353384.48</v>
      </c>
      <c r="L409" s="51">
        <f t="shared" si="160"/>
        <v>0</v>
      </c>
      <c r="M409" s="52"/>
      <c r="N409" s="53"/>
    </row>
    <row r="410" spans="1:14">
      <c r="A410" s="218"/>
      <c r="B410" s="171" t="s">
        <v>33</v>
      </c>
      <c r="C410" s="20" t="s">
        <v>16</v>
      </c>
      <c r="D410" s="21">
        <v>0</v>
      </c>
      <c r="E410" s="21">
        <v>254783.64</v>
      </c>
      <c r="F410" s="21">
        <f t="shared" ref="F410:F418" si="161">SUM(D410:E410)</f>
        <v>254783.64</v>
      </c>
      <c r="G410" s="21">
        <v>0</v>
      </c>
      <c r="H410" s="49">
        <v>0</v>
      </c>
      <c r="I410" s="49">
        <v>0</v>
      </c>
      <c r="J410" s="49">
        <v>0</v>
      </c>
      <c r="K410" s="21">
        <f>D410+E410+G410+H410+I410+J410</f>
        <v>254783.64</v>
      </c>
      <c r="L410" s="23">
        <v>0</v>
      </c>
      <c r="N410" s="24"/>
    </row>
    <row r="411" spans="1:14">
      <c r="A411" s="218"/>
      <c r="B411" s="172"/>
      <c r="C411" s="20" t="s">
        <v>17</v>
      </c>
      <c r="D411" s="21">
        <v>0</v>
      </c>
      <c r="E411" s="21">
        <v>290010.96000000002</v>
      </c>
      <c r="F411" s="21">
        <f t="shared" si="161"/>
        <v>290010.96000000002</v>
      </c>
      <c r="G411" s="21">
        <v>0</v>
      </c>
      <c r="H411" s="49">
        <v>0</v>
      </c>
      <c r="I411" s="49">
        <v>0</v>
      </c>
      <c r="J411" s="49">
        <v>0</v>
      </c>
      <c r="K411" s="21">
        <f>D411+E411+G411+H411+I411+J411</f>
        <v>290010.96000000002</v>
      </c>
      <c r="L411" s="23">
        <v>0</v>
      </c>
      <c r="N411" s="24"/>
    </row>
    <row r="412" spans="1:14">
      <c r="A412" s="218"/>
      <c r="B412" s="172"/>
      <c r="C412" s="20" t="s">
        <v>18</v>
      </c>
      <c r="D412" s="21">
        <v>0</v>
      </c>
      <c r="E412" s="21">
        <v>254783.64</v>
      </c>
      <c r="F412" s="21">
        <f t="shared" si="161"/>
        <v>254783.64</v>
      </c>
      <c r="G412" s="21">
        <v>0</v>
      </c>
      <c r="H412" s="49">
        <v>0</v>
      </c>
      <c r="I412" s="49">
        <v>0</v>
      </c>
      <c r="J412" s="49">
        <v>0</v>
      </c>
      <c r="K412" s="21">
        <f>D412+E412+G412+H412+I412+J412</f>
        <v>254783.64</v>
      </c>
      <c r="L412" s="23">
        <v>0</v>
      </c>
      <c r="N412" s="24"/>
    </row>
    <row r="413" spans="1:14">
      <c r="A413" s="218"/>
      <c r="B413" s="171" t="s">
        <v>34</v>
      </c>
      <c r="C413" s="20" t="s">
        <v>16</v>
      </c>
      <c r="D413" s="21">
        <v>0</v>
      </c>
      <c r="E413" s="21">
        <v>254783.64</v>
      </c>
      <c r="F413" s="21">
        <f t="shared" si="161"/>
        <v>254783.64</v>
      </c>
      <c r="G413" s="21">
        <v>0</v>
      </c>
      <c r="H413" s="49">
        <v>0</v>
      </c>
      <c r="I413" s="49">
        <v>0</v>
      </c>
      <c r="J413" s="49">
        <v>0</v>
      </c>
      <c r="K413" s="21">
        <f t="shared" ref="K413:K418" si="162">J413+I413+H413+G413+E413+D413</f>
        <v>254783.64</v>
      </c>
      <c r="L413" s="23">
        <v>0</v>
      </c>
      <c r="N413" s="24"/>
    </row>
    <row r="414" spans="1:14">
      <c r="A414" s="218"/>
      <c r="B414" s="172"/>
      <c r="C414" s="20" t="s">
        <v>17</v>
      </c>
      <c r="D414" s="21">
        <v>0</v>
      </c>
      <c r="E414" s="21">
        <v>293561</v>
      </c>
      <c r="F414" s="21">
        <f t="shared" si="161"/>
        <v>293561</v>
      </c>
      <c r="G414" s="21">
        <v>0</v>
      </c>
      <c r="H414" s="49">
        <v>0</v>
      </c>
      <c r="I414" s="49">
        <v>0</v>
      </c>
      <c r="J414" s="49">
        <v>0</v>
      </c>
      <c r="K414" s="21">
        <f t="shared" si="162"/>
        <v>293561</v>
      </c>
      <c r="L414" s="23">
        <v>0</v>
      </c>
      <c r="N414" s="24"/>
    </row>
    <row r="415" spans="1:14">
      <c r="A415" s="218"/>
      <c r="B415" s="172"/>
      <c r="C415" s="20" t="s">
        <v>18</v>
      </c>
      <c r="D415" s="21">
        <v>0</v>
      </c>
      <c r="E415" s="21">
        <v>254783.64</v>
      </c>
      <c r="F415" s="21">
        <f t="shared" si="161"/>
        <v>254783.64</v>
      </c>
      <c r="G415" s="21">
        <v>0</v>
      </c>
      <c r="H415" s="49">
        <v>0</v>
      </c>
      <c r="I415" s="49">
        <v>0</v>
      </c>
      <c r="J415" s="49">
        <v>0</v>
      </c>
      <c r="K415" s="21">
        <f t="shared" si="162"/>
        <v>254783.64</v>
      </c>
      <c r="L415" s="23">
        <v>0</v>
      </c>
      <c r="N415" s="24"/>
    </row>
    <row r="416" spans="1:14">
      <c r="A416" s="218"/>
      <c r="B416" s="171" t="s">
        <v>35</v>
      </c>
      <c r="C416" s="20" t="s">
        <v>16</v>
      </c>
      <c r="D416" s="21">
        <v>0</v>
      </c>
      <c r="E416" s="21">
        <v>254783.64</v>
      </c>
      <c r="F416" s="21">
        <f t="shared" si="161"/>
        <v>254783.64</v>
      </c>
      <c r="G416" s="21">
        <v>0</v>
      </c>
      <c r="H416" s="49">
        <v>0</v>
      </c>
      <c r="I416" s="49">
        <v>0</v>
      </c>
      <c r="J416" s="49">
        <v>0</v>
      </c>
      <c r="K416" s="21">
        <f t="shared" si="162"/>
        <v>254783.64</v>
      </c>
      <c r="L416" s="23">
        <v>0</v>
      </c>
      <c r="N416" s="24"/>
    </row>
    <row r="417" spans="1:14">
      <c r="A417" s="218"/>
      <c r="B417" s="172"/>
      <c r="C417" s="20" t="s">
        <v>17</v>
      </c>
      <c r="D417" s="21">
        <v>0</v>
      </c>
      <c r="E417" s="21">
        <v>285641.68</v>
      </c>
      <c r="F417" s="21">
        <f t="shared" si="161"/>
        <v>285641.68</v>
      </c>
      <c r="G417" s="21">
        <v>0</v>
      </c>
      <c r="H417" s="49">
        <v>0</v>
      </c>
      <c r="I417" s="49">
        <v>0</v>
      </c>
      <c r="J417" s="49">
        <v>0</v>
      </c>
      <c r="K417" s="21">
        <f t="shared" si="162"/>
        <v>285641.68</v>
      </c>
      <c r="L417" s="23">
        <v>0</v>
      </c>
      <c r="N417" s="24"/>
    </row>
    <row r="418" spans="1:14">
      <c r="A418" s="218"/>
      <c r="B418" s="172"/>
      <c r="C418" s="20" t="s">
        <v>18</v>
      </c>
      <c r="D418" s="21">
        <v>0</v>
      </c>
      <c r="E418" s="21">
        <v>254783.64</v>
      </c>
      <c r="F418" s="21">
        <f t="shared" si="161"/>
        <v>254783.64</v>
      </c>
      <c r="G418" s="21">
        <v>0</v>
      </c>
      <c r="H418" s="49">
        <v>0</v>
      </c>
      <c r="I418" s="49">
        <v>0</v>
      </c>
      <c r="J418" s="49">
        <v>0</v>
      </c>
      <c r="K418" s="21">
        <f t="shared" si="162"/>
        <v>254783.64</v>
      </c>
      <c r="L418" s="23">
        <v>0</v>
      </c>
      <c r="N418" s="24"/>
    </row>
    <row r="419" spans="1:14">
      <c r="A419" s="218"/>
      <c r="B419" s="171" t="s">
        <v>36</v>
      </c>
      <c r="C419" s="20" t="s">
        <v>16</v>
      </c>
      <c r="D419" s="21">
        <f t="shared" ref="D419:L419" si="163">D410+D413+D416</f>
        <v>0</v>
      </c>
      <c r="E419" s="21">
        <f t="shared" si="163"/>
        <v>764350.92</v>
      </c>
      <c r="F419" s="21">
        <f t="shared" si="163"/>
        <v>764350.92</v>
      </c>
      <c r="G419" s="21">
        <f t="shared" si="163"/>
        <v>0</v>
      </c>
      <c r="H419" s="21">
        <f t="shared" si="163"/>
        <v>0</v>
      </c>
      <c r="I419" s="21">
        <f t="shared" si="163"/>
        <v>0</v>
      </c>
      <c r="J419" s="21">
        <f t="shared" si="163"/>
        <v>0</v>
      </c>
      <c r="K419" s="21">
        <f t="shared" si="163"/>
        <v>764350.92</v>
      </c>
      <c r="L419" s="21">
        <f t="shared" si="163"/>
        <v>0</v>
      </c>
      <c r="N419" s="24"/>
    </row>
    <row r="420" spans="1:14">
      <c r="A420" s="218"/>
      <c r="B420" s="172"/>
      <c r="C420" s="20" t="s">
        <v>17</v>
      </c>
      <c r="D420" s="21">
        <f t="shared" ref="D420:L420" si="164">D411+D414+D417</f>
        <v>0</v>
      </c>
      <c r="E420" s="21">
        <f t="shared" si="164"/>
        <v>869213.6399999999</v>
      </c>
      <c r="F420" s="21">
        <f t="shared" si="164"/>
        <v>869213.6399999999</v>
      </c>
      <c r="G420" s="21">
        <f t="shared" si="164"/>
        <v>0</v>
      </c>
      <c r="H420" s="21">
        <f t="shared" si="164"/>
        <v>0</v>
      </c>
      <c r="I420" s="21">
        <f t="shared" si="164"/>
        <v>0</v>
      </c>
      <c r="J420" s="21">
        <f t="shared" si="164"/>
        <v>0</v>
      </c>
      <c r="K420" s="21">
        <f t="shared" si="164"/>
        <v>869213.6399999999</v>
      </c>
      <c r="L420" s="21">
        <f t="shared" si="164"/>
        <v>0</v>
      </c>
      <c r="N420" s="24"/>
    </row>
    <row r="421" spans="1:14">
      <c r="A421" s="218"/>
      <c r="B421" s="172"/>
      <c r="C421" s="20" t="s">
        <v>18</v>
      </c>
      <c r="D421" s="21">
        <f t="shared" ref="D421:L421" si="165">D412+D415+D418</f>
        <v>0</v>
      </c>
      <c r="E421" s="21">
        <f t="shared" si="165"/>
        <v>764350.92</v>
      </c>
      <c r="F421" s="21">
        <f t="shared" si="165"/>
        <v>764350.92</v>
      </c>
      <c r="G421" s="21">
        <f t="shared" si="165"/>
        <v>0</v>
      </c>
      <c r="H421" s="21">
        <f t="shared" si="165"/>
        <v>0</v>
      </c>
      <c r="I421" s="21">
        <f t="shared" si="165"/>
        <v>0</v>
      </c>
      <c r="J421" s="21">
        <f t="shared" si="165"/>
        <v>0</v>
      </c>
      <c r="K421" s="21">
        <f t="shared" si="165"/>
        <v>764350.92</v>
      </c>
      <c r="L421" s="21">
        <f t="shared" si="165"/>
        <v>0</v>
      </c>
      <c r="N421" s="24"/>
    </row>
    <row r="422" spans="1:14">
      <c r="A422" s="218"/>
      <c r="B422" s="172"/>
      <c r="C422" s="20" t="s">
        <v>37</v>
      </c>
      <c r="D422" s="21">
        <v>0</v>
      </c>
      <c r="E422" s="21">
        <f t="shared" ref="E422:K422" si="166">E415+E418+E412</f>
        <v>764350.92</v>
      </c>
      <c r="F422" s="21">
        <f t="shared" si="166"/>
        <v>764350.92</v>
      </c>
      <c r="G422" s="21">
        <f t="shared" si="166"/>
        <v>0</v>
      </c>
      <c r="H422" s="21">
        <f t="shared" si="166"/>
        <v>0</v>
      </c>
      <c r="I422" s="21">
        <f t="shared" si="166"/>
        <v>0</v>
      </c>
      <c r="J422" s="21">
        <f t="shared" si="166"/>
        <v>0</v>
      </c>
      <c r="K422" s="21">
        <f t="shared" si="166"/>
        <v>764350.92</v>
      </c>
      <c r="L422" s="23">
        <v>0</v>
      </c>
      <c r="N422" s="24"/>
    </row>
    <row r="423" spans="1:14">
      <c r="A423" s="218"/>
      <c r="B423" s="171" t="s">
        <v>38</v>
      </c>
      <c r="C423" s="20" t="s">
        <v>16</v>
      </c>
      <c r="D423" s="21">
        <v>0</v>
      </c>
      <c r="E423" s="21">
        <v>254783.64</v>
      </c>
      <c r="F423" s="21">
        <f t="shared" ref="F423:F431" si="167">SUM(D423:E423)</f>
        <v>254783.64</v>
      </c>
      <c r="G423" s="21">
        <v>0</v>
      </c>
      <c r="H423" s="49">
        <v>0</v>
      </c>
      <c r="I423" s="49">
        <v>0</v>
      </c>
      <c r="J423" s="49">
        <v>0</v>
      </c>
      <c r="K423" s="21">
        <f t="shared" ref="K423:K431" si="168">D423+E423+G423+H423+I423+J423</f>
        <v>254783.64</v>
      </c>
      <c r="L423" s="23">
        <v>0</v>
      </c>
      <c r="N423" s="24"/>
    </row>
    <row r="424" spans="1:14">
      <c r="A424" s="218"/>
      <c r="B424" s="172"/>
      <c r="C424" s="20" t="s">
        <v>17</v>
      </c>
      <c r="D424" s="21">
        <v>0</v>
      </c>
      <c r="E424" s="21">
        <v>294926.40000000002</v>
      </c>
      <c r="F424" s="21">
        <f t="shared" si="167"/>
        <v>294926.40000000002</v>
      </c>
      <c r="G424" s="21">
        <v>0</v>
      </c>
      <c r="H424" s="49">
        <v>0</v>
      </c>
      <c r="I424" s="49">
        <v>0</v>
      </c>
      <c r="J424" s="49">
        <v>0</v>
      </c>
      <c r="K424" s="21">
        <f t="shared" si="168"/>
        <v>294926.40000000002</v>
      </c>
      <c r="L424" s="23">
        <v>0</v>
      </c>
      <c r="N424" s="24"/>
    </row>
    <row r="425" spans="1:14">
      <c r="A425" s="218"/>
      <c r="B425" s="172"/>
      <c r="C425" s="20" t="s">
        <v>18</v>
      </c>
      <c r="D425" s="21">
        <v>0</v>
      </c>
      <c r="E425" s="21">
        <v>254783.64</v>
      </c>
      <c r="F425" s="21">
        <f t="shared" si="167"/>
        <v>254783.64</v>
      </c>
      <c r="G425" s="21">
        <v>0</v>
      </c>
      <c r="H425" s="49">
        <v>0</v>
      </c>
      <c r="I425" s="49">
        <v>0</v>
      </c>
      <c r="J425" s="49">
        <v>0</v>
      </c>
      <c r="K425" s="21">
        <f t="shared" si="168"/>
        <v>254783.64</v>
      </c>
      <c r="L425" s="23">
        <v>0</v>
      </c>
      <c r="N425" s="24"/>
    </row>
    <row r="426" spans="1:14">
      <c r="A426" s="218"/>
      <c r="B426" s="171" t="s">
        <v>39</v>
      </c>
      <c r="C426" s="20" t="s">
        <v>16</v>
      </c>
      <c r="D426" s="21">
        <v>0</v>
      </c>
      <c r="E426" s="21">
        <v>254783.64</v>
      </c>
      <c r="F426" s="21">
        <f t="shared" si="167"/>
        <v>254783.64</v>
      </c>
      <c r="G426" s="21">
        <v>0</v>
      </c>
      <c r="H426" s="49">
        <v>0</v>
      </c>
      <c r="I426" s="49">
        <v>0</v>
      </c>
      <c r="J426" s="49">
        <v>0</v>
      </c>
      <c r="K426" s="21">
        <f t="shared" si="168"/>
        <v>254783.64</v>
      </c>
      <c r="L426" s="23">
        <v>0</v>
      </c>
      <c r="N426" s="24"/>
    </row>
    <row r="427" spans="1:14">
      <c r="A427" s="218"/>
      <c r="B427" s="172"/>
      <c r="C427" s="20" t="s">
        <v>17</v>
      </c>
      <c r="D427" s="21">
        <v>0</v>
      </c>
      <c r="E427" s="21">
        <v>285914.76</v>
      </c>
      <c r="F427" s="21">
        <f t="shared" si="167"/>
        <v>285914.76</v>
      </c>
      <c r="G427" s="21">
        <v>0</v>
      </c>
      <c r="H427" s="49">
        <v>0</v>
      </c>
      <c r="I427" s="49">
        <v>0</v>
      </c>
      <c r="J427" s="49">
        <v>0</v>
      </c>
      <c r="K427" s="21">
        <f t="shared" si="168"/>
        <v>285914.76</v>
      </c>
      <c r="L427" s="23">
        <v>0</v>
      </c>
      <c r="N427" s="24"/>
    </row>
    <row r="428" spans="1:14">
      <c r="A428" s="218"/>
      <c r="B428" s="172"/>
      <c r="C428" s="20" t="s">
        <v>18</v>
      </c>
      <c r="D428" s="21">
        <v>0</v>
      </c>
      <c r="E428" s="21">
        <v>254783.64</v>
      </c>
      <c r="F428" s="21">
        <f t="shared" si="167"/>
        <v>254783.64</v>
      </c>
      <c r="G428" s="21">
        <v>0</v>
      </c>
      <c r="H428" s="49">
        <v>0</v>
      </c>
      <c r="I428" s="49">
        <v>0</v>
      </c>
      <c r="J428" s="49">
        <v>0</v>
      </c>
      <c r="K428" s="21">
        <f t="shared" si="168"/>
        <v>254783.64</v>
      </c>
      <c r="L428" s="23">
        <v>0</v>
      </c>
      <c r="N428" s="24"/>
    </row>
    <row r="429" spans="1:14">
      <c r="A429" s="218"/>
      <c r="B429" s="171" t="s">
        <v>43</v>
      </c>
      <c r="C429" s="20" t="s">
        <v>16</v>
      </c>
      <c r="D429" s="21">
        <v>0</v>
      </c>
      <c r="E429" s="21">
        <f>7373.16+247410.48</f>
        <v>254783.64</v>
      </c>
      <c r="F429" s="21">
        <f t="shared" si="167"/>
        <v>254783.64</v>
      </c>
      <c r="G429" s="21">
        <v>0</v>
      </c>
      <c r="H429" s="49">
        <v>0</v>
      </c>
      <c r="I429" s="49">
        <v>0</v>
      </c>
      <c r="J429" s="49">
        <v>0</v>
      </c>
      <c r="K429" s="21">
        <f t="shared" si="168"/>
        <v>254783.64</v>
      </c>
      <c r="L429" s="23">
        <v>0</v>
      </c>
      <c r="N429" s="24"/>
    </row>
    <row r="430" spans="1:14">
      <c r="A430" s="218"/>
      <c r="B430" s="172"/>
      <c r="C430" s="20" t="s">
        <v>17</v>
      </c>
      <c r="D430" s="21">
        <v>0</v>
      </c>
      <c r="E430" s="21">
        <v>294380.24</v>
      </c>
      <c r="F430" s="21">
        <f t="shared" si="167"/>
        <v>294380.24</v>
      </c>
      <c r="G430" s="21">
        <v>0</v>
      </c>
      <c r="H430" s="49">
        <v>0</v>
      </c>
      <c r="I430" s="49">
        <v>0</v>
      </c>
      <c r="J430" s="49">
        <v>0</v>
      </c>
      <c r="K430" s="21">
        <f t="shared" si="168"/>
        <v>294380.24</v>
      </c>
      <c r="L430" s="23">
        <v>0</v>
      </c>
      <c r="N430" s="24"/>
    </row>
    <row r="431" spans="1:14">
      <c r="A431" s="218"/>
      <c r="B431" s="172"/>
      <c r="C431" s="20" t="s">
        <v>18</v>
      </c>
      <c r="D431" s="21">
        <v>0</v>
      </c>
      <c r="E431" s="21">
        <v>254783.64</v>
      </c>
      <c r="F431" s="21">
        <f t="shared" si="167"/>
        <v>254783.64</v>
      </c>
      <c r="G431" s="21">
        <v>0</v>
      </c>
      <c r="H431" s="49">
        <v>0</v>
      </c>
      <c r="I431" s="49">
        <v>0</v>
      </c>
      <c r="J431" s="49">
        <v>0</v>
      </c>
      <c r="K431" s="21">
        <f t="shared" si="168"/>
        <v>254783.64</v>
      </c>
      <c r="L431" s="23">
        <v>0</v>
      </c>
      <c r="N431" s="24"/>
    </row>
    <row r="432" spans="1:14">
      <c r="A432" s="218"/>
      <c r="B432" s="187" t="s">
        <v>44</v>
      </c>
      <c r="C432" s="20" t="s">
        <v>16</v>
      </c>
      <c r="D432" s="21">
        <f t="shared" ref="D432:L432" si="169">D423+D426+D429</f>
        <v>0</v>
      </c>
      <c r="E432" s="21">
        <f t="shared" si="169"/>
        <v>764350.92</v>
      </c>
      <c r="F432" s="21">
        <f t="shared" si="169"/>
        <v>764350.92</v>
      </c>
      <c r="G432" s="21">
        <f t="shared" si="169"/>
        <v>0</v>
      </c>
      <c r="H432" s="21">
        <f t="shared" si="169"/>
        <v>0</v>
      </c>
      <c r="I432" s="21">
        <f t="shared" si="169"/>
        <v>0</v>
      </c>
      <c r="J432" s="21">
        <f t="shared" si="169"/>
        <v>0</v>
      </c>
      <c r="K432" s="21">
        <f t="shared" si="169"/>
        <v>764350.92</v>
      </c>
      <c r="L432" s="23">
        <f t="shared" si="169"/>
        <v>0</v>
      </c>
      <c r="N432" s="24"/>
    </row>
    <row r="433" spans="1:14">
      <c r="A433" s="218"/>
      <c r="B433" s="188"/>
      <c r="C433" s="20" t="s">
        <v>17</v>
      </c>
      <c r="D433" s="21">
        <f t="shared" ref="D433:L433" si="170">D424+D427+D430</f>
        <v>0</v>
      </c>
      <c r="E433" s="21">
        <f t="shared" si="170"/>
        <v>875221.4</v>
      </c>
      <c r="F433" s="21">
        <f t="shared" si="170"/>
        <v>875221.4</v>
      </c>
      <c r="G433" s="21">
        <f t="shared" si="170"/>
        <v>0</v>
      </c>
      <c r="H433" s="21">
        <f t="shared" si="170"/>
        <v>0</v>
      </c>
      <c r="I433" s="21">
        <f t="shared" si="170"/>
        <v>0</v>
      </c>
      <c r="J433" s="21">
        <f t="shared" si="170"/>
        <v>0</v>
      </c>
      <c r="K433" s="21">
        <f t="shared" si="170"/>
        <v>875221.4</v>
      </c>
      <c r="L433" s="23">
        <f t="shared" si="170"/>
        <v>0</v>
      </c>
      <c r="N433" s="24"/>
    </row>
    <row r="434" spans="1:14">
      <c r="A434" s="218"/>
      <c r="B434" s="188"/>
      <c r="C434" s="20" t="s">
        <v>18</v>
      </c>
      <c r="D434" s="21">
        <f t="shared" ref="D434:L434" si="171">D425+D428+D431</f>
        <v>0</v>
      </c>
      <c r="E434" s="21">
        <f t="shared" si="171"/>
        <v>764350.92</v>
      </c>
      <c r="F434" s="21">
        <f t="shared" si="171"/>
        <v>764350.92</v>
      </c>
      <c r="G434" s="21">
        <f t="shared" si="171"/>
        <v>0</v>
      </c>
      <c r="H434" s="21">
        <f t="shared" si="171"/>
        <v>0</v>
      </c>
      <c r="I434" s="21">
        <f t="shared" si="171"/>
        <v>0</v>
      </c>
      <c r="J434" s="21">
        <f t="shared" si="171"/>
        <v>0</v>
      </c>
      <c r="K434" s="21">
        <f t="shared" si="171"/>
        <v>764350.92</v>
      </c>
      <c r="L434" s="23">
        <f t="shared" si="171"/>
        <v>0</v>
      </c>
      <c r="N434" s="24"/>
    </row>
    <row r="435" spans="1:14">
      <c r="A435" s="218"/>
      <c r="B435" s="220" t="s">
        <v>45</v>
      </c>
      <c r="C435" s="50" t="s">
        <v>16</v>
      </c>
      <c r="D435" s="51">
        <f t="shared" ref="D435:L435" si="172">D419+D432</f>
        <v>0</v>
      </c>
      <c r="E435" s="51">
        <f>E419+E432</f>
        <v>1528701.84</v>
      </c>
      <c r="F435" s="51">
        <f t="shared" si="172"/>
        <v>1528701.84</v>
      </c>
      <c r="G435" s="51">
        <f t="shared" si="172"/>
        <v>0</v>
      </c>
      <c r="H435" s="51">
        <f t="shared" si="172"/>
        <v>0</v>
      </c>
      <c r="I435" s="51">
        <f t="shared" si="172"/>
        <v>0</v>
      </c>
      <c r="J435" s="51">
        <f t="shared" si="172"/>
        <v>0</v>
      </c>
      <c r="K435" s="51">
        <f t="shared" si="172"/>
        <v>1528701.84</v>
      </c>
      <c r="L435" s="51">
        <f t="shared" si="172"/>
        <v>0</v>
      </c>
      <c r="M435" s="52"/>
      <c r="N435" s="53"/>
    </row>
    <row r="436" spans="1:14">
      <c r="A436" s="218"/>
      <c r="B436" s="221"/>
      <c r="C436" s="50" t="s">
        <v>17</v>
      </c>
      <c r="D436" s="51">
        <f t="shared" ref="D436:L436" si="173">D420+D433</f>
        <v>0</v>
      </c>
      <c r="E436" s="51">
        <f t="shared" si="173"/>
        <v>1744435.04</v>
      </c>
      <c r="F436" s="51">
        <f t="shared" si="173"/>
        <v>1744435.04</v>
      </c>
      <c r="G436" s="51">
        <f t="shared" si="173"/>
        <v>0</v>
      </c>
      <c r="H436" s="51">
        <f t="shared" si="173"/>
        <v>0</v>
      </c>
      <c r="I436" s="51">
        <f t="shared" si="173"/>
        <v>0</v>
      </c>
      <c r="J436" s="51">
        <f t="shared" si="173"/>
        <v>0</v>
      </c>
      <c r="K436" s="51">
        <f t="shared" si="173"/>
        <v>1744435.04</v>
      </c>
      <c r="L436" s="51">
        <f t="shared" si="173"/>
        <v>0</v>
      </c>
      <c r="M436" s="52"/>
      <c r="N436" s="53"/>
    </row>
    <row r="437" spans="1:14">
      <c r="A437" s="218"/>
      <c r="B437" s="221"/>
      <c r="C437" s="50" t="s">
        <v>18</v>
      </c>
      <c r="D437" s="51">
        <f t="shared" ref="D437:L437" si="174">D421+D434</f>
        <v>0</v>
      </c>
      <c r="E437" s="51">
        <f t="shared" si="174"/>
        <v>1528701.84</v>
      </c>
      <c r="F437" s="51">
        <f t="shared" si="174"/>
        <v>1528701.84</v>
      </c>
      <c r="G437" s="51">
        <f t="shared" si="174"/>
        <v>0</v>
      </c>
      <c r="H437" s="51">
        <f t="shared" si="174"/>
        <v>0</v>
      </c>
      <c r="I437" s="51">
        <f t="shared" si="174"/>
        <v>0</v>
      </c>
      <c r="J437" s="51">
        <f t="shared" si="174"/>
        <v>0</v>
      </c>
      <c r="K437" s="51">
        <f t="shared" si="174"/>
        <v>1528701.84</v>
      </c>
      <c r="L437" s="51">
        <f t="shared" si="174"/>
        <v>0</v>
      </c>
      <c r="M437" s="52"/>
      <c r="N437" s="53"/>
    </row>
    <row r="438" spans="1:14">
      <c r="A438" s="219"/>
      <c r="B438" s="222" t="s">
        <v>46</v>
      </c>
      <c r="C438" s="157" t="s">
        <v>16</v>
      </c>
      <c r="D438" s="158">
        <f t="shared" ref="D438:L438" si="175">D404+D435</f>
        <v>0</v>
      </c>
      <c r="E438" s="158">
        <f t="shared" si="175"/>
        <v>2882086.3200000003</v>
      </c>
      <c r="F438" s="158">
        <f t="shared" si="175"/>
        <v>2882086.3200000003</v>
      </c>
      <c r="G438" s="158">
        <f t="shared" si="175"/>
        <v>0</v>
      </c>
      <c r="H438" s="158">
        <f t="shared" si="175"/>
        <v>0</v>
      </c>
      <c r="I438" s="158">
        <f t="shared" si="175"/>
        <v>0</v>
      </c>
      <c r="J438" s="158">
        <f t="shared" si="175"/>
        <v>0</v>
      </c>
      <c r="K438" s="158">
        <f t="shared" si="175"/>
        <v>2882086.3200000003</v>
      </c>
      <c r="L438" s="158">
        <f t="shared" si="175"/>
        <v>0</v>
      </c>
      <c r="M438" s="152"/>
      <c r="N438" s="153"/>
    </row>
    <row r="439" spans="1:14">
      <c r="A439" s="219"/>
      <c r="B439" s="223"/>
      <c r="C439" s="157" t="s">
        <v>17</v>
      </c>
      <c r="D439" s="158">
        <f t="shared" ref="D439:L439" si="176">D405+D436</f>
        <v>0</v>
      </c>
      <c r="E439" s="158">
        <f t="shared" si="176"/>
        <v>3461015.92</v>
      </c>
      <c r="F439" s="158">
        <f t="shared" si="176"/>
        <v>3461015.92</v>
      </c>
      <c r="G439" s="158">
        <f t="shared" si="176"/>
        <v>0</v>
      </c>
      <c r="H439" s="158">
        <f t="shared" si="176"/>
        <v>0</v>
      </c>
      <c r="I439" s="158">
        <f t="shared" si="176"/>
        <v>0</v>
      </c>
      <c r="J439" s="158">
        <f t="shared" si="176"/>
        <v>0</v>
      </c>
      <c r="K439" s="158">
        <f t="shared" si="176"/>
        <v>3461015.92</v>
      </c>
      <c r="L439" s="158">
        <f t="shared" si="176"/>
        <v>0</v>
      </c>
      <c r="M439" s="152"/>
      <c r="N439" s="153"/>
    </row>
    <row r="440" spans="1:14">
      <c r="A440" s="219"/>
      <c r="B440" s="223"/>
      <c r="C440" s="157" t="s">
        <v>41</v>
      </c>
      <c r="D440" s="158">
        <v>0</v>
      </c>
      <c r="E440" s="158">
        <f t="shared" ref="E440:K440" si="177">E407+E420+E433</f>
        <v>3461015.9199999995</v>
      </c>
      <c r="F440" s="158">
        <f t="shared" si="177"/>
        <v>3461015.9199999995</v>
      </c>
      <c r="G440" s="158">
        <f t="shared" si="177"/>
        <v>0</v>
      </c>
      <c r="H440" s="158">
        <f t="shared" si="177"/>
        <v>0</v>
      </c>
      <c r="I440" s="158">
        <f t="shared" si="177"/>
        <v>864025.12</v>
      </c>
      <c r="J440" s="158">
        <f t="shared" si="177"/>
        <v>864025.12</v>
      </c>
      <c r="K440" s="158">
        <f t="shared" si="177"/>
        <v>3461015.9199999995</v>
      </c>
      <c r="L440" s="158">
        <f>L407+L420</f>
        <v>0</v>
      </c>
      <c r="M440" s="152"/>
      <c r="N440" s="153"/>
    </row>
    <row r="441" spans="1:14">
      <c r="A441" s="219"/>
      <c r="B441" s="223"/>
      <c r="C441" s="159" t="s">
        <v>18</v>
      </c>
      <c r="D441" s="158">
        <f t="shared" ref="D441:L441" si="178">D406+D437</f>
        <v>0</v>
      </c>
      <c r="E441" s="158">
        <f t="shared" si="178"/>
        <v>2882086.3200000003</v>
      </c>
      <c r="F441" s="158">
        <f t="shared" si="178"/>
        <v>2882086.3200000003</v>
      </c>
      <c r="G441" s="158">
        <f t="shared" si="178"/>
        <v>0</v>
      </c>
      <c r="H441" s="158">
        <f t="shared" si="178"/>
        <v>0</v>
      </c>
      <c r="I441" s="158">
        <f t="shared" si="178"/>
        <v>0</v>
      </c>
      <c r="J441" s="158">
        <f t="shared" si="178"/>
        <v>0</v>
      </c>
      <c r="K441" s="158">
        <f t="shared" si="178"/>
        <v>2882086.3200000003</v>
      </c>
      <c r="L441" s="158">
        <f t="shared" si="178"/>
        <v>0</v>
      </c>
      <c r="M441" s="152"/>
      <c r="N441" s="153"/>
    </row>
    <row r="442" spans="1:14" ht="15" customHeight="1">
      <c r="A442" s="216" t="s">
        <v>60</v>
      </c>
      <c r="B442" s="179" t="s">
        <v>15</v>
      </c>
      <c r="C442" s="20" t="s">
        <v>16</v>
      </c>
      <c r="D442" s="22">
        <f t="shared" ref="D442:L442" si="179">D4+D77+D155+D229+D304+D377</f>
        <v>9549879.120000001</v>
      </c>
      <c r="E442" s="22">
        <f t="shared" si="179"/>
        <v>1429728.4600000002</v>
      </c>
      <c r="F442" s="22">
        <f t="shared" si="179"/>
        <v>10979607.58</v>
      </c>
      <c r="G442" s="22">
        <f t="shared" si="179"/>
        <v>851451.93</v>
      </c>
      <c r="H442" s="22">
        <f t="shared" si="179"/>
        <v>0</v>
      </c>
      <c r="I442" s="22">
        <f t="shared" si="179"/>
        <v>0</v>
      </c>
      <c r="J442" s="22">
        <f t="shared" si="179"/>
        <v>0</v>
      </c>
      <c r="K442" s="22">
        <f t="shared" si="179"/>
        <v>11831059.51</v>
      </c>
      <c r="L442" s="22">
        <f t="shared" si="179"/>
        <v>771661</v>
      </c>
      <c r="N442" s="24"/>
    </row>
    <row r="443" spans="1:14">
      <c r="A443" s="217"/>
      <c r="B443" s="178"/>
      <c r="C443" s="20" t="s">
        <v>17</v>
      </c>
      <c r="D443" s="22">
        <f t="shared" ref="D443:L443" si="180">D5+D78+D156+D230+D305+D378</f>
        <v>10182279.979999999</v>
      </c>
      <c r="E443" s="22">
        <f t="shared" si="180"/>
        <v>1562777.01</v>
      </c>
      <c r="F443" s="22">
        <f t="shared" si="180"/>
        <v>11745056.989999998</v>
      </c>
      <c r="G443" s="22">
        <f t="shared" si="180"/>
        <v>849799.98</v>
      </c>
      <c r="H443" s="22">
        <f t="shared" si="180"/>
        <v>0</v>
      </c>
      <c r="I443" s="22">
        <f t="shared" si="180"/>
        <v>0</v>
      </c>
      <c r="J443" s="22">
        <f t="shared" si="180"/>
        <v>0</v>
      </c>
      <c r="K443" s="22">
        <f t="shared" si="180"/>
        <v>12594856.969999999</v>
      </c>
      <c r="L443" s="22">
        <f t="shared" si="180"/>
        <v>771661</v>
      </c>
      <c r="N443" s="24"/>
    </row>
    <row r="444" spans="1:14">
      <c r="A444" s="217"/>
      <c r="B444" s="197"/>
      <c r="C444" s="25" t="s">
        <v>18</v>
      </c>
      <c r="D444" s="22">
        <f t="shared" ref="D444:L444" si="181">D6+D79+D157+D231+D306+D379</f>
        <v>9486014.1600000001</v>
      </c>
      <c r="E444" s="22">
        <f t="shared" si="181"/>
        <v>1429625.83</v>
      </c>
      <c r="F444" s="22">
        <f t="shared" si="181"/>
        <v>10915639.99</v>
      </c>
      <c r="G444" s="22">
        <f t="shared" si="181"/>
        <v>849799.98</v>
      </c>
      <c r="H444" s="22">
        <f t="shared" si="181"/>
        <v>0</v>
      </c>
      <c r="I444" s="22">
        <f t="shared" si="181"/>
        <v>0</v>
      </c>
      <c r="J444" s="22">
        <f t="shared" si="181"/>
        <v>0</v>
      </c>
      <c r="K444" s="22">
        <f t="shared" si="181"/>
        <v>11765439.969999999</v>
      </c>
      <c r="L444" s="22">
        <f t="shared" si="181"/>
        <v>771661</v>
      </c>
      <c r="N444" s="24"/>
    </row>
    <row r="445" spans="1:14">
      <c r="A445" s="217"/>
      <c r="B445" s="179" t="s">
        <v>20</v>
      </c>
      <c r="C445" s="20" t="s">
        <v>16</v>
      </c>
      <c r="D445" s="22">
        <f t="shared" ref="D445:L445" si="182">D7+D80+D158+D232+D307+D380</f>
        <v>9464377.6400000006</v>
      </c>
      <c r="E445" s="22">
        <f t="shared" si="182"/>
        <v>1531727.9</v>
      </c>
      <c r="F445" s="22">
        <f t="shared" si="182"/>
        <v>10996105.539999999</v>
      </c>
      <c r="G445" s="22">
        <f t="shared" si="182"/>
        <v>1002319.0800000001</v>
      </c>
      <c r="H445" s="22">
        <f t="shared" si="182"/>
        <v>0</v>
      </c>
      <c r="I445" s="22">
        <f t="shared" si="182"/>
        <v>0</v>
      </c>
      <c r="J445" s="22">
        <f t="shared" si="182"/>
        <v>0</v>
      </c>
      <c r="K445" s="22">
        <f t="shared" si="182"/>
        <v>11998424.619999999</v>
      </c>
      <c r="L445" s="22">
        <f t="shared" si="182"/>
        <v>723239</v>
      </c>
      <c r="N445" s="24"/>
    </row>
    <row r="446" spans="1:14">
      <c r="A446" s="217"/>
      <c r="B446" s="178"/>
      <c r="C446" s="20" t="s">
        <v>17</v>
      </c>
      <c r="D446" s="22">
        <f t="shared" ref="D446:L446" si="183">D8+D81+D159+D233+D308+D381</f>
        <v>9629394.7300000004</v>
      </c>
      <c r="E446" s="22">
        <f t="shared" si="183"/>
        <v>1574412.69</v>
      </c>
      <c r="F446" s="22">
        <f t="shared" si="183"/>
        <v>11203807.42</v>
      </c>
      <c r="G446" s="22">
        <f t="shared" si="183"/>
        <v>981149.98</v>
      </c>
      <c r="H446" s="22">
        <f t="shared" si="183"/>
        <v>0</v>
      </c>
      <c r="I446" s="22">
        <f t="shared" si="183"/>
        <v>0</v>
      </c>
      <c r="J446" s="22">
        <f t="shared" si="183"/>
        <v>0</v>
      </c>
      <c r="K446" s="22">
        <f t="shared" si="183"/>
        <v>12184957.4</v>
      </c>
      <c r="L446" s="22">
        <f t="shared" si="183"/>
        <v>723239</v>
      </c>
      <c r="N446" s="24"/>
    </row>
    <row r="447" spans="1:14">
      <c r="A447" s="217"/>
      <c r="B447" s="197"/>
      <c r="C447" s="25" t="s">
        <v>18</v>
      </c>
      <c r="D447" s="22">
        <f t="shared" ref="D447:L447" si="184">D9+D82+D160+D234+D309+D382</f>
        <v>9110167.3100000005</v>
      </c>
      <c r="E447" s="22">
        <f t="shared" si="184"/>
        <v>1531625.27</v>
      </c>
      <c r="F447" s="22">
        <f t="shared" si="184"/>
        <v>10641792.58</v>
      </c>
      <c r="G447" s="22">
        <f t="shared" si="184"/>
        <v>981149.98</v>
      </c>
      <c r="H447" s="22">
        <f t="shared" si="184"/>
        <v>0</v>
      </c>
      <c r="I447" s="22">
        <f t="shared" si="184"/>
        <v>0</v>
      </c>
      <c r="J447" s="22">
        <f t="shared" si="184"/>
        <v>0</v>
      </c>
      <c r="K447" s="22">
        <f t="shared" si="184"/>
        <v>11622942.559999999</v>
      </c>
      <c r="L447" s="22">
        <f t="shared" si="184"/>
        <v>723239</v>
      </c>
      <c r="N447" s="24"/>
    </row>
    <row r="448" spans="1:14">
      <c r="A448" s="217"/>
      <c r="B448" s="179" t="s">
        <v>22</v>
      </c>
      <c r="C448" s="20" t="s">
        <v>16</v>
      </c>
      <c r="D448" s="22">
        <f t="shared" ref="D448:L448" si="185">D10+D83+D161+D235+D310+D383</f>
        <v>10175096.880000001</v>
      </c>
      <c r="E448" s="22">
        <f t="shared" si="185"/>
        <v>1678072.31</v>
      </c>
      <c r="F448" s="22">
        <f t="shared" si="185"/>
        <v>11853169.189999999</v>
      </c>
      <c r="G448" s="22">
        <f t="shared" si="185"/>
        <v>1154563.54</v>
      </c>
      <c r="H448" s="22">
        <f t="shared" si="185"/>
        <v>0</v>
      </c>
      <c r="I448" s="22">
        <f t="shared" si="185"/>
        <v>0</v>
      </c>
      <c r="J448" s="22">
        <f t="shared" si="185"/>
        <v>0</v>
      </c>
      <c r="K448" s="22">
        <f t="shared" si="185"/>
        <v>13007732.73</v>
      </c>
      <c r="L448" s="22">
        <f t="shared" si="185"/>
        <v>792033</v>
      </c>
      <c r="N448" s="24"/>
    </row>
    <row r="449" spans="1:14">
      <c r="A449" s="217"/>
      <c r="B449" s="178"/>
      <c r="C449" s="20" t="s">
        <v>17</v>
      </c>
      <c r="D449" s="22">
        <f t="shared" ref="D449:L449" si="186">D11+D84+D162+D236+D311+D384</f>
        <v>11394799.84</v>
      </c>
      <c r="E449" s="22">
        <f t="shared" si="186"/>
        <v>1828548.03</v>
      </c>
      <c r="F449" s="22">
        <f t="shared" si="186"/>
        <v>13223347.870000001</v>
      </c>
      <c r="G449" s="22">
        <f t="shared" si="186"/>
        <v>1175428.5099999998</v>
      </c>
      <c r="H449" s="22">
        <f t="shared" si="186"/>
        <v>0</v>
      </c>
      <c r="I449" s="22">
        <f t="shared" si="186"/>
        <v>0</v>
      </c>
      <c r="J449" s="22">
        <f t="shared" si="186"/>
        <v>0</v>
      </c>
      <c r="K449" s="22">
        <f t="shared" si="186"/>
        <v>14398776.380000001</v>
      </c>
      <c r="L449" s="22">
        <f t="shared" si="186"/>
        <v>792033</v>
      </c>
      <c r="N449" s="24"/>
    </row>
    <row r="450" spans="1:14">
      <c r="A450" s="217"/>
      <c r="B450" s="197"/>
      <c r="C450" s="25" t="s">
        <v>18</v>
      </c>
      <c r="D450" s="22">
        <f t="shared" ref="D450:L450" si="187">D12+D85+D163+D237+D312+D385</f>
        <v>10173950.91</v>
      </c>
      <c r="E450" s="22">
        <f t="shared" si="187"/>
        <v>1696811.73</v>
      </c>
      <c r="F450" s="22">
        <f t="shared" si="187"/>
        <v>11870762.639999999</v>
      </c>
      <c r="G450" s="22">
        <f t="shared" si="187"/>
        <v>1153589.78</v>
      </c>
      <c r="H450" s="22">
        <f t="shared" si="187"/>
        <v>0</v>
      </c>
      <c r="I450" s="22">
        <f t="shared" si="187"/>
        <v>0</v>
      </c>
      <c r="J450" s="22">
        <f t="shared" si="187"/>
        <v>0</v>
      </c>
      <c r="K450" s="22">
        <f t="shared" si="187"/>
        <v>13024352.42</v>
      </c>
      <c r="L450" s="22">
        <f t="shared" si="187"/>
        <v>792033</v>
      </c>
      <c r="N450" s="24"/>
    </row>
    <row r="451" spans="1:14">
      <c r="A451" s="217"/>
      <c r="B451" s="231" t="s">
        <v>23</v>
      </c>
      <c r="C451" s="20" t="s">
        <v>16</v>
      </c>
      <c r="D451" s="22">
        <f t="shared" ref="D451:L451" si="188">D13+D86+D164+D238+D314+D386</f>
        <v>29189353.640000001</v>
      </c>
      <c r="E451" s="22">
        <f t="shared" si="188"/>
        <v>4639528.67</v>
      </c>
      <c r="F451" s="22">
        <f t="shared" si="188"/>
        <v>33828882.310000002</v>
      </c>
      <c r="G451" s="22">
        <f t="shared" si="188"/>
        <v>3008334.55</v>
      </c>
      <c r="H451" s="22">
        <f t="shared" si="188"/>
        <v>415130</v>
      </c>
      <c r="I451" s="22">
        <f t="shared" si="188"/>
        <v>0</v>
      </c>
      <c r="J451" s="22">
        <f t="shared" si="188"/>
        <v>0</v>
      </c>
      <c r="K451" s="22">
        <f t="shared" si="188"/>
        <v>36837216.859999999</v>
      </c>
      <c r="L451" s="22">
        <f t="shared" si="188"/>
        <v>2323651</v>
      </c>
      <c r="N451" s="24"/>
    </row>
    <row r="452" spans="1:14">
      <c r="A452" s="217"/>
      <c r="B452" s="232"/>
      <c r="C452" s="20" t="s">
        <v>17</v>
      </c>
      <c r="D452" s="22">
        <f t="shared" ref="D452:L452" si="189">D14+D87+D165+D239+D315+D387</f>
        <v>31206474.550000004</v>
      </c>
      <c r="E452" s="22">
        <f t="shared" si="189"/>
        <v>4965737.7299999995</v>
      </c>
      <c r="F452" s="22">
        <f t="shared" si="189"/>
        <v>36172212.280000001</v>
      </c>
      <c r="G452" s="22">
        <f t="shared" si="189"/>
        <v>3006378.4699999997</v>
      </c>
      <c r="H452" s="22">
        <f t="shared" si="189"/>
        <v>191843.67</v>
      </c>
      <c r="I452" s="22">
        <f t="shared" si="189"/>
        <v>0</v>
      </c>
      <c r="J452" s="22">
        <f t="shared" si="189"/>
        <v>0</v>
      </c>
      <c r="K452" s="22">
        <f t="shared" si="189"/>
        <v>39178590.75</v>
      </c>
      <c r="L452" s="22">
        <f t="shared" si="189"/>
        <v>2298439</v>
      </c>
      <c r="N452" s="24"/>
    </row>
    <row r="453" spans="1:14">
      <c r="A453" s="217"/>
      <c r="B453" s="232"/>
      <c r="C453" s="25" t="s">
        <v>18</v>
      </c>
      <c r="D453" s="22">
        <f t="shared" ref="D453:L453" si="190">D15+D88+D166+D240+D316+D388</f>
        <v>28770132.379999999</v>
      </c>
      <c r="E453" s="22">
        <f t="shared" si="190"/>
        <v>4658062.83</v>
      </c>
      <c r="F453" s="22">
        <f t="shared" si="190"/>
        <v>33428195.209999997</v>
      </c>
      <c r="G453" s="22">
        <f t="shared" si="190"/>
        <v>2984539.7399999998</v>
      </c>
      <c r="H453" s="22">
        <f t="shared" si="190"/>
        <v>191843.67</v>
      </c>
      <c r="I453" s="22">
        <f t="shared" si="190"/>
        <v>0</v>
      </c>
      <c r="J453" s="22">
        <f t="shared" si="190"/>
        <v>0</v>
      </c>
      <c r="K453" s="22">
        <f t="shared" si="190"/>
        <v>36412734.950000003</v>
      </c>
      <c r="L453" s="22">
        <f t="shared" si="190"/>
        <v>2298439</v>
      </c>
      <c r="M453" s="18"/>
      <c r="N453" s="24"/>
    </row>
    <row r="454" spans="1:14">
      <c r="A454" s="217"/>
      <c r="B454" s="232"/>
      <c r="C454" s="75" t="s">
        <v>41</v>
      </c>
      <c r="D454" s="51">
        <f t="shared" ref="D454:L454" si="191">D16+D89+D167+D241+D317+D389</f>
        <v>31313589.390000001</v>
      </c>
      <c r="E454" s="51">
        <f t="shared" si="191"/>
        <v>4946910.34</v>
      </c>
      <c r="F454" s="51">
        <f t="shared" si="191"/>
        <v>36260499.729999997</v>
      </c>
      <c r="G454" s="51">
        <f t="shared" si="191"/>
        <v>3008334.55</v>
      </c>
      <c r="H454" s="51">
        <f t="shared" si="191"/>
        <v>223286.33</v>
      </c>
      <c r="I454" s="51">
        <f t="shared" si="191"/>
        <v>0</v>
      </c>
      <c r="J454" s="51">
        <f t="shared" si="191"/>
        <v>0</v>
      </c>
      <c r="K454" s="51">
        <f t="shared" si="191"/>
        <v>39268834.279999994</v>
      </c>
      <c r="L454" s="51">
        <f t="shared" si="191"/>
        <v>2323651</v>
      </c>
      <c r="M454" s="81"/>
      <c r="N454" s="53"/>
    </row>
    <row r="455" spans="1:14">
      <c r="A455" s="217"/>
      <c r="B455" s="232"/>
      <c r="C455" s="75" t="s">
        <v>48</v>
      </c>
      <c r="D455" s="51">
        <f t="shared" ref="D455:L455" si="192">D17+D90+D168+D242+D318+D390</f>
        <v>417812.27999999997</v>
      </c>
      <c r="E455" s="51">
        <f t="shared" si="192"/>
        <v>-18534.16</v>
      </c>
      <c r="F455" s="51">
        <f t="shared" si="192"/>
        <v>399278.12</v>
      </c>
      <c r="G455" s="51">
        <f t="shared" si="192"/>
        <v>23794.81</v>
      </c>
      <c r="H455" s="51">
        <f t="shared" si="192"/>
        <v>223286.33</v>
      </c>
      <c r="I455" s="51">
        <f t="shared" si="192"/>
        <v>0</v>
      </c>
      <c r="J455" s="51">
        <f t="shared" si="192"/>
        <v>0</v>
      </c>
      <c r="K455" s="51">
        <f t="shared" si="192"/>
        <v>423072.93</v>
      </c>
      <c r="L455" s="51">
        <f t="shared" si="192"/>
        <v>415976</v>
      </c>
      <c r="M455" s="81"/>
      <c r="N455" s="53"/>
    </row>
    <row r="456" spans="1:14">
      <c r="A456" s="217"/>
      <c r="B456" s="233"/>
      <c r="C456" s="75" t="s">
        <v>26</v>
      </c>
      <c r="D456" s="51">
        <f t="shared" ref="D456:L456" si="193">D18+D91+D169+D243+D319+D391</f>
        <v>29187944.66</v>
      </c>
      <c r="E456" s="51">
        <f t="shared" si="193"/>
        <v>4639528.67</v>
      </c>
      <c r="F456" s="51">
        <f t="shared" si="193"/>
        <v>33827473.329999998</v>
      </c>
      <c r="G456" s="51">
        <f t="shared" si="193"/>
        <v>3008334.55</v>
      </c>
      <c r="H456" s="51">
        <f t="shared" si="193"/>
        <v>415130</v>
      </c>
      <c r="I456" s="51">
        <f t="shared" si="193"/>
        <v>0</v>
      </c>
      <c r="J456" s="51">
        <f t="shared" si="193"/>
        <v>0</v>
      </c>
      <c r="K456" s="51">
        <f t="shared" si="193"/>
        <v>36835807.879999995</v>
      </c>
      <c r="L456" s="51">
        <f t="shared" si="193"/>
        <v>2323651</v>
      </c>
      <c r="M456" s="81"/>
      <c r="N456" s="53"/>
    </row>
    <row r="457" spans="1:14">
      <c r="A457" s="217"/>
      <c r="B457" s="182" t="s">
        <v>28</v>
      </c>
      <c r="C457" s="20" t="s">
        <v>16</v>
      </c>
      <c r="D457" s="22">
        <f t="shared" ref="D457:L457" si="194">D19+D92+D170+D244+D320+D392</f>
        <v>9041219.9800000023</v>
      </c>
      <c r="E457" s="22">
        <f t="shared" si="194"/>
        <v>1553823.29</v>
      </c>
      <c r="F457" s="22">
        <f t="shared" si="194"/>
        <v>10595043.27</v>
      </c>
      <c r="G457" s="22">
        <f t="shared" si="194"/>
        <v>987044.16999999993</v>
      </c>
      <c r="H457" s="22">
        <f t="shared" si="194"/>
        <v>0</v>
      </c>
      <c r="I457" s="22">
        <f t="shared" si="194"/>
        <v>0</v>
      </c>
      <c r="J457" s="22">
        <f t="shared" si="194"/>
        <v>0</v>
      </c>
      <c r="K457" s="22">
        <f t="shared" si="194"/>
        <v>11582087.439999999</v>
      </c>
      <c r="L457" s="22">
        <f t="shared" si="194"/>
        <v>689799</v>
      </c>
      <c r="N457" s="24"/>
    </row>
    <row r="458" spans="1:14">
      <c r="A458" s="217"/>
      <c r="B458" s="183"/>
      <c r="C458" s="20" t="s">
        <v>17</v>
      </c>
      <c r="D458" s="22">
        <f t="shared" ref="D458:L458" si="195">D20+D93+D171+D245+D321+D393</f>
        <v>9235191</v>
      </c>
      <c r="E458" s="22">
        <f t="shared" si="195"/>
        <v>1665150.08</v>
      </c>
      <c r="F458" s="22">
        <f t="shared" si="195"/>
        <v>10900341.08</v>
      </c>
      <c r="G458" s="22">
        <f t="shared" si="195"/>
        <v>883086.01</v>
      </c>
      <c r="H458" s="22">
        <f t="shared" si="195"/>
        <v>0</v>
      </c>
      <c r="I458" s="22">
        <f t="shared" si="195"/>
        <v>0</v>
      </c>
      <c r="J458" s="22">
        <f t="shared" si="195"/>
        <v>0</v>
      </c>
      <c r="K458" s="22">
        <f t="shared" si="195"/>
        <v>11783427.090000002</v>
      </c>
      <c r="L458" s="22">
        <f t="shared" si="195"/>
        <v>689799</v>
      </c>
      <c r="N458" s="24"/>
    </row>
    <row r="459" spans="1:14">
      <c r="A459" s="217"/>
      <c r="B459" s="196"/>
      <c r="C459" s="25" t="s">
        <v>18</v>
      </c>
      <c r="D459" s="22">
        <f t="shared" ref="D459:L459" si="196">D21+D94+D172+D246+D322+D394</f>
        <v>9038655.4900000002</v>
      </c>
      <c r="E459" s="22">
        <f t="shared" si="196"/>
        <v>1553720.6600000001</v>
      </c>
      <c r="F459" s="22">
        <f t="shared" si="196"/>
        <v>10592376.15</v>
      </c>
      <c r="G459" s="22">
        <f t="shared" si="196"/>
        <v>883086.01</v>
      </c>
      <c r="H459" s="22">
        <f t="shared" si="196"/>
        <v>0</v>
      </c>
      <c r="I459" s="22">
        <f t="shared" si="196"/>
        <v>0</v>
      </c>
      <c r="J459" s="22">
        <f t="shared" si="196"/>
        <v>0</v>
      </c>
      <c r="K459" s="22">
        <f t="shared" si="196"/>
        <v>11475462.160000002</v>
      </c>
      <c r="L459" s="22">
        <f t="shared" si="196"/>
        <v>689799</v>
      </c>
      <c r="N459" s="24"/>
    </row>
    <row r="460" spans="1:14">
      <c r="A460" s="217"/>
      <c r="B460" s="182" t="s">
        <v>29</v>
      </c>
      <c r="C460" s="20" t="s">
        <v>16</v>
      </c>
      <c r="D460" s="22">
        <f t="shared" ref="D460:L460" si="197">D22+D96+D173+D247+D323+D395</f>
        <v>10175096.880000001</v>
      </c>
      <c r="E460" s="22">
        <f t="shared" si="197"/>
        <v>1637019.84</v>
      </c>
      <c r="F460" s="22">
        <f t="shared" si="197"/>
        <v>11812116.720000001</v>
      </c>
      <c r="G460" s="22">
        <f t="shared" si="197"/>
        <v>1171641.1800000002</v>
      </c>
      <c r="H460" s="22">
        <f t="shared" si="197"/>
        <v>0</v>
      </c>
      <c r="I460" s="22">
        <f t="shared" si="197"/>
        <v>0</v>
      </c>
      <c r="J460" s="22">
        <f t="shared" si="197"/>
        <v>0</v>
      </c>
      <c r="K460" s="22">
        <f t="shared" si="197"/>
        <v>12983757.899999999</v>
      </c>
      <c r="L460" s="22">
        <f t="shared" si="197"/>
        <v>789151</v>
      </c>
      <c r="N460" s="24"/>
    </row>
    <row r="461" spans="1:14">
      <c r="A461" s="217"/>
      <c r="B461" s="183"/>
      <c r="C461" s="20" t="s">
        <v>17</v>
      </c>
      <c r="D461" s="22">
        <f t="shared" ref="D461:L461" si="198">D23+D97+D174+D248+D324+D396</f>
        <v>11668191.610000001</v>
      </c>
      <c r="E461" s="22">
        <f t="shared" si="198"/>
        <v>1773997.81</v>
      </c>
      <c r="F461" s="22">
        <f t="shared" si="198"/>
        <v>13442189.42</v>
      </c>
      <c r="G461" s="22">
        <f t="shared" si="198"/>
        <v>1149477.77</v>
      </c>
      <c r="H461" s="22">
        <f t="shared" si="198"/>
        <v>0</v>
      </c>
      <c r="I461" s="22">
        <f t="shared" si="198"/>
        <v>0</v>
      </c>
      <c r="J461" s="22">
        <f t="shared" si="198"/>
        <v>0</v>
      </c>
      <c r="K461" s="22">
        <f t="shared" si="198"/>
        <v>14591667.189999999</v>
      </c>
      <c r="L461" s="22">
        <f t="shared" si="198"/>
        <v>789151</v>
      </c>
      <c r="N461" s="24"/>
    </row>
    <row r="462" spans="1:14">
      <c r="A462" s="217"/>
      <c r="B462" s="196"/>
      <c r="C462" s="25" t="s">
        <v>18</v>
      </c>
      <c r="D462" s="22">
        <f t="shared" ref="D462:L462" si="199">D24+D98+D175+D249+D325+D397</f>
        <v>10174292.789999999</v>
      </c>
      <c r="E462" s="22">
        <f t="shared" si="199"/>
        <v>1636917.2100000002</v>
      </c>
      <c r="F462" s="22">
        <f t="shared" si="199"/>
        <v>11811210.000000002</v>
      </c>
      <c r="G462" s="22">
        <f t="shared" si="199"/>
        <v>1121942.0899999999</v>
      </c>
      <c r="H462" s="22">
        <f t="shared" si="199"/>
        <v>0</v>
      </c>
      <c r="I462" s="22">
        <f t="shared" si="199"/>
        <v>0</v>
      </c>
      <c r="J462" s="22">
        <f t="shared" si="199"/>
        <v>0</v>
      </c>
      <c r="K462" s="22">
        <f t="shared" si="199"/>
        <v>12933152.090000002</v>
      </c>
      <c r="L462" s="22">
        <f t="shared" si="199"/>
        <v>789151</v>
      </c>
      <c r="N462" s="24"/>
    </row>
    <row r="463" spans="1:14">
      <c r="A463" s="217"/>
      <c r="B463" s="179" t="s">
        <v>30</v>
      </c>
      <c r="C463" s="37" t="s">
        <v>16</v>
      </c>
      <c r="D463" s="22">
        <f t="shared" ref="D463:L463" si="200">D25+D100+D176+D250+D326+D398</f>
        <v>9774020.4700000007</v>
      </c>
      <c r="E463" s="22">
        <f t="shared" si="200"/>
        <v>1702720.55</v>
      </c>
      <c r="F463" s="22">
        <f t="shared" si="200"/>
        <v>11476741.02</v>
      </c>
      <c r="G463" s="22">
        <f t="shared" si="200"/>
        <v>875185.93</v>
      </c>
      <c r="H463" s="22">
        <f t="shared" si="200"/>
        <v>0</v>
      </c>
      <c r="I463" s="22">
        <f t="shared" si="200"/>
        <v>0</v>
      </c>
      <c r="J463" s="22">
        <f t="shared" si="200"/>
        <v>0</v>
      </c>
      <c r="K463" s="22">
        <f t="shared" si="200"/>
        <v>12351926.949999999</v>
      </c>
      <c r="L463" s="22">
        <f t="shared" si="200"/>
        <v>757735</v>
      </c>
      <c r="N463" s="24"/>
    </row>
    <row r="464" spans="1:14">
      <c r="A464" s="217"/>
      <c r="B464" s="178"/>
      <c r="C464" s="37" t="s">
        <v>17</v>
      </c>
      <c r="D464" s="22">
        <f t="shared" ref="D464:L464" si="201">D26+D101+D177+D251+D327+D399</f>
        <v>9450232.3299999982</v>
      </c>
      <c r="E464" s="22">
        <f t="shared" si="201"/>
        <v>1766285.89</v>
      </c>
      <c r="F464" s="22">
        <f t="shared" si="201"/>
        <v>11216518.219999999</v>
      </c>
      <c r="G464" s="22">
        <f t="shared" si="201"/>
        <v>1014765.72</v>
      </c>
      <c r="H464" s="22">
        <f t="shared" si="201"/>
        <v>0</v>
      </c>
      <c r="I464" s="22">
        <f t="shared" si="201"/>
        <v>0</v>
      </c>
      <c r="J464" s="22">
        <f t="shared" si="201"/>
        <v>0</v>
      </c>
      <c r="K464" s="22">
        <f t="shared" si="201"/>
        <v>12231283.939999999</v>
      </c>
      <c r="L464" s="22">
        <f t="shared" si="201"/>
        <v>718916</v>
      </c>
      <c r="N464" s="24"/>
    </row>
    <row r="465" spans="1:14">
      <c r="A465" s="217"/>
      <c r="B465" s="197"/>
      <c r="C465" s="25" t="s">
        <v>18</v>
      </c>
      <c r="D465" s="22">
        <f t="shared" ref="D465:L465" si="202">D27+D102+D178+D252+D328+D400</f>
        <v>9390294.8900000006</v>
      </c>
      <c r="E465" s="22">
        <f t="shared" si="202"/>
        <v>1663248.6300000001</v>
      </c>
      <c r="F465" s="22">
        <f t="shared" si="202"/>
        <v>11053543.520000001</v>
      </c>
      <c r="G465" s="22">
        <f t="shared" si="202"/>
        <v>1008366.26</v>
      </c>
      <c r="H465" s="22">
        <f t="shared" si="202"/>
        <v>0</v>
      </c>
      <c r="I465" s="22">
        <f t="shared" si="202"/>
        <v>0</v>
      </c>
      <c r="J465" s="22">
        <f t="shared" si="202"/>
        <v>0</v>
      </c>
      <c r="K465" s="22">
        <f t="shared" si="202"/>
        <v>12061909.779999999</v>
      </c>
      <c r="L465" s="22">
        <f t="shared" si="202"/>
        <v>718916</v>
      </c>
      <c r="N465" s="24"/>
    </row>
    <row r="466" spans="1:14">
      <c r="A466" s="217"/>
      <c r="B466" s="231" t="s">
        <v>31</v>
      </c>
      <c r="C466" s="20" t="s">
        <v>16</v>
      </c>
      <c r="D466" s="22">
        <f t="shared" ref="D466:L466" si="203">D28+D104+D179+D253+D329+D401</f>
        <v>28990337.330000002</v>
      </c>
      <c r="E466" s="22">
        <f t="shared" si="203"/>
        <v>4893563.68</v>
      </c>
      <c r="F466" s="22">
        <f t="shared" si="203"/>
        <v>33883901.009999998</v>
      </c>
      <c r="G466" s="22">
        <f t="shared" si="203"/>
        <v>3033871.2800000003</v>
      </c>
      <c r="H466" s="22">
        <f t="shared" si="203"/>
        <v>589750</v>
      </c>
      <c r="I466" s="22">
        <f t="shared" si="203"/>
        <v>0</v>
      </c>
      <c r="J466" s="22">
        <f t="shared" si="203"/>
        <v>0</v>
      </c>
      <c r="K466" s="22">
        <f t="shared" si="203"/>
        <v>37507522.290000007</v>
      </c>
      <c r="L466" s="22">
        <f t="shared" si="203"/>
        <v>2236685</v>
      </c>
      <c r="N466" s="24"/>
    </row>
    <row r="467" spans="1:14">
      <c r="A467" s="217"/>
      <c r="B467" s="232"/>
      <c r="C467" s="20" t="s">
        <v>17</v>
      </c>
      <c r="D467" s="22">
        <f t="shared" ref="D467:L467" si="204">D29+D105+D180+D254+D330+D402</f>
        <v>30353614.940000001</v>
      </c>
      <c r="E467" s="22">
        <f t="shared" si="204"/>
        <v>5205433.78</v>
      </c>
      <c r="F467" s="22">
        <f t="shared" si="204"/>
        <v>35559048.719999999</v>
      </c>
      <c r="G467" s="22">
        <f t="shared" si="204"/>
        <v>3047329.5</v>
      </c>
      <c r="H467" s="22">
        <f t="shared" si="204"/>
        <v>589750</v>
      </c>
      <c r="I467" s="22">
        <f t="shared" si="204"/>
        <v>0</v>
      </c>
      <c r="J467" s="22">
        <f t="shared" si="204"/>
        <v>0</v>
      </c>
      <c r="K467" s="22">
        <f t="shared" si="204"/>
        <v>39196128.219999999</v>
      </c>
      <c r="L467" s="22">
        <f t="shared" si="204"/>
        <v>2197866</v>
      </c>
      <c r="N467" s="24"/>
    </row>
    <row r="468" spans="1:14">
      <c r="A468" s="217"/>
      <c r="B468" s="233"/>
      <c r="C468" s="25" t="s">
        <v>18</v>
      </c>
      <c r="D468" s="22">
        <f t="shared" ref="D468:L468" si="205">D30+D106+D181+D255+D331+D403</f>
        <v>28603243.170000002</v>
      </c>
      <c r="E468" s="22">
        <f t="shared" si="205"/>
        <v>4853886.5</v>
      </c>
      <c r="F468" s="22">
        <f t="shared" si="205"/>
        <v>33457129.670000002</v>
      </c>
      <c r="G468" s="22">
        <f t="shared" si="205"/>
        <v>3013394.36</v>
      </c>
      <c r="H468" s="22">
        <f t="shared" si="205"/>
        <v>589750</v>
      </c>
      <c r="I468" s="22">
        <f t="shared" si="205"/>
        <v>0</v>
      </c>
      <c r="J468" s="22">
        <f t="shared" si="205"/>
        <v>0</v>
      </c>
      <c r="K468" s="22">
        <f t="shared" si="205"/>
        <v>37060274.030000001</v>
      </c>
      <c r="L468" s="22">
        <f t="shared" si="205"/>
        <v>2197866</v>
      </c>
      <c r="N468" s="24"/>
    </row>
    <row r="469" spans="1:14">
      <c r="A469" s="217"/>
      <c r="B469" s="180" t="s">
        <v>32</v>
      </c>
      <c r="C469" s="50" t="s">
        <v>16</v>
      </c>
      <c r="D469" s="51">
        <f t="shared" ref="D469:L469" si="206">D31+D108+D182+D256+D332+D404</f>
        <v>58179690.969999999</v>
      </c>
      <c r="E469" s="51">
        <f t="shared" si="206"/>
        <v>9533092.3499999996</v>
      </c>
      <c r="F469" s="51">
        <f t="shared" si="206"/>
        <v>67712783.320000008</v>
      </c>
      <c r="G469" s="51">
        <f t="shared" si="206"/>
        <v>6042205.8299999991</v>
      </c>
      <c r="H469" s="51">
        <f t="shared" si="206"/>
        <v>1004880</v>
      </c>
      <c r="I469" s="51">
        <f t="shared" si="206"/>
        <v>0</v>
      </c>
      <c r="J469" s="51">
        <f t="shared" si="206"/>
        <v>0</v>
      </c>
      <c r="K469" s="51">
        <f t="shared" si="206"/>
        <v>74759869.149999991</v>
      </c>
      <c r="L469" s="51">
        <f t="shared" si="206"/>
        <v>4559478</v>
      </c>
      <c r="M469" s="52"/>
      <c r="N469" s="53"/>
    </row>
    <row r="470" spans="1:14">
      <c r="A470" s="217"/>
      <c r="B470" s="181"/>
      <c r="C470" s="20" t="s">
        <v>17</v>
      </c>
      <c r="D470" s="22">
        <f>D454+D467</f>
        <v>61667204.329999998</v>
      </c>
      <c r="E470" s="22">
        <f>E454+E467</f>
        <v>10152344.120000001</v>
      </c>
      <c r="F470" s="22">
        <f>F454+F467</f>
        <v>71819548.449999988</v>
      </c>
      <c r="G470" s="22">
        <f>G454+G467</f>
        <v>6055664.0499999998</v>
      </c>
      <c r="H470" s="22">
        <f t="shared" ref="H470:L471" si="207">H32+H109+H183+H257+H333+H405</f>
        <v>1004880</v>
      </c>
      <c r="I470" s="22">
        <f t="shared" si="207"/>
        <v>0</v>
      </c>
      <c r="J470" s="22">
        <f t="shared" si="207"/>
        <v>0</v>
      </c>
      <c r="K470" s="22">
        <f t="shared" si="207"/>
        <v>78464962.499999985</v>
      </c>
      <c r="L470" s="22">
        <f t="shared" si="207"/>
        <v>4521517</v>
      </c>
      <c r="M470" s="18"/>
      <c r="N470" s="24"/>
    </row>
    <row r="471" spans="1:14">
      <c r="A471" s="217"/>
      <c r="B471" s="181"/>
      <c r="C471" s="25" t="s">
        <v>18</v>
      </c>
      <c r="D471" s="22">
        <f>D456+D468</f>
        <v>57791187.829999998</v>
      </c>
      <c r="E471" s="22">
        <f>E456+E468</f>
        <v>9493415.1699999999</v>
      </c>
      <c r="F471" s="22">
        <f>F456+F468</f>
        <v>67284603</v>
      </c>
      <c r="G471" s="22">
        <f>G456+G468</f>
        <v>6021728.9100000001</v>
      </c>
      <c r="H471" s="22">
        <f t="shared" si="207"/>
        <v>1004880</v>
      </c>
      <c r="I471" s="22">
        <f t="shared" si="207"/>
        <v>0</v>
      </c>
      <c r="J471" s="22">
        <f t="shared" si="207"/>
        <v>0</v>
      </c>
      <c r="K471" s="22">
        <f t="shared" si="207"/>
        <v>74119368.239999995</v>
      </c>
      <c r="L471" s="22">
        <f t="shared" si="207"/>
        <v>4521517</v>
      </c>
      <c r="N471" s="24"/>
    </row>
    <row r="472" spans="1:14">
      <c r="A472" s="217"/>
      <c r="B472" s="181"/>
      <c r="C472" s="75" t="s">
        <v>41</v>
      </c>
      <c r="D472" s="51">
        <f t="shared" ref="D472:G474" si="208">D34+D111+D185+D259+D335+D407</f>
        <v>61779318.75</v>
      </c>
      <c r="E472" s="51">
        <f t="shared" si="208"/>
        <v>10191728.050000001</v>
      </c>
      <c r="F472" s="51">
        <f t="shared" si="208"/>
        <v>71971046.799999982</v>
      </c>
      <c r="G472" s="51">
        <f t="shared" si="208"/>
        <v>6042205.8299999991</v>
      </c>
      <c r="H472" s="51">
        <v>1004880</v>
      </c>
      <c r="I472" s="51">
        <f t="shared" ref="I472:L474" si="209">I34+I111+I185+I259+I335+I407</f>
        <v>864025.12</v>
      </c>
      <c r="J472" s="51">
        <f t="shared" si="209"/>
        <v>864025.12</v>
      </c>
      <c r="K472" s="51">
        <f t="shared" si="209"/>
        <v>79018132.629999995</v>
      </c>
      <c r="L472" s="51">
        <f t="shared" si="209"/>
        <v>4559478</v>
      </c>
      <c r="M472" s="160"/>
      <c r="N472" s="53"/>
    </row>
    <row r="473" spans="1:14">
      <c r="A473" s="217"/>
      <c r="B473" s="181"/>
      <c r="C473" s="75" t="s">
        <v>48</v>
      </c>
      <c r="D473" s="51">
        <f t="shared" si="208"/>
        <v>388503.14</v>
      </c>
      <c r="E473" s="51">
        <f t="shared" si="208"/>
        <v>39677.18</v>
      </c>
      <c r="F473" s="51">
        <f t="shared" si="208"/>
        <v>428180.32</v>
      </c>
      <c r="G473" s="51">
        <f t="shared" si="208"/>
        <v>20476.920000000002</v>
      </c>
      <c r="H473" s="51">
        <f>H35+H112+H186+H260+H336+H408</f>
        <v>0</v>
      </c>
      <c r="I473" s="51">
        <f t="shared" si="209"/>
        <v>0</v>
      </c>
      <c r="J473" s="51">
        <f t="shared" si="209"/>
        <v>0</v>
      </c>
      <c r="K473" s="51">
        <f t="shared" si="209"/>
        <v>448657.23999999993</v>
      </c>
      <c r="L473" s="51">
        <f t="shared" si="209"/>
        <v>37961</v>
      </c>
      <c r="M473" s="161"/>
      <c r="N473" s="53"/>
    </row>
    <row r="474" spans="1:14">
      <c r="A474" s="217"/>
      <c r="B474" s="235"/>
      <c r="C474" s="75" t="s">
        <v>26</v>
      </c>
      <c r="D474" s="51">
        <f t="shared" si="208"/>
        <v>58179690.970000006</v>
      </c>
      <c r="E474" s="51">
        <f t="shared" si="208"/>
        <v>9533092.3499999996</v>
      </c>
      <c r="F474" s="51">
        <f t="shared" si="208"/>
        <v>67712783.320000008</v>
      </c>
      <c r="G474" s="51">
        <f t="shared" si="208"/>
        <v>6042205.8299999991</v>
      </c>
      <c r="H474" s="51">
        <f>H36+H113+H187+H261+H337+H409</f>
        <v>1004880</v>
      </c>
      <c r="I474" s="51">
        <f t="shared" si="209"/>
        <v>0</v>
      </c>
      <c r="J474" s="51">
        <f t="shared" si="209"/>
        <v>0</v>
      </c>
      <c r="K474" s="51">
        <f t="shared" si="209"/>
        <v>74759869.149999991</v>
      </c>
      <c r="L474" s="51">
        <f t="shared" si="209"/>
        <v>4559478</v>
      </c>
      <c r="M474" s="161"/>
      <c r="N474" s="53"/>
    </row>
    <row r="475" spans="1:14">
      <c r="A475" s="217"/>
      <c r="B475" s="171" t="s">
        <v>33</v>
      </c>
      <c r="C475" s="20" t="s">
        <v>16</v>
      </c>
      <c r="D475" s="22">
        <f t="shared" ref="D475:L475" si="210">D37+D114+D188+D263+D338+D410</f>
        <v>9846628.6099999994</v>
      </c>
      <c r="E475" s="22">
        <f t="shared" si="210"/>
        <v>1586932.6099999999</v>
      </c>
      <c r="F475" s="22">
        <f t="shared" si="210"/>
        <v>11433561.220000001</v>
      </c>
      <c r="G475" s="22">
        <f t="shared" si="210"/>
        <v>1032032</v>
      </c>
      <c r="H475" s="22">
        <f t="shared" si="210"/>
        <v>0</v>
      </c>
      <c r="I475" s="22">
        <f t="shared" si="210"/>
        <v>0</v>
      </c>
      <c r="J475" s="22">
        <f t="shared" si="210"/>
        <v>0</v>
      </c>
      <c r="K475" s="22">
        <f t="shared" si="210"/>
        <v>12465593.220000001</v>
      </c>
      <c r="L475" s="22">
        <f t="shared" si="210"/>
        <v>717332</v>
      </c>
      <c r="N475" s="24"/>
    </row>
    <row r="476" spans="1:14">
      <c r="A476" s="217"/>
      <c r="B476" s="172"/>
      <c r="C476" s="20" t="s">
        <v>17</v>
      </c>
      <c r="D476" s="22">
        <f t="shared" ref="D476:L476" si="211">D38+D115+D189+D264+D339+D411</f>
        <v>9825460.0699999984</v>
      </c>
      <c r="E476" s="22">
        <f t="shared" si="211"/>
        <v>1685548.08</v>
      </c>
      <c r="F476" s="22">
        <f t="shared" si="211"/>
        <v>11511008.15</v>
      </c>
      <c r="G476" s="22">
        <f t="shared" si="211"/>
        <v>1032012</v>
      </c>
      <c r="H476" s="22">
        <f t="shared" si="211"/>
        <v>0</v>
      </c>
      <c r="I476" s="22">
        <f t="shared" si="211"/>
        <v>0</v>
      </c>
      <c r="J476" s="22">
        <f t="shared" si="211"/>
        <v>0</v>
      </c>
      <c r="K476" s="22">
        <f t="shared" si="211"/>
        <v>12543020.15</v>
      </c>
      <c r="L476" s="22">
        <f t="shared" si="211"/>
        <v>717332</v>
      </c>
      <c r="N476" s="24"/>
    </row>
    <row r="477" spans="1:14">
      <c r="A477" s="217"/>
      <c r="B477" s="172"/>
      <c r="C477" s="20" t="s">
        <v>18</v>
      </c>
      <c r="D477" s="22">
        <f t="shared" ref="D477:L477" si="212">D39+D116+D190+D265+D340+D412</f>
        <v>9814884.2699999996</v>
      </c>
      <c r="E477" s="22">
        <f t="shared" si="212"/>
        <v>1586829.9700000002</v>
      </c>
      <c r="F477" s="22">
        <f t="shared" si="212"/>
        <v>11401714.24</v>
      </c>
      <c r="G477" s="22">
        <f t="shared" si="212"/>
        <v>1032012</v>
      </c>
      <c r="H477" s="22">
        <f t="shared" si="212"/>
        <v>0</v>
      </c>
      <c r="I477" s="22">
        <f t="shared" si="212"/>
        <v>0</v>
      </c>
      <c r="J477" s="22">
        <f t="shared" si="212"/>
        <v>0</v>
      </c>
      <c r="K477" s="22">
        <f t="shared" si="212"/>
        <v>12433726.24</v>
      </c>
      <c r="L477" s="22">
        <f t="shared" si="212"/>
        <v>717332</v>
      </c>
      <c r="N477" s="24"/>
    </row>
    <row r="478" spans="1:14">
      <c r="A478" s="217"/>
      <c r="B478" s="171" t="s">
        <v>34</v>
      </c>
      <c r="C478" s="20" t="s">
        <v>16</v>
      </c>
      <c r="D478" s="22">
        <f t="shared" ref="D478:L478" si="213">D40+D117+D191+D266+D341+D413</f>
        <v>10427049.170000002</v>
      </c>
      <c r="E478" s="22">
        <f t="shared" si="213"/>
        <v>1560534.48</v>
      </c>
      <c r="F478" s="22">
        <f t="shared" si="213"/>
        <v>11987583.65</v>
      </c>
      <c r="G478" s="22">
        <f t="shared" si="213"/>
        <v>1035389</v>
      </c>
      <c r="H478" s="22">
        <f t="shared" si="213"/>
        <v>0</v>
      </c>
      <c r="I478" s="22">
        <f t="shared" si="213"/>
        <v>0</v>
      </c>
      <c r="J478" s="22">
        <f t="shared" si="213"/>
        <v>0</v>
      </c>
      <c r="K478" s="22">
        <f t="shared" si="213"/>
        <v>13022972.65</v>
      </c>
      <c r="L478" s="22">
        <f t="shared" si="213"/>
        <v>749430</v>
      </c>
      <c r="N478" s="24"/>
    </row>
    <row r="479" spans="1:14">
      <c r="A479" s="217"/>
      <c r="B479" s="172"/>
      <c r="C479" s="20" t="s">
        <v>17</v>
      </c>
      <c r="D479" s="22">
        <f t="shared" ref="D479:L479" si="214">D41+D118+D192+D267+D342+D414</f>
        <v>10420080.33</v>
      </c>
      <c r="E479" s="22">
        <f t="shared" si="214"/>
        <v>1650236.44</v>
      </c>
      <c r="F479" s="22">
        <f t="shared" si="214"/>
        <v>12070316.77</v>
      </c>
      <c r="G479" s="22">
        <f t="shared" si="214"/>
        <v>1035389</v>
      </c>
      <c r="H479" s="22">
        <f t="shared" si="214"/>
        <v>0</v>
      </c>
      <c r="I479" s="22">
        <f t="shared" si="214"/>
        <v>0</v>
      </c>
      <c r="J479" s="22">
        <f t="shared" si="214"/>
        <v>0</v>
      </c>
      <c r="K479" s="22">
        <f t="shared" si="214"/>
        <v>13105705.77</v>
      </c>
      <c r="L479" s="22">
        <f t="shared" si="214"/>
        <v>749430</v>
      </c>
      <c r="N479" s="24"/>
    </row>
    <row r="480" spans="1:14">
      <c r="A480" s="217"/>
      <c r="B480" s="172"/>
      <c r="C480" s="20" t="s">
        <v>18</v>
      </c>
      <c r="D480" s="22">
        <f t="shared" ref="D480:L480" si="215">D42+D119+D193+D268+D343+D415</f>
        <v>10420080.33</v>
      </c>
      <c r="E480" s="22">
        <f t="shared" si="215"/>
        <v>1560431.8399999999</v>
      </c>
      <c r="F480" s="22">
        <f t="shared" si="215"/>
        <v>11980512.17</v>
      </c>
      <c r="G480" s="22">
        <f t="shared" si="215"/>
        <v>1035389</v>
      </c>
      <c r="H480" s="22">
        <f t="shared" si="215"/>
        <v>0</v>
      </c>
      <c r="I480" s="22">
        <f t="shared" si="215"/>
        <v>0</v>
      </c>
      <c r="J480" s="22">
        <f t="shared" si="215"/>
        <v>0</v>
      </c>
      <c r="K480" s="22">
        <f t="shared" si="215"/>
        <v>13015901.17</v>
      </c>
      <c r="L480" s="22">
        <f t="shared" si="215"/>
        <v>749430</v>
      </c>
      <c r="N480" s="24"/>
    </row>
    <row r="481" spans="1:18">
      <c r="A481" s="217"/>
      <c r="B481" s="171" t="s">
        <v>35</v>
      </c>
      <c r="C481" s="20" t="s">
        <v>16</v>
      </c>
      <c r="D481" s="22">
        <f t="shared" ref="D481:L481" si="216">D43+D120+D194+D269+D344+D416</f>
        <v>9912149.1599999983</v>
      </c>
      <c r="E481" s="22">
        <f t="shared" si="216"/>
        <v>1473598.88</v>
      </c>
      <c r="F481" s="22">
        <f t="shared" si="216"/>
        <v>11385748.039999999</v>
      </c>
      <c r="G481" s="22">
        <f t="shared" si="216"/>
        <v>1029523</v>
      </c>
      <c r="H481" s="22">
        <f t="shared" si="216"/>
        <v>0</v>
      </c>
      <c r="I481" s="22">
        <f t="shared" si="216"/>
        <v>0</v>
      </c>
      <c r="J481" s="22">
        <f t="shared" si="216"/>
        <v>0</v>
      </c>
      <c r="K481" s="22">
        <f t="shared" si="216"/>
        <v>12415271.040000001</v>
      </c>
      <c r="L481" s="22">
        <f t="shared" si="216"/>
        <v>715671</v>
      </c>
      <c r="N481" s="24"/>
    </row>
    <row r="482" spans="1:18">
      <c r="A482" s="217"/>
      <c r="B482" s="172"/>
      <c r="C482" s="20" t="s">
        <v>17</v>
      </c>
      <c r="D482" s="22">
        <f t="shared" ref="D482:L482" si="217">D44+D121+D195+D270+D345+D417</f>
        <v>9847224.7699999996</v>
      </c>
      <c r="E482" s="22">
        <f t="shared" si="217"/>
        <v>1537078.6300000001</v>
      </c>
      <c r="F482" s="22">
        <f t="shared" si="217"/>
        <v>11384303.4</v>
      </c>
      <c r="G482" s="22">
        <f t="shared" si="217"/>
        <v>1022704</v>
      </c>
      <c r="H482" s="22">
        <f t="shared" si="217"/>
        <v>0</v>
      </c>
      <c r="I482" s="22">
        <f t="shared" si="217"/>
        <v>0</v>
      </c>
      <c r="J482" s="22">
        <f t="shared" si="217"/>
        <v>0</v>
      </c>
      <c r="K482" s="22">
        <f t="shared" si="217"/>
        <v>12407007.4</v>
      </c>
      <c r="L482" s="22">
        <f t="shared" si="217"/>
        <v>706519</v>
      </c>
      <c r="N482" s="24"/>
    </row>
    <row r="483" spans="1:18">
      <c r="A483" s="217"/>
      <c r="B483" s="172"/>
      <c r="C483" s="20" t="s">
        <v>18</v>
      </c>
      <c r="D483" s="22">
        <f t="shared" ref="D483:L483" si="218">D45+D122+D196+D271+D346+D418</f>
        <v>9847224.7699999996</v>
      </c>
      <c r="E483" s="22">
        <f t="shared" si="218"/>
        <v>1465310.8200000003</v>
      </c>
      <c r="F483" s="22">
        <f t="shared" si="218"/>
        <v>11312535.590000002</v>
      </c>
      <c r="G483" s="22">
        <f t="shared" si="218"/>
        <v>1022704</v>
      </c>
      <c r="H483" s="22">
        <f t="shared" si="218"/>
        <v>0</v>
      </c>
      <c r="I483" s="22">
        <f t="shared" si="218"/>
        <v>0</v>
      </c>
      <c r="J483" s="22">
        <f t="shared" si="218"/>
        <v>0</v>
      </c>
      <c r="K483" s="22">
        <f t="shared" si="218"/>
        <v>12335239.590000002</v>
      </c>
      <c r="L483" s="22">
        <f t="shared" si="218"/>
        <v>706519</v>
      </c>
      <c r="N483" s="24"/>
    </row>
    <row r="484" spans="1:18">
      <c r="A484" s="217"/>
      <c r="B484" s="171" t="s">
        <v>36</v>
      </c>
      <c r="C484" s="20" t="s">
        <v>16</v>
      </c>
      <c r="D484" s="22">
        <f t="shared" ref="D484:L484" si="219">D46+D123+D197+D272+D347+D419</f>
        <v>30185826.940000001</v>
      </c>
      <c r="E484" s="22">
        <f t="shared" si="219"/>
        <v>4621065.97</v>
      </c>
      <c r="F484" s="22">
        <f t="shared" si="219"/>
        <v>34806892.910000004</v>
      </c>
      <c r="G484" s="22">
        <f t="shared" si="219"/>
        <v>3096944</v>
      </c>
      <c r="H484" s="22">
        <f t="shared" si="219"/>
        <v>0</v>
      </c>
      <c r="I484" s="22">
        <f t="shared" si="219"/>
        <v>0</v>
      </c>
      <c r="J484" s="22">
        <f t="shared" si="219"/>
        <v>0</v>
      </c>
      <c r="K484" s="22">
        <f t="shared" si="219"/>
        <v>37903836.910000004</v>
      </c>
      <c r="L484" s="22">
        <f t="shared" si="219"/>
        <v>2182433</v>
      </c>
      <c r="N484" s="24"/>
    </row>
    <row r="485" spans="1:18">
      <c r="A485" s="217"/>
      <c r="B485" s="172"/>
      <c r="C485" s="20" t="s">
        <v>17</v>
      </c>
      <c r="D485" s="22">
        <f t="shared" ref="D485:L485" si="220">D47+D124+D198+D273+D348+D420</f>
        <v>30092765.169999998</v>
      </c>
      <c r="E485" s="22">
        <f t="shared" si="220"/>
        <v>4872863.1499999994</v>
      </c>
      <c r="F485" s="22">
        <f t="shared" si="220"/>
        <v>34965628.32</v>
      </c>
      <c r="G485" s="22">
        <f t="shared" si="220"/>
        <v>3090105</v>
      </c>
      <c r="H485" s="22">
        <f t="shared" si="220"/>
        <v>0</v>
      </c>
      <c r="I485" s="22">
        <f t="shared" si="220"/>
        <v>0</v>
      </c>
      <c r="J485" s="22">
        <f t="shared" si="220"/>
        <v>0</v>
      </c>
      <c r="K485" s="22">
        <f t="shared" si="220"/>
        <v>38055733.32</v>
      </c>
      <c r="L485" s="22">
        <f t="shared" si="220"/>
        <v>2173281</v>
      </c>
      <c r="N485" s="24"/>
    </row>
    <row r="486" spans="1:18">
      <c r="A486" s="217"/>
      <c r="B486" s="172"/>
      <c r="C486" s="20" t="s">
        <v>18</v>
      </c>
      <c r="D486" s="22">
        <f t="shared" ref="D486:J486" si="221">D48+D125+D199+D274+D349+D421</f>
        <v>30082189.370000001</v>
      </c>
      <c r="E486" s="22">
        <f t="shared" si="221"/>
        <v>4612572.63</v>
      </c>
      <c r="F486" s="22">
        <f t="shared" si="221"/>
        <v>34694762</v>
      </c>
      <c r="G486" s="22">
        <f t="shared" si="221"/>
        <v>3090105</v>
      </c>
      <c r="H486" s="22">
        <f t="shared" si="221"/>
        <v>0</v>
      </c>
      <c r="I486" s="22">
        <f t="shared" si="221"/>
        <v>0</v>
      </c>
      <c r="J486" s="22">
        <f t="shared" si="221"/>
        <v>0</v>
      </c>
      <c r="K486" s="22">
        <f>K52+K129+K203+K337+K409+K278</f>
        <v>38758122.609999999</v>
      </c>
      <c r="L486" s="22">
        <f>L48+L125+L199+L274+L349+L421</f>
        <v>2173281</v>
      </c>
      <c r="N486" s="24"/>
    </row>
    <row r="487" spans="1:18">
      <c r="A487" s="217"/>
      <c r="B487" s="234"/>
      <c r="C487" s="20" t="s">
        <v>19</v>
      </c>
      <c r="D487" s="22">
        <f>D484-D486</f>
        <v>103637.5700000003</v>
      </c>
      <c r="E487" s="22">
        <f t="shared" ref="E487:L487" si="222">E484-E486</f>
        <v>8493.339999999851</v>
      </c>
      <c r="F487" s="22">
        <f t="shared" si="222"/>
        <v>112130.91000000387</v>
      </c>
      <c r="G487" s="22">
        <f t="shared" si="222"/>
        <v>6839</v>
      </c>
      <c r="H487" s="22">
        <f t="shared" si="222"/>
        <v>0</v>
      </c>
      <c r="I487" s="22">
        <f t="shared" si="222"/>
        <v>0</v>
      </c>
      <c r="J487" s="22">
        <f t="shared" si="222"/>
        <v>0</v>
      </c>
      <c r="K487" s="22">
        <f t="shared" si="222"/>
        <v>-854285.69999999553</v>
      </c>
      <c r="L487" s="22">
        <f t="shared" si="222"/>
        <v>9152</v>
      </c>
      <c r="N487" s="24"/>
    </row>
    <row r="488" spans="1:18">
      <c r="A488" s="217"/>
      <c r="B488" s="171" t="s">
        <v>38</v>
      </c>
      <c r="C488" s="20" t="s">
        <v>16</v>
      </c>
      <c r="D488" s="22">
        <f t="shared" ref="D488:L488" si="223">D53+D130+D204+D279+D353+D423</f>
        <v>10619924.49</v>
      </c>
      <c r="E488" s="22">
        <f t="shared" si="223"/>
        <v>1602004.81</v>
      </c>
      <c r="F488" s="22">
        <f t="shared" si="223"/>
        <v>12221929.300000001</v>
      </c>
      <c r="G488" s="22">
        <f t="shared" si="223"/>
        <v>1045452</v>
      </c>
      <c r="H488" s="22">
        <f t="shared" si="223"/>
        <v>0</v>
      </c>
      <c r="I488" s="22">
        <f t="shared" si="223"/>
        <v>0</v>
      </c>
      <c r="J488" s="22">
        <f t="shared" si="223"/>
        <v>0</v>
      </c>
      <c r="K488" s="22">
        <f t="shared" si="223"/>
        <v>13267381.299999999</v>
      </c>
      <c r="L488" s="22">
        <f t="shared" si="223"/>
        <v>781143</v>
      </c>
      <c r="N488" s="24"/>
    </row>
    <row r="489" spans="1:18">
      <c r="A489" s="217"/>
      <c r="B489" s="172"/>
      <c r="C489" s="20" t="s">
        <v>17</v>
      </c>
      <c r="D489" s="22">
        <f t="shared" ref="D489:L489" si="224">D54+D131+D205+D280+D354+D424</f>
        <v>10621558.130000001</v>
      </c>
      <c r="E489" s="22">
        <f t="shared" si="224"/>
        <v>1670051.2599999998</v>
      </c>
      <c r="F489" s="22">
        <f t="shared" si="224"/>
        <v>12291609.390000001</v>
      </c>
      <c r="G489" s="22">
        <f t="shared" si="224"/>
        <v>1045452</v>
      </c>
      <c r="H489" s="22">
        <f t="shared" si="224"/>
        <v>0</v>
      </c>
      <c r="I489" s="22">
        <f t="shared" si="224"/>
        <v>0</v>
      </c>
      <c r="J489" s="22">
        <f t="shared" si="224"/>
        <v>0</v>
      </c>
      <c r="K489" s="22">
        <f t="shared" si="224"/>
        <v>13337061.389999999</v>
      </c>
      <c r="L489" s="22">
        <f t="shared" si="224"/>
        <v>781143</v>
      </c>
      <c r="N489" s="24"/>
    </row>
    <row r="490" spans="1:18">
      <c r="A490" s="217"/>
      <c r="B490" s="172"/>
      <c r="C490" s="20" t="s">
        <v>18</v>
      </c>
      <c r="D490" s="22">
        <f t="shared" ref="D490:L490" si="225">D55+D132+D206+D281+D355+D425</f>
        <v>10619073.300000001</v>
      </c>
      <c r="E490" s="22">
        <f t="shared" si="225"/>
        <v>1601902.17</v>
      </c>
      <c r="F490" s="22">
        <f t="shared" si="225"/>
        <v>12220975.470000001</v>
      </c>
      <c r="G490" s="22">
        <f t="shared" si="225"/>
        <v>1045452</v>
      </c>
      <c r="H490" s="22">
        <f t="shared" si="225"/>
        <v>0</v>
      </c>
      <c r="I490" s="22">
        <f t="shared" si="225"/>
        <v>0</v>
      </c>
      <c r="J490" s="22">
        <f t="shared" si="225"/>
        <v>0</v>
      </c>
      <c r="K490" s="22">
        <f t="shared" si="225"/>
        <v>13266427.469999999</v>
      </c>
      <c r="L490" s="22">
        <f t="shared" si="225"/>
        <v>781143</v>
      </c>
      <c r="N490" s="24"/>
    </row>
    <row r="491" spans="1:18">
      <c r="A491" s="217"/>
      <c r="B491" s="171" t="s">
        <v>39</v>
      </c>
      <c r="C491" s="20" t="s">
        <v>16</v>
      </c>
      <c r="D491" s="22">
        <f t="shared" ref="D491:L491" si="226">D56+D133+D207+D282+D356+D426</f>
        <v>10740048.26</v>
      </c>
      <c r="E491" s="22">
        <f t="shared" si="226"/>
        <v>1813982.33</v>
      </c>
      <c r="F491" s="22">
        <f t="shared" si="226"/>
        <v>12554030.590000002</v>
      </c>
      <c r="G491" s="22">
        <f t="shared" si="226"/>
        <v>1040614</v>
      </c>
      <c r="H491" s="22">
        <f t="shared" si="226"/>
        <v>0</v>
      </c>
      <c r="I491" s="22">
        <f t="shared" si="226"/>
        <v>0</v>
      </c>
      <c r="J491" s="22">
        <f t="shared" si="226"/>
        <v>0</v>
      </c>
      <c r="K491" s="22">
        <f t="shared" si="226"/>
        <v>13594644.590000002</v>
      </c>
      <c r="L491" s="22">
        <f t="shared" si="226"/>
        <v>796488</v>
      </c>
      <c r="N491" s="24"/>
    </row>
    <row r="492" spans="1:18">
      <c r="A492" s="217"/>
      <c r="B492" s="172"/>
      <c r="C492" s="20" t="s">
        <v>17</v>
      </c>
      <c r="D492" s="22">
        <f t="shared" ref="D492:L492" si="227">D57+D134+D208+D283+D357+D427</f>
        <v>10823632.790000001</v>
      </c>
      <c r="E492" s="22">
        <f t="shared" si="227"/>
        <v>1691783.03</v>
      </c>
      <c r="F492" s="22">
        <f t="shared" si="227"/>
        <v>12515415.819999998</v>
      </c>
      <c r="G492" s="22">
        <f t="shared" si="227"/>
        <v>1037688</v>
      </c>
      <c r="H492" s="22">
        <f t="shared" si="227"/>
        <v>0</v>
      </c>
      <c r="I492" s="22">
        <f t="shared" si="227"/>
        <v>0</v>
      </c>
      <c r="J492" s="22">
        <f t="shared" si="227"/>
        <v>0</v>
      </c>
      <c r="K492" s="22">
        <f t="shared" si="227"/>
        <v>13553103.819999998</v>
      </c>
      <c r="L492" s="22">
        <f t="shared" si="227"/>
        <v>795608</v>
      </c>
      <c r="N492" s="24"/>
    </row>
    <row r="493" spans="1:18">
      <c r="A493" s="217"/>
      <c r="B493" s="172"/>
      <c r="C493" s="20" t="s">
        <v>18</v>
      </c>
      <c r="D493" s="22">
        <f t="shared" ref="D493:L493" si="228">D58+D135+D209+D284+D358+D428</f>
        <v>10799432.810000001</v>
      </c>
      <c r="E493" s="22">
        <f t="shared" si="228"/>
        <v>1660921.9100000001</v>
      </c>
      <c r="F493" s="22">
        <f t="shared" si="228"/>
        <v>12460354.720000001</v>
      </c>
      <c r="G493" s="22">
        <f t="shared" si="228"/>
        <v>1037688</v>
      </c>
      <c r="H493" s="22">
        <f t="shared" si="228"/>
        <v>0</v>
      </c>
      <c r="I493" s="22">
        <f t="shared" si="228"/>
        <v>0</v>
      </c>
      <c r="J493" s="22">
        <f t="shared" si="228"/>
        <v>0</v>
      </c>
      <c r="K493" s="22">
        <f t="shared" si="228"/>
        <v>13498042.720000001</v>
      </c>
      <c r="L493" s="22">
        <f t="shared" si="228"/>
        <v>795608</v>
      </c>
      <c r="N493" s="24"/>
    </row>
    <row r="494" spans="1:18">
      <c r="A494" s="217"/>
      <c r="B494" s="171" t="s">
        <v>43</v>
      </c>
      <c r="C494" s="20" t="s">
        <v>16</v>
      </c>
      <c r="D494" s="22">
        <f t="shared" ref="D494:L494" si="229">D64+D141+D215+D291+D364+D429</f>
        <v>11501697.369999999</v>
      </c>
      <c r="E494" s="22">
        <f t="shared" si="229"/>
        <v>1629166.6800000002</v>
      </c>
      <c r="F494" s="22">
        <f t="shared" si="229"/>
        <v>13130864.050000001</v>
      </c>
      <c r="G494" s="22">
        <f t="shared" si="229"/>
        <v>1052274</v>
      </c>
      <c r="H494" s="22">
        <f t="shared" si="229"/>
        <v>0</v>
      </c>
      <c r="I494" s="22">
        <f t="shared" si="229"/>
        <v>0</v>
      </c>
      <c r="J494" s="22">
        <f t="shared" si="229"/>
        <v>0</v>
      </c>
      <c r="K494" s="22">
        <f t="shared" si="229"/>
        <v>14183138.050000001</v>
      </c>
      <c r="L494" s="22">
        <f t="shared" si="229"/>
        <v>3438</v>
      </c>
      <c r="N494" s="24"/>
      <c r="R494" s="18"/>
    </row>
    <row r="495" spans="1:18">
      <c r="A495" s="217"/>
      <c r="B495" s="172"/>
      <c r="C495" s="20" t="s">
        <v>17</v>
      </c>
      <c r="D495" s="22">
        <f t="shared" ref="D495:L495" si="230">D65+D142+D216+D292+D365+D430</f>
        <v>9743640.9299999997</v>
      </c>
      <c r="E495" s="22">
        <f t="shared" si="230"/>
        <v>1614348.75</v>
      </c>
      <c r="F495" s="22">
        <f t="shared" si="230"/>
        <v>11357989.680000002</v>
      </c>
      <c r="G495" s="22">
        <f t="shared" si="230"/>
        <v>823348</v>
      </c>
      <c r="H495" s="22">
        <f t="shared" si="230"/>
        <v>0</v>
      </c>
      <c r="I495" s="22">
        <f t="shared" si="230"/>
        <v>0</v>
      </c>
      <c r="J495" s="22">
        <f t="shared" si="230"/>
        <v>0</v>
      </c>
      <c r="K495" s="22">
        <f t="shared" si="230"/>
        <v>12181337.680000002</v>
      </c>
      <c r="L495" s="22">
        <f t="shared" si="230"/>
        <v>707311</v>
      </c>
      <c r="N495" s="24"/>
      <c r="R495" s="18"/>
    </row>
    <row r="496" spans="1:18">
      <c r="A496" s="217"/>
      <c r="B496" s="172"/>
      <c r="C496" s="20" t="s">
        <v>18</v>
      </c>
      <c r="D496" s="22">
        <f t="shared" ref="D496:L496" si="231">D66+D143+D217+D293+D366+D431</f>
        <v>9718115.3499999996</v>
      </c>
      <c r="E496" s="22">
        <f t="shared" si="231"/>
        <v>1569639.3200000003</v>
      </c>
      <c r="F496" s="22">
        <f t="shared" si="231"/>
        <v>11287754.670000002</v>
      </c>
      <c r="G496" s="22">
        <f t="shared" si="231"/>
        <v>823348</v>
      </c>
      <c r="H496" s="22">
        <f t="shared" si="231"/>
        <v>0</v>
      </c>
      <c r="I496" s="22">
        <f t="shared" si="231"/>
        <v>0</v>
      </c>
      <c r="J496" s="22">
        <f t="shared" si="231"/>
        <v>0</v>
      </c>
      <c r="K496" s="22">
        <f t="shared" si="231"/>
        <v>12111102.670000002</v>
      </c>
      <c r="L496" s="22">
        <f t="shared" si="231"/>
        <v>3432</v>
      </c>
      <c r="N496" s="24"/>
      <c r="R496" s="18"/>
    </row>
    <row r="497" spans="1:20">
      <c r="A497" s="217"/>
      <c r="B497" s="187" t="s">
        <v>44</v>
      </c>
      <c r="C497" s="20" t="s">
        <v>16</v>
      </c>
      <c r="D497" s="22">
        <f t="shared" ref="D497:L497" si="232">D67+D144+D218+D294+D367+D432</f>
        <v>32861670.119999997</v>
      </c>
      <c r="E497" s="22">
        <f t="shared" si="232"/>
        <v>5045153.82</v>
      </c>
      <c r="F497" s="22">
        <f t="shared" si="232"/>
        <v>37906823.939999998</v>
      </c>
      <c r="G497" s="22">
        <f t="shared" si="232"/>
        <v>3138340</v>
      </c>
      <c r="H497" s="22">
        <f t="shared" si="232"/>
        <v>0</v>
      </c>
      <c r="I497" s="22">
        <f t="shared" si="232"/>
        <v>0</v>
      </c>
      <c r="J497" s="22">
        <f t="shared" si="232"/>
        <v>0</v>
      </c>
      <c r="K497" s="22">
        <f t="shared" si="232"/>
        <v>41045163.940000005</v>
      </c>
      <c r="L497" s="22">
        <f t="shared" si="232"/>
        <v>1581069</v>
      </c>
      <c r="N497" s="24"/>
      <c r="R497" s="18"/>
      <c r="T497" s="132"/>
    </row>
    <row r="498" spans="1:20">
      <c r="A498" s="217"/>
      <c r="B498" s="188"/>
      <c r="C498" s="20" t="s">
        <v>17</v>
      </c>
      <c r="D498" s="22">
        <f t="shared" ref="D498:L498" si="233">D68+D145+D219+D295+D368+D433</f>
        <v>31265985.760000002</v>
      </c>
      <c r="E498" s="22">
        <f t="shared" si="233"/>
        <v>4976183.04</v>
      </c>
      <c r="F498" s="22">
        <f t="shared" si="233"/>
        <v>36165014.889999993</v>
      </c>
      <c r="G498" s="22">
        <f t="shared" si="233"/>
        <v>2906488</v>
      </c>
      <c r="H498" s="22">
        <f t="shared" si="233"/>
        <v>0</v>
      </c>
      <c r="I498" s="22">
        <f t="shared" si="233"/>
        <v>0</v>
      </c>
      <c r="J498" s="22">
        <f t="shared" si="233"/>
        <v>0</v>
      </c>
      <c r="K498" s="22">
        <f t="shared" si="233"/>
        <v>39071502.889999993</v>
      </c>
      <c r="L498" s="22">
        <f t="shared" si="233"/>
        <v>2284062</v>
      </c>
      <c r="N498" s="24"/>
    </row>
    <row r="499" spans="1:20">
      <c r="A499" s="217"/>
      <c r="B499" s="188"/>
      <c r="C499" s="20" t="s">
        <v>18</v>
      </c>
      <c r="D499" s="22">
        <f t="shared" ref="D499:L499" si="234">D69+D146+D220+D296+D369+D434</f>
        <v>31239603.830000002</v>
      </c>
      <c r="E499" s="22">
        <f t="shared" si="234"/>
        <v>4832463.4000000004</v>
      </c>
      <c r="F499" s="22">
        <f t="shared" si="234"/>
        <v>35969084.859999999</v>
      </c>
      <c r="G499" s="22">
        <f t="shared" si="234"/>
        <v>3130436</v>
      </c>
      <c r="H499" s="22">
        <f t="shared" si="234"/>
        <v>0</v>
      </c>
      <c r="I499" s="22">
        <f t="shared" si="234"/>
        <v>0</v>
      </c>
      <c r="J499" s="22">
        <f t="shared" si="234"/>
        <v>0</v>
      </c>
      <c r="K499" s="22">
        <f t="shared" si="234"/>
        <v>40175642.549999997</v>
      </c>
      <c r="L499" s="22">
        <f t="shared" si="234"/>
        <v>1580183</v>
      </c>
      <c r="N499" s="24"/>
    </row>
    <row r="500" spans="1:20">
      <c r="A500" s="217"/>
      <c r="B500" s="225" t="s">
        <v>45</v>
      </c>
      <c r="C500" s="111" t="s">
        <v>16</v>
      </c>
      <c r="D500" s="112">
        <f t="shared" ref="D500:L500" si="235">D70+D147+D221+D297+D370+D435</f>
        <v>63047497.060000002</v>
      </c>
      <c r="E500" s="112">
        <f t="shared" si="235"/>
        <v>9666219.790000001</v>
      </c>
      <c r="F500" s="112">
        <f t="shared" si="235"/>
        <v>72713716.850000009</v>
      </c>
      <c r="G500" s="112">
        <f t="shared" si="235"/>
        <v>6235284</v>
      </c>
      <c r="H500" s="112">
        <f t="shared" si="235"/>
        <v>0</v>
      </c>
      <c r="I500" s="112">
        <f t="shared" si="235"/>
        <v>0</v>
      </c>
      <c r="J500" s="112">
        <f t="shared" si="235"/>
        <v>0</v>
      </c>
      <c r="K500" s="112">
        <f t="shared" si="235"/>
        <v>78949000.850000009</v>
      </c>
      <c r="L500" s="112">
        <f t="shared" si="235"/>
        <v>3763502</v>
      </c>
      <c r="M500" s="113">
        <f>M70+M147+M221+M297+M370+M435</f>
        <v>0</v>
      </c>
      <c r="N500" s="133">
        <f>N70+N147+N221+N297+N370+N435</f>
        <v>11091.59</v>
      </c>
      <c r="R500" s="132"/>
    </row>
    <row r="501" spans="1:20">
      <c r="A501" s="217"/>
      <c r="B501" s="226"/>
      <c r="C501" s="111" t="s">
        <v>17</v>
      </c>
      <c r="D501" s="112">
        <f t="shared" ref="D501:L501" si="236">D71+D148+D222+D298+D371+D436</f>
        <v>61314914.030000001</v>
      </c>
      <c r="E501" s="112">
        <f t="shared" si="236"/>
        <v>10000796.469999999</v>
      </c>
      <c r="F501" s="112">
        <f t="shared" si="236"/>
        <v>71315710.500000015</v>
      </c>
      <c r="G501" s="112">
        <f t="shared" si="236"/>
        <v>6006358</v>
      </c>
      <c r="H501" s="112">
        <f t="shared" si="236"/>
        <v>0</v>
      </c>
      <c r="I501" s="112">
        <f t="shared" si="236"/>
        <v>0</v>
      </c>
      <c r="J501" s="112">
        <f t="shared" si="236"/>
        <v>0</v>
      </c>
      <c r="K501" s="112">
        <f t="shared" si="236"/>
        <v>77322068.500000015</v>
      </c>
      <c r="L501" s="112">
        <f t="shared" si="236"/>
        <v>4467375</v>
      </c>
      <c r="N501" s="133">
        <f>N71+N148+N222+N298+N371+N436</f>
        <v>11091.59</v>
      </c>
    </row>
    <row r="502" spans="1:20">
      <c r="A502" s="217"/>
      <c r="B502" s="227"/>
      <c r="C502" s="111" t="s">
        <v>18</v>
      </c>
      <c r="D502" s="112">
        <f t="shared" ref="D502:L502" si="237">D72+D149+D223+D299+D372+D437</f>
        <v>61263006.520000003</v>
      </c>
      <c r="E502" s="112">
        <f t="shared" si="237"/>
        <v>9606633.7800000012</v>
      </c>
      <c r="F502" s="112">
        <f t="shared" si="237"/>
        <v>70823414.150000006</v>
      </c>
      <c r="G502" s="112">
        <f t="shared" si="237"/>
        <v>6006358</v>
      </c>
      <c r="H502" s="112">
        <f t="shared" si="237"/>
        <v>0</v>
      </c>
      <c r="I502" s="112">
        <f t="shared" si="237"/>
        <v>0</v>
      </c>
      <c r="J502" s="112">
        <f t="shared" si="237"/>
        <v>0</v>
      </c>
      <c r="K502" s="112">
        <f t="shared" si="237"/>
        <v>76829772.149999991</v>
      </c>
      <c r="L502" s="112">
        <f t="shared" si="237"/>
        <v>3763496</v>
      </c>
      <c r="N502" s="133">
        <f>N72+N149+N223+N372+N437</f>
        <v>11091.59</v>
      </c>
    </row>
    <row r="503" spans="1:20">
      <c r="A503" s="217"/>
      <c r="B503" s="228" t="s">
        <v>46</v>
      </c>
      <c r="C503" s="162" t="s">
        <v>16</v>
      </c>
      <c r="D503" s="163">
        <f t="shared" ref="D503:N503" si="238">D73+D151+D225+D300+D373+D438</f>
        <v>121227188.03</v>
      </c>
      <c r="E503" s="163">
        <f t="shared" si="238"/>
        <v>19199312.140000001</v>
      </c>
      <c r="F503" s="163">
        <f t="shared" si="238"/>
        <v>140426500.16999999</v>
      </c>
      <c r="G503" s="163">
        <f t="shared" si="238"/>
        <v>12277489.83</v>
      </c>
      <c r="H503" s="163">
        <f t="shared" si="238"/>
        <v>1004880</v>
      </c>
      <c r="I503" s="163">
        <f t="shared" si="238"/>
        <v>0</v>
      </c>
      <c r="J503" s="163">
        <f t="shared" si="238"/>
        <v>0</v>
      </c>
      <c r="K503" s="163">
        <f t="shared" si="238"/>
        <v>153708869.99999997</v>
      </c>
      <c r="L503" s="163">
        <f t="shared" si="238"/>
        <v>8322980</v>
      </c>
      <c r="M503" s="164">
        <f t="shared" si="238"/>
        <v>18821</v>
      </c>
      <c r="N503" s="165">
        <f t="shared" si="238"/>
        <v>28283.729999999996</v>
      </c>
      <c r="O503" s="134"/>
    </row>
    <row r="504" spans="1:20">
      <c r="A504" s="217"/>
      <c r="B504" s="229"/>
      <c r="C504" s="162" t="s">
        <v>61</v>
      </c>
      <c r="D504" s="163">
        <f t="shared" ref="D504:K504" si="239">D75+D153+D227+D375+D440+D302</f>
        <v>123094232.78</v>
      </c>
      <c r="E504" s="163">
        <f t="shared" si="239"/>
        <v>20192524.52</v>
      </c>
      <c r="F504" s="163">
        <f t="shared" si="239"/>
        <v>143286757.28999999</v>
      </c>
      <c r="G504" s="163">
        <f t="shared" si="239"/>
        <v>12048563.83</v>
      </c>
      <c r="H504" s="163">
        <f t="shared" si="239"/>
        <v>1004880</v>
      </c>
      <c r="I504" s="163">
        <f t="shared" si="239"/>
        <v>864025.12</v>
      </c>
      <c r="J504" s="163">
        <f t="shared" si="239"/>
        <v>864025.12</v>
      </c>
      <c r="K504" s="163">
        <f t="shared" si="239"/>
        <v>156340201.11999997</v>
      </c>
      <c r="L504" s="163">
        <f>L501+L472</f>
        <v>9026853</v>
      </c>
      <c r="M504" s="166">
        <f>K504-H504</f>
        <v>155335321.11999997</v>
      </c>
      <c r="N504" s="165">
        <f>N74+N152+N226+N301+N374+N439</f>
        <v>28283.729999999996</v>
      </c>
      <c r="P504" s="18"/>
    </row>
    <row r="505" spans="1:20">
      <c r="A505" s="224"/>
      <c r="B505" s="230"/>
      <c r="C505" s="167" t="s">
        <v>18</v>
      </c>
      <c r="D505" s="163">
        <f t="shared" ref="D505:K505" si="240">D76+D154+D228+D303+D376+D441</f>
        <v>119496474.76000001</v>
      </c>
      <c r="E505" s="163">
        <f t="shared" si="240"/>
        <v>18557458.400000002</v>
      </c>
      <c r="F505" s="163">
        <f t="shared" si="240"/>
        <v>138053933.16</v>
      </c>
      <c r="G505" s="163">
        <f t="shared" si="240"/>
        <v>12048563.83</v>
      </c>
      <c r="H505" s="163">
        <f t="shared" si="240"/>
        <v>1004880</v>
      </c>
      <c r="I505" s="163">
        <f t="shared" si="240"/>
        <v>0</v>
      </c>
      <c r="J505" s="163">
        <f t="shared" si="240"/>
        <v>0</v>
      </c>
      <c r="K505" s="163">
        <f t="shared" si="240"/>
        <v>151635867.44999996</v>
      </c>
      <c r="L505" s="163">
        <f>L502+L474</f>
        <v>8322974</v>
      </c>
      <c r="M505" s="168"/>
      <c r="N505" s="165">
        <f>N503</f>
        <v>28283.729999999996</v>
      </c>
    </row>
    <row r="506" spans="1:20">
      <c r="D506" s="18"/>
      <c r="H506" s="135" t="s">
        <v>62</v>
      </c>
      <c r="I506" s="135"/>
      <c r="J506" s="135"/>
      <c r="K506" s="136">
        <v>153708870</v>
      </c>
      <c r="L506" s="137"/>
    </row>
    <row r="507" spans="1:20">
      <c r="D507" s="138"/>
      <c r="E507" s="138"/>
      <c r="F507" s="138"/>
      <c r="G507" s="138"/>
      <c r="H507" s="138" t="s">
        <v>63</v>
      </c>
      <c r="I507" s="138"/>
      <c r="J507" s="138"/>
      <c r="K507" s="169">
        <f>K505/K506</f>
        <v>0.98651344876844105</v>
      </c>
      <c r="L507" s="137"/>
      <c r="M507" s="139"/>
      <c r="N507" s="138"/>
    </row>
    <row r="508" spans="1:20">
      <c r="B508" s="4"/>
      <c r="E508" s="140"/>
      <c r="K508" s="141"/>
    </row>
    <row r="509" spans="1:20">
      <c r="B509"/>
      <c r="E509" s="142"/>
      <c r="K509" s="170"/>
      <c r="L509" s="18"/>
    </row>
    <row r="510" spans="1:20">
      <c r="B510" s="143"/>
      <c r="C510" s="139"/>
      <c r="D510" s="138"/>
      <c r="E510" s="138"/>
      <c r="F510" s="138"/>
      <c r="G510" s="138"/>
      <c r="H510" s="138"/>
      <c r="I510" s="138"/>
      <c r="J510" s="138"/>
      <c r="K510" s="138"/>
      <c r="L510" s="138"/>
    </row>
    <row r="511" spans="1:20">
      <c r="B511" s="141"/>
      <c r="C511" s="139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 t="e">
        <f>#REF!+#REF!+#REF!+#REF!+#REF!+#REF!</f>
        <v>#REF!</v>
      </c>
    </row>
    <row r="512" spans="1:20">
      <c r="B512" s="141"/>
      <c r="E512" s="144"/>
      <c r="G512" s="18"/>
    </row>
    <row r="513" spans="2:5">
      <c r="B513" s="138"/>
      <c r="E513" s="144"/>
    </row>
    <row r="514" spans="2:5">
      <c r="B514"/>
    </row>
    <row r="515" spans="2:5">
      <c r="B515"/>
    </row>
    <row r="516" spans="2:5">
      <c r="B516"/>
    </row>
    <row r="517" spans="2:5">
      <c r="B517"/>
    </row>
    <row r="518" spans="2:5">
      <c r="B518"/>
    </row>
    <row r="519" spans="2:5">
      <c r="B519"/>
    </row>
    <row r="520" spans="2:5">
      <c r="B520"/>
    </row>
    <row r="521" spans="2:5">
      <c r="B521"/>
    </row>
    <row r="522" spans="2:5">
      <c r="B522"/>
    </row>
    <row r="523" spans="2:5">
      <c r="B523"/>
    </row>
    <row r="524" spans="2:5">
      <c r="B524"/>
    </row>
    <row r="525" spans="2:5">
      <c r="B525"/>
    </row>
    <row r="526" spans="2:5">
      <c r="B526"/>
    </row>
    <row r="527" spans="2:5">
      <c r="B527"/>
    </row>
    <row r="528" spans="2:5">
      <c r="B528"/>
    </row>
    <row r="529" spans="2:5">
      <c r="B529"/>
    </row>
    <row r="530" spans="2:5">
      <c r="E530" s="139"/>
    </row>
    <row r="531" spans="2:5">
      <c r="E531" s="139"/>
    </row>
  </sheetData>
  <mergeCells count="145">
    <mergeCell ref="B442:B444"/>
    <mergeCell ref="A442:A505"/>
    <mergeCell ref="B497:B499"/>
    <mergeCell ref="B500:B502"/>
    <mergeCell ref="B503:B505"/>
    <mergeCell ref="B451:B456"/>
    <mergeCell ref="B448:B450"/>
    <mergeCell ref="B445:B447"/>
    <mergeCell ref="B478:B480"/>
    <mergeCell ref="B481:B483"/>
    <mergeCell ref="B484:B487"/>
    <mergeCell ref="B488:B490"/>
    <mergeCell ref="B491:B493"/>
    <mergeCell ref="B494:B496"/>
    <mergeCell ref="B457:B459"/>
    <mergeCell ref="B460:B462"/>
    <mergeCell ref="B463:B465"/>
    <mergeCell ref="B466:B468"/>
    <mergeCell ref="B469:B474"/>
    <mergeCell ref="B475:B477"/>
    <mergeCell ref="A377:A441"/>
    <mergeCell ref="B377:B379"/>
    <mergeCell ref="B380:B382"/>
    <mergeCell ref="B383:B385"/>
    <mergeCell ref="B386:B391"/>
    <mergeCell ref="B392:B394"/>
    <mergeCell ref="B395:B397"/>
    <mergeCell ref="B398:B400"/>
    <mergeCell ref="B401:B403"/>
    <mergeCell ref="B426:B428"/>
    <mergeCell ref="B429:B431"/>
    <mergeCell ref="B432:B434"/>
    <mergeCell ref="B435:B437"/>
    <mergeCell ref="B438:B441"/>
    <mergeCell ref="B404:B409"/>
    <mergeCell ref="B410:B412"/>
    <mergeCell ref="B413:B415"/>
    <mergeCell ref="B416:B418"/>
    <mergeCell ref="B419:B422"/>
    <mergeCell ref="B423:B425"/>
    <mergeCell ref="A304:A376"/>
    <mergeCell ref="B304:B306"/>
    <mergeCell ref="B307:B309"/>
    <mergeCell ref="B310:B313"/>
    <mergeCell ref="B314:B319"/>
    <mergeCell ref="B320:B322"/>
    <mergeCell ref="B323:B325"/>
    <mergeCell ref="B326:B328"/>
    <mergeCell ref="B353:B355"/>
    <mergeCell ref="B356:B358"/>
    <mergeCell ref="B359:B363"/>
    <mergeCell ref="B364:B366"/>
    <mergeCell ref="B367:B369"/>
    <mergeCell ref="B370:B372"/>
    <mergeCell ref="B329:B331"/>
    <mergeCell ref="B332:B337"/>
    <mergeCell ref="B338:B340"/>
    <mergeCell ref="B341:B343"/>
    <mergeCell ref="B344:B346"/>
    <mergeCell ref="B347:B352"/>
    <mergeCell ref="B373:B376"/>
    <mergeCell ref="A229:A303"/>
    <mergeCell ref="B229:B231"/>
    <mergeCell ref="B232:B234"/>
    <mergeCell ref="B235:B237"/>
    <mergeCell ref="B238:B243"/>
    <mergeCell ref="B244:B246"/>
    <mergeCell ref="B247:B249"/>
    <mergeCell ref="B272:B278"/>
    <mergeCell ref="B279:B281"/>
    <mergeCell ref="B282:B284"/>
    <mergeCell ref="B285:B290"/>
    <mergeCell ref="B291:B293"/>
    <mergeCell ref="B294:B296"/>
    <mergeCell ref="B250:B252"/>
    <mergeCell ref="B253:B255"/>
    <mergeCell ref="B256:B262"/>
    <mergeCell ref="B263:B265"/>
    <mergeCell ref="B266:B268"/>
    <mergeCell ref="B269:B271"/>
    <mergeCell ref="B297:B299"/>
    <mergeCell ref="B300:B303"/>
    <mergeCell ref="A155:A228"/>
    <mergeCell ref="B155:B157"/>
    <mergeCell ref="B158:B160"/>
    <mergeCell ref="B161:B163"/>
    <mergeCell ref="B164:B169"/>
    <mergeCell ref="B170:B172"/>
    <mergeCell ref="B194:B196"/>
    <mergeCell ref="B197:B203"/>
    <mergeCell ref="B204:B206"/>
    <mergeCell ref="B207:B209"/>
    <mergeCell ref="B210:B214"/>
    <mergeCell ref="B215:B217"/>
    <mergeCell ref="B173:B175"/>
    <mergeCell ref="B176:B178"/>
    <mergeCell ref="B179:B181"/>
    <mergeCell ref="B182:B187"/>
    <mergeCell ref="B188:B190"/>
    <mergeCell ref="B191:B193"/>
    <mergeCell ref="B218:B220"/>
    <mergeCell ref="B221:B224"/>
    <mergeCell ref="B225:B228"/>
    <mergeCell ref="A77:A154"/>
    <mergeCell ref="B77:B79"/>
    <mergeCell ref="B80:B82"/>
    <mergeCell ref="B83:B85"/>
    <mergeCell ref="B86:B91"/>
    <mergeCell ref="B117:B119"/>
    <mergeCell ref="B120:B122"/>
    <mergeCell ref="B123:B129"/>
    <mergeCell ref="B130:B132"/>
    <mergeCell ref="B133:B135"/>
    <mergeCell ref="B136:B140"/>
    <mergeCell ref="B92:B95"/>
    <mergeCell ref="B96:B99"/>
    <mergeCell ref="B100:B103"/>
    <mergeCell ref="B104:B107"/>
    <mergeCell ref="B108:B113"/>
    <mergeCell ref="B114:B116"/>
    <mergeCell ref="B141:B143"/>
    <mergeCell ref="B144:B146"/>
    <mergeCell ref="B147:B150"/>
    <mergeCell ref="B151:B154"/>
    <mergeCell ref="B37:B39"/>
    <mergeCell ref="B40:B42"/>
    <mergeCell ref="B43:B45"/>
    <mergeCell ref="B46:B52"/>
    <mergeCell ref="B53:B55"/>
    <mergeCell ref="B56:B58"/>
    <mergeCell ref="A4:A76"/>
    <mergeCell ref="B4:B6"/>
    <mergeCell ref="B7:B9"/>
    <mergeCell ref="B10:B12"/>
    <mergeCell ref="B13:B18"/>
    <mergeCell ref="B19:B21"/>
    <mergeCell ref="B22:B24"/>
    <mergeCell ref="B25:B27"/>
    <mergeCell ref="B28:B30"/>
    <mergeCell ref="B31:B36"/>
    <mergeCell ref="B59:B63"/>
    <mergeCell ref="B64:B66"/>
    <mergeCell ref="B67:B69"/>
    <mergeCell ref="B70:B72"/>
    <mergeCell ref="B73:B7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5"/>
  <sheetViews>
    <sheetView tabSelected="1" topLeftCell="A431" zoomScaleNormal="100" workbookViewId="0">
      <selection activeCell="H525" sqref="H525"/>
    </sheetView>
  </sheetViews>
  <sheetFormatPr defaultRowHeight="15"/>
  <cols>
    <col min="1" max="1" width="9.85546875" customWidth="1"/>
    <col min="2" max="2" width="10.85546875" style="2" customWidth="1"/>
    <col min="3" max="3" width="13.42578125" customWidth="1"/>
    <col min="4" max="4" width="13.28515625" customWidth="1"/>
    <col min="5" max="5" width="11" customWidth="1"/>
    <col min="6" max="6" width="12.85546875" customWidth="1"/>
    <col min="7" max="7" width="12.140625" customWidth="1"/>
    <col min="8" max="8" width="10.42578125" customWidth="1"/>
    <col min="9" max="9" width="0.140625" hidden="1" customWidth="1"/>
    <col min="10" max="10" width="9.140625" hidden="1" customWidth="1"/>
    <col min="11" max="11" width="12" customWidth="1"/>
    <col min="12" max="12" width="10.140625" customWidth="1"/>
    <col min="13" max="13" width="13.85546875" hidden="1" customWidth="1"/>
    <col min="14" max="14" width="11.140625" style="4" customWidth="1"/>
    <col min="15" max="15" width="14.7109375" bestFit="1" customWidth="1"/>
    <col min="17" max="17" width="14.5703125" bestFit="1" customWidth="1"/>
    <col min="19" max="19" width="16.140625" bestFit="1" customWidth="1"/>
  </cols>
  <sheetData>
    <row r="1" spans="1:14">
      <c r="A1" s="1"/>
      <c r="C1" s="3"/>
      <c r="D1" s="1" t="s">
        <v>0</v>
      </c>
      <c r="E1" s="3"/>
      <c r="F1" s="3"/>
      <c r="G1" s="3"/>
      <c r="H1" s="3"/>
      <c r="I1" s="3"/>
      <c r="J1" s="3"/>
      <c r="K1" s="3"/>
      <c r="L1" s="3"/>
    </row>
    <row r="2" spans="1:14" ht="19.5" customHeight="1" thickBot="1">
      <c r="A2" s="5"/>
      <c r="C2" s="3"/>
      <c r="D2" s="3"/>
      <c r="E2" s="3"/>
      <c r="F2" s="3"/>
      <c r="G2" s="3"/>
      <c r="H2" s="3"/>
      <c r="I2" s="3"/>
      <c r="J2" s="3"/>
      <c r="K2" s="6"/>
      <c r="L2" s="3"/>
    </row>
    <row r="3" spans="1:14" ht="64.5" customHeight="1" thickBo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0" t="s">
        <v>12</v>
      </c>
      <c r="N3" s="13" t="s">
        <v>13</v>
      </c>
    </row>
    <row r="4" spans="1:14">
      <c r="A4" s="174" t="s">
        <v>14</v>
      </c>
      <c r="B4" s="178" t="s">
        <v>15</v>
      </c>
      <c r="C4" s="14" t="s">
        <v>16</v>
      </c>
      <c r="D4" s="15">
        <f>4703821.58-470899.63</f>
        <v>4232921.95</v>
      </c>
      <c r="E4" s="15">
        <f>559899.63-220170.51</f>
        <v>339729.12</v>
      </c>
      <c r="F4" s="16">
        <f t="shared" ref="F4:F12" si="0">D4+E4</f>
        <v>4572651.07</v>
      </c>
      <c r="G4" s="15">
        <f>380536.05-94574.78</f>
        <v>285961.27</v>
      </c>
      <c r="H4" s="15">
        <v>0</v>
      </c>
      <c r="I4" s="15">
        <v>0</v>
      </c>
      <c r="J4" s="15">
        <v>0</v>
      </c>
      <c r="K4" s="16">
        <f t="shared" ref="K4:K12" si="1">J4+I4+H4+G4+E4+D4</f>
        <v>4858612.34</v>
      </c>
      <c r="L4" s="17">
        <f>275486+36980</f>
        <v>312466</v>
      </c>
      <c r="M4" s="18"/>
      <c r="N4" s="19"/>
    </row>
    <row r="5" spans="1:14">
      <c r="A5" s="175"/>
      <c r="B5" s="178"/>
      <c r="C5" s="20" t="s">
        <v>17</v>
      </c>
      <c r="D5" s="21">
        <v>4232055.01</v>
      </c>
      <c r="E5" s="21">
        <v>339729.12</v>
      </c>
      <c r="F5" s="21">
        <f t="shared" si="0"/>
        <v>4571784.13</v>
      </c>
      <c r="G5" s="21">
        <v>285961.27</v>
      </c>
      <c r="H5" s="22">
        <v>0</v>
      </c>
      <c r="I5" s="22">
        <v>0</v>
      </c>
      <c r="J5" s="22">
        <v>0</v>
      </c>
      <c r="K5" s="21">
        <f t="shared" si="1"/>
        <v>4857745.3999999994</v>
      </c>
      <c r="L5" s="23">
        <v>312466</v>
      </c>
      <c r="M5" s="18"/>
      <c r="N5" s="24"/>
    </row>
    <row r="6" spans="1:14">
      <c r="A6" s="175"/>
      <c r="B6" s="178"/>
      <c r="C6" s="25" t="s">
        <v>18</v>
      </c>
      <c r="D6" s="26">
        <v>4232055.01</v>
      </c>
      <c r="E6" s="26">
        <v>339729.12</v>
      </c>
      <c r="F6" s="26">
        <f t="shared" si="0"/>
        <v>4571784.13</v>
      </c>
      <c r="G6" s="26">
        <v>285961.27</v>
      </c>
      <c r="H6" s="27">
        <v>0</v>
      </c>
      <c r="I6" s="27">
        <v>0</v>
      </c>
      <c r="J6" s="27">
        <v>0</v>
      </c>
      <c r="K6" s="26">
        <f t="shared" si="1"/>
        <v>4857745.3999999994</v>
      </c>
      <c r="L6" s="28">
        <v>312466</v>
      </c>
      <c r="M6" s="18"/>
      <c r="N6" s="24"/>
    </row>
    <row r="7" spans="1:14">
      <c r="A7" s="175"/>
      <c r="B7" s="179" t="s">
        <v>20</v>
      </c>
      <c r="C7" s="20" t="s">
        <v>16</v>
      </c>
      <c r="D7" s="22">
        <f>4703821.58-243211.9-1873.9</f>
        <v>4458735.7799999993</v>
      </c>
      <c r="E7" s="22">
        <f>559899.63-146777.44</f>
        <v>413122.19</v>
      </c>
      <c r="F7" s="21">
        <f t="shared" si="0"/>
        <v>4871857.97</v>
      </c>
      <c r="G7" s="22">
        <f>402011.29-91822.55</f>
        <v>310188.74</v>
      </c>
      <c r="H7" s="22">
        <v>0</v>
      </c>
      <c r="I7" s="22">
        <v>0</v>
      </c>
      <c r="J7" s="30">
        <v>0</v>
      </c>
      <c r="K7" s="21">
        <f t="shared" si="1"/>
        <v>5182046.709999999</v>
      </c>
      <c r="L7" s="23">
        <v>302830</v>
      </c>
      <c r="N7" s="24"/>
    </row>
    <row r="8" spans="1:14">
      <c r="A8" s="175"/>
      <c r="B8" s="178"/>
      <c r="C8" s="20" t="s">
        <v>17</v>
      </c>
      <c r="D8" s="21">
        <v>4224925.8600000003</v>
      </c>
      <c r="E8" s="21">
        <v>413122.19</v>
      </c>
      <c r="F8" s="21">
        <f t="shared" si="0"/>
        <v>4638048.0500000007</v>
      </c>
      <c r="G8" s="21">
        <v>310188.74</v>
      </c>
      <c r="H8" s="22">
        <v>0</v>
      </c>
      <c r="I8" s="22">
        <v>0</v>
      </c>
      <c r="J8" s="30">
        <v>0</v>
      </c>
      <c r="K8" s="21">
        <f t="shared" si="1"/>
        <v>4948236.79</v>
      </c>
      <c r="L8" s="23">
        <v>302830</v>
      </c>
      <c r="N8" s="24"/>
    </row>
    <row r="9" spans="1:14">
      <c r="A9" s="175"/>
      <c r="B9" s="178"/>
      <c r="C9" s="25" t="s">
        <v>18</v>
      </c>
      <c r="D9" s="26">
        <v>4224925.8600000003</v>
      </c>
      <c r="E9" s="26">
        <v>413122.19</v>
      </c>
      <c r="F9" s="26">
        <f t="shared" si="0"/>
        <v>4638048.0500000007</v>
      </c>
      <c r="G9" s="26">
        <v>310188.74</v>
      </c>
      <c r="H9" s="27">
        <v>0</v>
      </c>
      <c r="I9" s="27">
        <v>0</v>
      </c>
      <c r="J9" s="27">
        <v>0</v>
      </c>
      <c r="K9" s="26">
        <f t="shared" si="1"/>
        <v>4948236.79</v>
      </c>
      <c r="L9" s="28">
        <v>302830</v>
      </c>
      <c r="M9" s="18"/>
      <c r="N9" s="24"/>
    </row>
    <row r="10" spans="1:14">
      <c r="A10" s="175"/>
      <c r="B10" s="179" t="s">
        <v>22</v>
      </c>
      <c r="C10" s="20" t="s">
        <v>16</v>
      </c>
      <c r="D10" s="22">
        <v>4703821.58</v>
      </c>
      <c r="E10" s="22">
        <f>559899.63-75686.33</f>
        <v>484213.3</v>
      </c>
      <c r="F10" s="21">
        <f t="shared" si="0"/>
        <v>5188034.88</v>
      </c>
      <c r="G10" s="22">
        <f>402011.29-1207.11</f>
        <v>400804.18</v>
      </c>
      <c r="H10" s="22">
        <v>0</v>
      </c>
      <c r="I10" s="22">
        <v>0</v>
      </c>
      <c r="J10" s="30">
        <v>0</v>
      </c>
      <c r="K10" s="21">
        <f t="shared" si="1"/>
        <v>5588839.0600000005</v>
      </c>
      <c r="L10" s="23">
        <v>354321</v>
      </c>
      <c r="N10" s="24"/>
    </row>
    <row r="11" spans="1:14">
      <c r="A11" s="175"/>
      <c r="B11" s="178"/>
      <c r="C11" s="20" t="s">
        <v>17</v>
      </c>
      <c r="D11" s="21">
        <v>4918613.26</v>
      </c>
      <c r="E11" s="21">
        <v>489553.01</v>
      </c>
      <c r="F11" s="21">
        <f t="shared" si="0"/>
        <v>5408166.2699999996</v>
      </c>
      <c r="G11" s="21">
        <v>399843.79</v>
      </c>
      <c r="H11" s="22">
        <v>0</v>
      </c>
      <c r="I11" s="22">
        <v>0</v>
      </c>
      <c r="J11" s="30">
        <v>0</v>
      </c>
      <c r="K11" s="21">
        <f t="shared" si="1"/>
        <v>5808010.0599999996</v>
      </c>
      <c r="L11" s="23">
        <v>354321</v>
      </c>
      <c r="N11" s="24"/>
    </row>
    <row r="12" spans="1:14">
      <c r="A12" s="175"/>
      <c r="B12" s="178"/>
      <c r="C12" s="25" t="s">
        <v>18</v>
      </c>
      <c r="D12" s="26">
        <v>4703817.83</v>
      </c>
      <c r="E12" s="26">
        <v>489553.01</v>
      </c>
      <c r="F12" s="26">
        <f t="shared" si="0"/>
        <v>5193370.84</v>
      </c>
      <c r="G12" s="26">
        <v>399843.79</v>
      </c>
      <c r="H12" s="27">
        <v>0</v>
      </c>
      <c r="I12" s="27">
        <v>0</v>
      </c>
      <c r="J12" s="27">
        <v>0</v>
      </c>
      <c r="K12" s="26">
        <f t="shared" si="1"/>
        <v>5593214.6299999999</v>
      </c>
      <c r="L12" s="28">
        <v>354321</v>
      </c>
      <c r="N12" s="24"/>
    </row>
    <row r="13" spans="1:14">
      <c r="A13" s="175"/>
      <c r="B13" s="180" t="s">
        <v>23</v>
      </c>
      <c r="C13" s="20" t="s">
        <v>16</v>
      </c>
      <c r="D13" s="21">
        <f t="shared" ref="D13:G15" si="2">D10+D7+D4</f>
        <v>13395479.309999999</v>
      </c>
      <c r="E13" s="21">
        <f t="shared" si="2"/>
        <v>1237064.6099999999</v>
      </c>
      <c r="F13" s="21">
        <f t="shared" si="2"/>
        <v>14632543.92</v>
      </c>
      <c r="G13" s="21">
        <f t="shared" si="2"/>
        <v>996954.19</v>
      </c>
      <c r="H13" s="21">
        <v>223286.33</v>
      </c>
      <c r="I13" s="21">
        <f t="shared" ref="I13:K15" si="3">I10+I7+I4</f>
        <v>0</v>
      </c>
      <c r="J13" s="21">
        <f t="shared" si="3"/>
        <v>0</v>
      </c>
      <c r="K13" s="21">
        <f t="shared" si="3"/>
        <v>15629498.109999999</v>
      </c>
      <c r="L13" s="23">
        <f>L10+L7+L4+16984</f>
        <v>986601</v>
      </c>
      <c r="M13" s="18"/>
      <c r="N13" s="24"/>
    </row>
    <row r="14" spans="1:14">
      <c r="A14" s="175"/>
      <c r="B14" s="181"/>
      <c r="C14" s="20" t="s">
        <v>17</v>
      </c>
      <c r="D14" s="21">
        <f t="shared" si="2"/>
        <v>13375594.130000001</v>
      </c>
      <c r="E14" s="21">
        <f t="shared" si="2"/>
        <v>1242404.3199999998</v>
      </c>
      <c r="F14" s="21">
        <f t="shared" si="2"/>
        <v>14617998.449999999</v>
      </c>
      <c r="G14" s="21">
        <f t="shared" si="2"/>
        <v>995993.8</v>
      </c>
      <c r="H14" s="21">
        <f>H11+H8+H5</f>
        <v>0</v>
      </c>
      <c r="I14" s="21">
        <f t="shared" si="3"/>
        <v>0</v>
      </c>
      <c r="J14" s="21">
        <f t="shared" si="3"/>
        <v>0</v>
      </c>
      <c r="K14" s="21">
        <f t="shared" si="3"/>
        <v>15613992.25</v>
      </c>
      <c r="L14" s="23">
        <f>L11+L8+L5</f>
        <v>969617</v>
      </c>
      <c r="N14" s="24"/>
    </row>
    <row r="15" spans="1:14">
      <c r="A15" s="175"/>
      <c r="B15" s="181"/>
      <c r="C15" s="31" t="s">
        <v>18</v>
      </c>
      <c r="D15" s="21">
        <f t="shared" si="2"/>
        <v>13160798.700000001</v>
      </c>
      <c r="E15" s="21">
        <f t="shared" si="2"/>
        <v>1242404.3199999998</v>
      </c>
      <c r="F15" s="21">
        <f t="shared" si="2"/>
        <v>14403203.02</v>
      </c>
      <c r="G15" s="21">
        <f t="shared" si="2"/>
        <v>995993.8</v>
      </c>
      <c r="H15" s="21">
        <f>H12+H9+H6</f>
        <v>0</v>
      </c>
      <c r="I15" s="21">
        <f t="shared" si="3"/>
        <v>0</v>
      </c>
      <c r="J15" s="21">
        <f t="shared" si="3"/>
        <v>0</v>
      </c>
      <c r="K15" s="21">
        <f t="shared" si="3"/>
        <v>15399196.82</v>
      </c>
      <c r="L15" s="23">
        <f>L12+L9+L6</f>
        <v>969617</v>
      </c>
      <c r="N15" s="24"/>
    </row>
    <row r="16" spans="1:14">
      <c r="A16" s="175"/>
      <c r="B16" s="181"/>
      <c r="C16" s="54" t="s">
        <v>24</v>
      </c>
      <c r="D16" s="51">
        <v>13395479.310000001</v>
      </c>
      <c r="E16" s="51">
        <v>1237064.6100000001</v>
      </c>
      <c r="F16" s="51">
        <f t="shared" ref="F16:F25" si="4">D16+E16</f>
        <v>14632543.92</v>
      </c>
      <c r="G16" s="51">
        <v>996954.19</v>
      </c>
      <c r="H16" s="51">
        <v>223286.33</v>
      </c>
      <c r="I16" s="51">
        <f>I17+I18</f>
        <v>0</v>
      </c>
      <c r="J16" s="51">
        <f>J17+J18</f>
        <v>0</v>
      </c>
      <c r="K16" s="51">
        <f>F16+G16</f>
        <v>15629498.109999999</v>
      </c>
      <c r="L16" s="51">
        <f>L18</f>
        <v>986601</v>
      </c>
      <c r="M16" s="81"/>
      <c r="N16" s="53"/>
    </row>
    <row r="17" spans="1:14">
      <c r="A17" s="175"/>
      <c r="B17" s="181"/>
      <c r="C17" s="54" t="s">
        <v>25</v>
      </c>
      <c r="D17" s="80">
        <v>234680.61</v>
      </c>
      <c r="E17" s="80">
        <v>-5339.71</v>
      </c>
      <c r="F17" s="80">
        <f t="shared" si="4"/>
        <v>229340.9</v>
      </c>
      <c r="G17" s="80">
        <v>960.39</v>
      </c>
      <c r="H17" s="80">
        <v>223286.33</v>
      </c>
      <c r="I17" s="80">
        <f>I14-I15</f>
        <v>0</v>
      </c>
      <c r="J17" s="80">
        <f>J14-J15</f>
        <v>0</v>
      </c>
      <c r="K17" s="80">
        <f>F17+G17</f>
        <v>230301.29</v>
      </c>
      <c r="L17" s="80">
        <v>16984</v>
      </c>
      <c r="M17" s="81"/>
      <c r="N17" s="53"/>
    </row>
    <row r="18" spans="1:14">
      <c r="A18" s="175"/>
      <c r="B18" s="181"/>
      <c r="C18" s="56" t="s">
        <v>26</v>
      </c>
      <c r="D18" s="80">
        <f>D15+D17</f>
        <v>13395479.310000001</v>
      </c>
      <c r="E18" s="80">
        <f>E15+E17</f>
        <v>1237064.6099999999</v>
      </c>
      <c r="F18" s="80">
        <f t="shared" si="4"/>
        <v>14632543.92</v>
      </c>
      <c r="G18" s="80">
        <f>G15+G17</f>
        <v>996954.19000000006</v>
      </c>
      <c r="H18" s="80">
        <v>223286.33</v>
      </c>
      <c r="I18" s="80">
        <f>I15+I17</f>
        <v>0</v>
      </c>
      <c r="J18" s="80">
        <f>J15+J17</f>
        <v>0</v>
      </c>
      <c r="K18" s="80">
        <f>K15+K17</f>
        <v>15629498.109999999</v>
      </c>
      <c r="L18" s="80">
        <f>L15+L17</f>
        <v>986601</v>
      </c>
      <c r="M18" s="146"/>
      <c r="N18" s="53"/>
    </row>
    <row r="19" spans="1:14">
      <c r="A19" s="176"/>
      <c r="B19" s="182" t="s">
        <v>28</v>
      </c>
      <c r="C19" s="20" t="s">
        <v>16</v>
      </c>
      <c r="D19" s="22">
        <f>4703821.58-783970.26</f>
        <v>3919851.3200000003</v>
      </c>
      <c r="E19" s="22">
        <f>559899.63-112604.71</f>
        <v>447294.92</v>
      </c>
      <c r="F19" s="21">
        <f t="shared" si="4"/>
        <v>4367146.24</v>
      </c>
      <c r="G19" s="22">
        <f>402011.29-118924.25</f>
        <v>283087.03999999998</v>
      </c>
      <c r="H19" s="22">
        <v>0</v>
      </c>
      <c r="I19" s="22">
        <v>0</v>
      </c>
      <c r="J19" s="30">
        <v>0</v>
      </c>
      <c r="K19" s="21">
        <f t="shared" ref="K19:K31" si="5">J19+I19+H19+G19+E19+D19</f>
        <v>4650233.28</v>
      </c>
      <c r="L19" s="23">
        <f>279547.71+28349-17454.71-20</f>
        <v>290422</v>
      </c>
      <c r="N19" s="24"/>
    </row>
    <row r="20" spans="1:14">
      <c r="A20" s="176"/>
      <c r="B20" s="183"/>
      <c r="C20" s="20" t="s">
        <v>17</v>
      </c>
      <c r="D20" s="21">
        <v>3919776.91</v>
      </c>
      <c r="E20" s="21">
        <v>447294.92</v>
      </c>
      <c r="F20" s="21">
        <f t="shared" si="4"/>
        <v>4367071.83</v>
      </c>
      <c r="G20" s="21">
        <v>283087.03999999998</v>
      </c>
      <c r="H20" s="22">
        <v>0</v>
      </c>
      <c r="I20" s="22">
        <v>0</v>
      </c>
      <c r="J20" s="30">
        <v>0</v>
      </c>
      <c r="K20" s="21">
        <f t="shared" si="5"/>
        <v>4650158.87</v>
      </c>
      <c r="L20" s="23">
        <v>290422</v>
      </c>
      <c r="N20" s="24"/>
    </row>
    <row r="21" spans="1:14">
      <c r="A21" s="176"/>
      <c r="B21" s="183"/>
      <c r="C21" s="31" t="s">
        <v>18</v>
      </c>
      <c r="D21" s="33">
        <v>3919776.91</v>
      </c>
      <c r="E21" s="33">
        <v>447294.92</v>
      </c>
      <c r="F21" s="21">
        <f t="shared" si="4"/>
        <v>4367071.83</v>
      </c>
      <c r="G21" s="33">
        <v>283087.03999999998</v>
      </c>
      <c r="H21" s="22">
        <v>0</v>
      </c>
      <c r="I21" s="22">
        <v>0</v>
      </c>
      <c r="J21" s="22">
        <v>0</v>
      </c>
      <c r="K21" s="21">
        <f t="shared" si="5"/>
        <v>4650158.87</v>
      </c>
      <c r="L21" s="34">
        <v>290422</v>
      </c>
      <c r="N21" s="24"/>
    </row>
    <row r="22" spans="1:14">
      <c r="A22" s="176"/>
      <c r="B22" s="182" t="s">
        <v>29</v>
      </c>
      <c r="C22" s="20" t="s">
        <v>16</v>
      </c>
      <c r="D22" s="22">
        <v>4703821.58</v>
      </c>
      <c r="E22" s="22">
        <f>559899.63-105668.98</f>
        <v>454230.65</v>
      </c>
      <c r="F22" s="21">
        <f t="shared" si="4"/>
        <v>5158052.2300000004</v>
      </c>
      <c r="G22" s="22">
        <v>402011.29</v>
      </c>
      <c r="H22" s="22">
        <v>0</v>
      </c>
      <c r="I22" s="22">
        <v>0</v>
      </c>
      <c r="J22" s="22">
        <v>0</v>
      </c>
      <c r="K22" s="21">
        <f t="shared" si="5"/>
        <v>5560063.5199999996</v>
      </c>
      <c r="L22" s="23">
        <f>297002.42+32084.58</f>
        <v>329087</v>
      </c>
      <c r="N22" s="24"/>
    </row>
    <row r="23" spans="1:14">
      <c r="A23" s="176"/>
      <c r="B23" s="183"/>
      <c r="C23" s="20" t="s">
        <v>17</v>
      </c>
      <c r="D23" s="21">
        <v>5016441.8</v>
      </c>
      <c r="E23" s="21">
        <v>454230.65</v>
      </c>
      <c r="F23" s="21">
        <f t="shared" si="4"/>
        <v>5470672.4500000002</v>
      </c>
      <c r="G23" s="35">
        <v>353325.81</v>
      </c>
      <c r="H23" s="22">
        <v>0</v>
      </c>
      <c r="I23" s="22">
        <v>0</v>
      </c>
      <c r="J23" s="22">
        <v>0</v>
      </c>
      <c r="K23" s="21">
        <f t="shared" si="5"/>
        <v>5823998.2599999998</v>
      </c>
      <c r="L23" s="36">
        <v>329087</v>
      </c>
      <c r="N23" s="24"/>
    </row>
    <row r="24" spans="1:14">
      <c r="A24" s="176"/>
      <c r="B24" s="183"/>
      <c r="C24" s="31" t="s">
        <v>18</v>
      </c>
      <c r="D24" s="33">
        <v>4703780.99</v>
      </c>
      <c r="E24" s="33">
        <v>454230.65</v>
      </c>
      <c r="F24" s="21">
        <f t="shared" si="4"/>
        <v>5158011.6400000006</v>
      </c>
      <c r="G24" s="21">
        <v>353325.81</v>
      </c>
      <c r="H24" s="22">
        <v>0</v>
      </c>
      <c r="I24" s="22">
        <v>0</v>
      </c>
      <c r="J24" s="22">
        <v>0</v>
      </c>
      <c r="K24" s="21">
        <f t="shared" si="5"/>
        <v>5511337.4500000002</v>
      </c>
      <c r="L24" s="23">
        <v>329087</v>
      </c>
      <c r="N24" s="24"/>
    </row>
    <row r="25" spans="1:14">
      <c r="A25" s="176"/>
      <c r="B25" s="179" t="s">
        <v>30</v>
      </c>
      <c r="C25" s="37" t="s">
        <v>16</v>
      </c>
      <c r="D25" s="22">
        <f>4703821.58-74502.55</f>
        <v>4629319.03</v>
      </c>
      <c r="E25" s="22">
        <f>559899.63-102362.09</f>
        <v>457537.54000000004</v>
      </c>
      <c r="F25" s="21">
        <f t="shared" si="4"/>
        <v>5086856.57</v>
      </c>
      <c r="G25" s="38">
        <f>402011.29-172682.41</f>
        <v>229328.87999999998</v>
      </c>
      <c r="H25" s="26">
        <v>0</v>
      </c>
      <c r="I25" s="26">
        <v>0</v>
      </c>
      <c r="J25" s="26">
        <v>0</v>
      </c>
      <c r="K25" s="26">
        <f t="shared" si="5"/>
        <v>5316185.45</v>
      </c>
      <c r="L25" s="28">
        <f>294712+20801</f>
        <v>315513</v>
      </c>
      <c r="N25" s="24"/>
    </row>
    <row r="26" spans="1:14">
      <c r="A26" s="176"/>
      <c r="B26" s="178"/>
      <c r="C26" s="37" t="s">
        <v>17</v>
      </c>
      <c r="D26" s="26">
        <v>4310961.34</v>
      </c>
      <c r="E26" s="26">
        <v>438498.88</v>
      </c>
      <c r="F26" s="26">
        <f>SUM(D26:E26)</f>
        <v>4749460.22</v>
      </c>
      <c r="G26" s="26">
        <v>283100.67</v>
      </c>
      <c r="H26" s="26">
        <v>0</v>
      </c>
      <c r="I26" s="26">
        <v>0</v>
      </c>
      <c r="J26" s="26">
        <v>0</v>
      </c>
      <c r="K26" s="26">
        <f t="shared" si="5"/>
        <v>5032560.8899999997</v>
      </c>
      <c r="L26" s="28">
        <v>294712</v>
      </c>
      <c r="N26" s="24"/>
    </row>
    <row r="27" spans="1:14">
      <c r="A27" s="176"/>
      <c r="B27" s="178"/>
      <c r="C27" s="31" t="s">
        <v>18</v>
      </c>
      <c r="D27" s="39">
        <v>4310961.34</v>
      </c>
      <c r="E27" s="39">
        <v>438498.88</v>
      </c>
      <c r="F27" s="26">
        <f>SUM(D27:E27)</f>
        <v>4749460.22</v>
      </c>
      <c r="G27" s="39">
        <v>283100.67</v>
      </c>
      <c r="H27" s="39">
        <v>0</v>
      </c>
      <c r="I27" s="39">
        <v>0</v>
      </c>
      <c r="J27" s="39">
        <v>0</v>
      </c>
      <c r="K27" s="26">
        <f t="shared" si="5"/>
        <v>5032560.8899999997</v>
      </c>
      <c r="L27" s="29">
        <v>294712</v>
      </c>
      <c r="N27" s="24"/>
    </row>
    <row r="28" spans="1:14">
      <c r="A28" s="176"/>
      <c r="B28" s="184" t="s">
        <v>31</v>
      </c>
      <c r="C28" s="20" t="s">
        <v>16</v>
      </c>
      <c r="D28" s="21">
        <f>D25+D22+D19</f>
        <v>13252991.93</v>
      </c>
      <c r="E28" s="21">
        <f>E25+E22+E19</f>
        <v>1359063.11</v>
      </c>
      <c r="F28" s="21">
        <f>F25+F22+F19</f>
        <v>14612055.040000001</v>
      </c>
      <c r="G28" s="21">
        <f>G25+G22+G19</f>
        <v>914427.21</v>
      </c>
      <c r="H28" s="21">
        <v>302927.35999999999</v>
      </c>
      <c r="I28" s="21">
        <f t="shared" ref="I28:J30" si="6">I25+I22+I19</f>
        <v>0</v>
      </c>
      <c r="J28" s="21">
        <f t="shared" si="6"/>
        <v>0</v>
      </c>
      <c r="K28" s="21">
        <f t="shared" si="5"/>
        <v>15829409.609999999</v>
      </c>
      <c r="L28" s="23">
        <f>L25+L22+L19</f>
        <v>935022</v>
      </c>
      <c r="N28" s="24"/>
    </row>
    <row r="29" spans="1:14">
      <c r="A29" s="176"/>
      <c r="B29" s="184"/>
      <c r="C29" s="20" t="s">
        <v>17</v>
      </c>
      <c r="D29" s="21">
        <f>D26+D23+D20</f>
        <v>13247180.050000001</v>
      </c>
      <c r="E29" s="21">
        <f>E26+E23+E20</f>
        <v>1340024.45</v>
      </c>
      <c r="F29" s="21">
        <f>D29+E29</f>
        <v>14587204.5</v>
      </c>
      <c r="G29" s="21">
        <f>G26+G23+G20</f>
        <v>919513.52</v>
      </c>
      <c r="H29" s="21">
        <v>302927.35999999999</v>
      </c>
      <c r="I29" s="21">
        <f t="shared" si="6"/>
        <v>0</v>
      </c>
      <c r="J29" s="21">
        <f t="shared" si="6"/>
        <v>0</v>
      </c>
      <c r="K29" s="21">
        <f t="shared" si="5"/>
        <v>15809645.380000001</v>
      </c>
      <c r="L29" s="23">
        <f>L26+L23+L20</f>
        <v>914221</v>
      </c>
      <c r="M29" s="18"/>
      <c r="N29" s="24"/>
    </row>
    <row r="30" spans="1:14">
      <c r="A30" s="176"/>
      <c r="B30" s="184"/>
      <c r="C30" s="31" t="s">
        <v>18</v>
      </c>
      <c r="D30" s="33">
        <f>D27+D24+D21</f>
        <v>12934519.24</v>
      </c>
      <c r="E30" s="33">
        <f>E27+E24+E21</f>
        <v>1340024.45</v>
      </c>
      <c r="F30" s="21">
        <f>D30+E30</f>
        <v>14274543.689999999</v>
      </c>
      <c r="G30" s="33">
        <f>G27+G24+G21</f>
        <v>919513.52</v>
      </c>
      <c r="H30" s="33">
        <v>302927.35999999999</v>
      </c>
      <c r="I30" s="33">
        <f t="shared" si="6"/>
        <v>0</v>
      </c>
      <c r="J30" s="33">
        <f t="shared" si="6"/>
        <v>0</v>
      </c>
      <c r="K30" s="21">
        <f t="shared" si="5"/>
        <v>15496984.57</v>
      </c>
      <c r="L30" s="34">
        <f>L27+L24+L21</f>
        <v>914221</v>
      </c>
      <c r="N30" s="24"/>
    </row>
    <row r="31" spans="1:14">
      <c r="A31" s="176"/>
      <c r="B31" s="180" t="s">
        <v>32</v>
      </c>
      <c r="C31" s="40" t="s">
        <v>16</v>
      </c>
      <c r="D31" s="41">
        <f>D13+D28</f>
        <v>26648471.239999998</v>
      </c>
      <c r="E31" s="41">
        <f>E13+E28</f>
        <v>2596127.7199999997</v>
      </c>
      <c r="F31" s="41">
        <f>D31+E31</f>
        <v>29244598.959999997</v>
      </c>
      <c r="G31" s="41">
        <f>G13+G28</f>
        <v>1911381.4</v>
      </c>
      <c r="H31" s="41">
        <f>H13+H28</f>
        <v>526213.68999999994</v>
      </c>
      <c r="I31" s="41">
        <f>I13+I28</f>
        <v>0</v>
      </c>
      <c r="J31" s="41">
        <f>J13+J28</f>
        <v>0</v>
      </c>
      <c r="K31" s="41">
        <f t="shared" si="5"/>
        <v>31682194.049999997</v>
      </c>
      <c r="L31" s="41">
        <f>L13+L28</f>
        <v>1921623</v>
      </c>
      <c r="M31" s="42"/>
      <c r="N31" s="43"/>
    </row>
    <row r="32" spans="1:14">
      <c r="A32" s="176"/>
      <c r="B32" s="181"/>
      <c r="C32" s="20" t="s">
        <v>17</v>
      </c>
      <c r="D32" s="21">
        <f t="shared" ref="D32:L32" si="7">D16+D29</f>
        <v>26642659.359999999</v>
      </c>
      <c r="E32" s="21">
        <f t="shared" si="7"/>
        <v>2577089.06</v>
      </c>
      <c r="F32" s="21">
        <f t="shared" si="7"/>
        <v>29219748.420000002</v>
      </c>
      <c r="G32" s="21">
        <f t="shared" si="7"/>
        <v>1916467.71</v>
      </c>
      <c r="H32" s="21">
        <f t="shared" si="7"/>
        <v>526213.68999999994</v>
      </c>
      <c r="I32" s="21">
        <f t="shared" si="7"/>
        <v>0</v>
      </c>
      <c r="J32" s="21">
        <f t="shared" si="7"/>
        <v>0</v>
      </c>
      <c r="K32" s="21">
        <f t="shared" si="7"/>
        <v>31439143.490000002</v>
      </c>
      <c r="L32" s="23">
        <f t="shared" si="7"/>
        <v>1900822</v>
      </c>
      <c r="N32" s="24"/>
    </row>
    <row r="33" spans="1:14">
      <c r="A33" s="176"/>
      <c r="B33" s="181"/>
      <c r="C33" s="31" t="s">
        <v>18</v>
      </c>
      <c r="D33" s="21">
        <f t="shared" ref="D33:J33" si="8">D18+D30</f>
        <v>26329998.550000001</v>
      </c>
      <c r="E33" s="21">
        <f t="shared" si="8"/>
        <v>2577089.0599999996</v>
      </c>
      <c r="F33" s="21">
        <f t="shared" si="8"/>
        <v>28907087.609999999</v>
      </c>
      <c r="G33" s="21">
        <f t="shared" si="8"/>
        <v>1916467.71</v>
      </c>
      <c r="H33" s="21">
        <f t="shared" si="8"/>
        <v>526213.68999999994</v>
      </c>
      <c r="I33" s="21">
        <f t="shared" si="8"/>
        <v>0</v>
      </c>
      <c r="J33" s="21">
        <f t="shared" si="8"/>
        <v>0</v>
      </c>
      <c r="K33" s="21">
        <f>J33+I33+H33+G33+E33+D33</f>
        <v>31349769.009999998</v>
      </c>
      <c r="L33" s="34">
        <f>L30+L18</f>
        <v>1900822</v>
      </c>
      <c r="N33" s="24"/>
    </row>
    <row r="34" spans="1:14">
      <c r="A34" s="176"/>
      <c r="B34" s="178"/>
      <c r="C34" s="44" t="s">
        <v>24</v>
      </c>
      <c r="D34" s="45">
        <v>26648471.239999998</v>
      </c>
      <c r="E34" s="45">
        <v>2596127.7200000002</v>
      </c>
      <c r="F34" s="45">
        <f>D34+E34</f>
        <v>29244598.959999997</v>
      </c>
      <c r="G34" s="45">
        <v>1911381.4</v>
      </c>
      <c r="H34" s="45">
        <v>526213.68999999994</v>
      </c>
      <c r="I34" s="45"/>
      <c r="J34" s="45"/>
      <c r="K34" s="45">
        <f>F34+G34+H34</f>
        <v>31682194.049999997</v>
      </c>
      <c r="L34" s="45">
        <v>1921623</v>
      </c>
      <c r="M34" s="46"/>
      <c r="N34" s="47"/>
    </row>
    <row r="35" spans="1:14">
      <c r="A35" s="176"/>
      <c r="B35" s="178"/>
      <c r="C35" s="44" t="s">
        <v>25</v>
      </c>
      <c r="D35" s="45">
        <v>318472.69</v>
      </c>
      <c r="E35" s="45">
        <v>19038.66</v>
      </c>
      <c r="F35" s="45">
        <f>D35+E35</f>
        <v>337511.35</v>
      </c>
      <c r="G35" s="45">
        <v>-5086.3100000000004</v>
      </c>
      <c r="H35" s="45"/>
      <c r="I35" s="45"/>
      <c r="J35" s="45"/>
      <c r="K35" s="45">
        <f>F35+G35</f>
        <v>332425.03999999998</v>
      </c>
      <c r="L35" s="45">
        <v>20801</v>
      </c>
      <c r="M35" s="46"/>
      <c r="N35" s="47"/>
    </row>
    <row r="36" spans="1:14">
      <c r="A36" s="176"/>
      <c r="B36" s="178"/>
      <c r="C36" s="48" t="s">
        <v>26</v>
      </c>
      <c r="D36" s="45">
        <f>D33+D35</f>
        <v>26648471.240000002</v>
      </c>
      <c r="E36" s="45">
        <f>E33+E35</f>
        <v>2596127.7199999997</v>
      </c>
      <c r="F36" s="45">
        <f>D36+E36</f>
        <v>29244598.960000001</v>
      </c>
      <c r="G36" s="45">
        <f t="shared" ref="G36:L36" si="9">G33+G35</f>
        <v>1911381.4</v>
      </c>
      <c r="H36" s="45">
        <f t="shared" si="9"/>
        <v>526213.68999999994</v>
      </c>
      <c r="I36" s="45">
        <f t="shared" si="9"/>
        <v>0</v>
      </c>
      <c r="J36" s="45">
        <f t="shared" si="9"/>
        <v>0</v>
      </c>
      <c r="K36" s="45">
        <f t="shared" si="9"/>
        <v>31682194.049999997</v>
      </c>
      <c r="L36" s="45">
        <f t="shared" si="9"/>
        <v>1921623</v>
      </c>
      <c r="M36" s="46"/>
      <c r="N36" s="47"/>
    </row>
    <row r="37" spans="1:14">
      <c r="A37" s="176"/>
      <c r="B37" s="171" t="s">
        <v>33</v>
      </c>
      <c r="C37" s="20" t="s">
        <v>16</v>
      </c>
      <c r="D37" s="21">
        <f>5187115.21-952745.86</f>
        <v>4234369.3499999996</v>
      </c>
      <c r="E37" s="21">
        <f>552196.65-185263.55</f>
        <v>366933.10000000003</v>
      </c>
      <c r="F37" s="21">
        <f t="shared" ref="F37:F45" si="10">SUM(D37:E37)</f>
        <v>4601302.4499999993</v>
      </c>
      <c r="G37" s="21">
        <f>500010-191655</f>
        <v>308355</v>
      </c>
      <c r="H37" s="49">
        <v>0</v>
      </c>
      <c r="I37" s="49">
        <v>0</v>
      </c>
      <c r="J37" s="49">
        <v>0</v>
      </c>
      <c r="K37" s="21">
        <f>D37+E37+G37+H37+I37+J37</f>
        <v>4909657.4499999993</v>
      </c>
      <c r="L37" s="23">
        <v>280104</v>
      </c>
      <c r="N37" s="24"/>
    </row>
    <row r="38" spans="1:14">
      <c r="A38" s="176"/>
      <c r="B38" s="172"/>
      <c r="C38" s="20" t="s">
        <v>17</v>
      </c>
      <c r="D38" s="21">
        <v>4234369.3499999996</v>
      </c>
      <c r="E38" s="21">
        <v>366933.1</v>
      </c>
      <c r="F38" s="21">
        <f t="shared" si="10"/>
        <v>4601302.4499999993</v>
      </c>
      <c r="G38" s="21">
        <v>308335</v>
      </c>
      <c r="H38" s="49">
        <v>0</v>
      </c>
      <c r="I38" s="49">
        <v>0</v>
      </c>
      <c r="J38" s="49">
        <v>0</v>
      </c>
      <c r="K38" s="21">
        <f>D38+E38+G38+H38+I38+J38</f>
        <v>4909637.4499999993</v>
      </c>
      <c r="L38" s="23">
        <v>280104</v>
      </c>
      <c r="N38" s="24"/>
    </row>
    <row r="39" spans="1:14">
      <c r="A39" s="176"/>
      <c r="B39" s="172"/>
      <c r="C39" s="20" t="s">
        <v>18</v>
      </c>
      <c r="D39" s="21">
        <v>4234369.3499999996</v>
      </c>
      <c r="E39" s="21">
        <v>366933.1</v>
      </c>
      <c r="F39" s="21">
        <f t="shared" si="10"/>
        <v>4601302.4499999993</v>
      </c>
      <c r="G39" s="21">
        <v>308335</v>
      </c>
      <c r="H39" s="49">
        <v>0</v>
      </c>
      <c r="I39" s="49">
        <v>0</v>
      </c>
      <c r="J39" s="49">
        <v>0</v>
      </c>
      <c r="K39" s="21">
        <f>D39+E39+G39+H39+I39+J39</f>
        <v>4909637.4499999993</v>
      </c>
      <c r="L39" s="23">
        <v>280104</v>
      </c>
      <c r="N39" s="24"/>
    </row>
    <row r="40" spans="1:14">
      <c r="A40" s="176"/>
      <c r="B40" s="171" t="s">
        <v>34</v>
      </c>
      <c r="C40" s="20" t="s">
        <v>16</v>
      </c>
      <c r="D40" s="21">
        <f>5187115.21-849248.61</f>
        <v>4337866.5999999996</v>
      </c>
      <c r="E40" s="21">
        <f>552196.65-154032.49</f>
        <v>398164.16000000003</v>
      </c>
      <c r="F40" s="21">
        <f t="shared" si="10"/>
        <v>4736030.76</v>
      </c>
      <c r="G40" s="21">
        <f>500010-186668</f>
        <v>313342</v>
      </c>
      <c r="H40" s="49">
        <v>0</v>
      </c>
      <c r="I40" s="49">
        <v>0</v>
      </c>
      <c r="J40" s="49">
        <v>0</v>
      </c>
      <c r="K40" s="21">
        <f t="shared" ref="K40:K45" si="11">J40+I40+H40+G40+E40+D40</f>
        <v>5049372.76</v>
      </c>
      <c r="L40" s="23">
        <v>295647</v>
      </c>
      <c r="N40" s="24"/>
    </row>
    <row r="41" spans="1:14">
      <c r="A41" s="176"/>
      <c r="B41" s="172"/>
      <c r="C41" s="20" t="s">
        <v>17</v>
      </c>
      <c r="D41" s="21">
        <v>4337866.5999999996</v>
      </c>
      <c r="E41" s="21">
        <v>398164.16</v>
      </c>
      <c r="F41" s="21">
        <f t="shared" si="10"/>
        <v>4736030.76</v>
      </c>
      <c r="G41" s="21">
        <v>313342</v>
      </c>
      <c r="H41" s="49">
        <v>0</v>
      </c>
      <c r="I41" s="49">
        <v>0</v>
      </c>
      <c r="J41" s="49">
        <v>0</v>
      </c>
      <c r="K41" s="21">
        <f t="shared" si="11"/>
        <v>5049372.76</v>
      </c>
      <c r="L41" s="23">
        <v>295647</v>
      </c>
      <c r="N41" s="24"/>
    </row>
    <row r="42" spans="1:14">
      <c r="A42" s="176"/>
      <c r="B42" s="172"/>
      <c r="C42" s="20" t="s">
        <v>18</v>
      </c>
      <c r="D42" s="21">
        <v>4337866.5999999996</v>
      </c>
      <c r="E42" s="21">
        <v>398164.16</v>
      </c>
      <c r="F42" s="21">
        <f t="shared" si="10"/>
        <v>4736030.76</v>
      </c>
      <c r="G42" s="21">
        <v>313342</v>
      </c>
      <c r="H42" s="49">
        <v>0</v>
      </c>
      <c r="I42" s="49">
        <v>0</v>
      </c>
      <c r="J42" s="49">
        <v>0</v>
      </c>
      <c r="K42" s="21">
        <f t="shared" si="11"/>
        <v>5049372.76</v>
      </c>
      <c r="L42" s="23">
        <v>295647</v>
      </c>
      <c r="N42" s="24"/>
    </row>
    <row r="43" spans="1:14">
      <c r="A43" s="176"/>
      <c r="B43" s="171" t="s">
        <v>35</v>
      </c>
      <c r="C43" s="20" t="s">
        <v>16</v>
      </c>
      <c r="D43" s="21">
        <f>5187115.21-430486.02-130360.91</f>
        <v>4626268.2799999993</v>
      </c>
      <c r="E43" s="21">
        <f>552196.65-100000-111570.83</f>
        <v>340625.82</v>
      </c>
      <c r="F43" s="21">
        <f t="shared" si="10"/>
        <v>4966894.0999999996</v>
      </c>
      <c r="G43" s="21">
        <f>500010-100000-99041</f>
        <v>300969</v>
      </c>
      <c r="H43" s="49">
        <v>0</v>
      </c>
      <c r="I43" s="49">
        <v>0</v>
      </c>
      <c r="J43" s="49">
        <v>0</v>
      </c>
      <c r="K43" s="21">
        <f t="shared" si="11"/>
        <v>5267863.0999999996</v>
      </c>
      <c r="L43" s="23">
        <f>532889.79-248473.79+5566</f>
        <v>289982</v>
      </c>
      <c r="N43" s="24"/>
    </row>
    <row r="44" spans="1:14">
      <c r="A44" s="176"/>
      <c r="B44" s="172"/>
      <c r="C44" s="20" t="s">
        <v>17</v>
      </c>
      <c r="D44" s="21">
        <v>4579233.46</v>
      </c>
      <c r="E44" s="21">
        <v>341434.49</v>
      </c>
      <c r="F44" s="21">
        <f t="shared" si="10"/>
        <v>4920667.95</v>
      </c>
      <c r="G44" s="21">
        <v>300176</v>
      </c>
      <c r="H44" s="49">
        <v>0</v>
      </c>
      <c r="I44" s="49">
        <v>0</v>
      </c>
      <c r="J44" s="49">
        <v>0</v>
      </c>
      <c r="K44" s="21">
        <f t="shared" si="11"/>
        <v>5220843.95</v>
      </c>
      <c r="L44" s="23">
        <v>284416</v>
      </c>
      <c r="N44" s="24"/>
    </row>
    <row r="45" spans="1:14">
      <c r="A45" s="176"/>
      <c r="B45" s="172"/>
      <c r="C45" s="20" t="s">
        <v>18</v>
      </c>
      <c r="D45" s="21">
        <v>4579233.46</v>
      </c>
      <c r="E45" s="21">
        <v>341434.49</v>
      </c>
      <c r="F45" s="21">
        <f t="shared" si="10"/>
        <v>4920667.95</v>
      </c>
      <c r="G45" s="21">
        <v>300176</v>
      </c>
      <c r="H45" s="49">
        <v>0</v>
      </c>
      <c r="I45" s="49">
        <v>0</v>
      </c>
      <c r="J45" s="49">
        <v>0</v>
      </c>
      <c r="K45" s="21">
        <f t="shared" si="11"/>
        <v>5220843.95</v>
      </c>
      <c r="L45" s="23">
        <v>284416</v>
      </c>
      <c r="N45" s="24"/>
    </row>
    <row r="46" spans="1:14">
      <c r="A46" s="176"/>
      <c r="B46" s="171" t="s">
        <v>36</v>
      </c>
      <c r="C46" s="50" t="s">
        <v>16</v>
      </c>
      <c r="D46" s="51">
        <f t="shared" ref="D46:L48" si="12">D37+D40+D43</f>
        <v>13198504.229999999</v>
      </c>
      <c r="E46" s="51">
        <f t="shared" si="12"/>
        <v>1105723.08</v>
      </c>
      <c r="F46" s="51">
        <f t="shared" si="12"/>
        <v>14304227.309999999</v>
      </c>
      <c r="G46" s="51">
        <f t="shared" si="12"/>
        <v>922666</v>
      </c>
      <c r="H46" s="51">
        <f t="shared" si="12"/>
        <v>0</v>
      </c>
      <c r="I46" s="51">
        <f t="shared" si="12"/>
        <v>0</v>
      </c>
      <c r="J46" s="51">
        <f t="shared" si="12"/>
        <v>0</v>
      </c>
      <c r="K46" s="51">
        <f t="shared" si="12"/>
        <v>15226893.309999999</v>
      </c>
      <c r="L46" s="51">
        <f t="shared" si="12"/>
        <v>865733</v>
      </c>
      <c r="M46" s="52"/>
      <c r="N46" s="53"/>
    </row>
    <row r="47" spans="1:14">
      <c r="A47" s="176"/>
      <c r="B47" s="172"/>
      <c r="C47" s="50" t="s">
        <v>17</v>
      </c>
      <c r="D47" s="51">
        <f t="shared" si="12"/>
        <v>13151469.41</v>
      </c>
      <c r="E47" s="51">
        <f t="shared" si="12"/>
        <v>1106531.75</v>
      </c>
      <c r="F47" s="51">
        <f t="shared" si="12"/>
        <v>14258001.16</v>
      </c>
      <c r="G47" s="51">
        <f t="shared" si="12"/>
        <v>921853</v>
      </c>
      <c r="H47" s="51">
        <f t="shared" si="12"/>
        <v>0</v>
      </c>
      <c r="I47" s="51">
        <f t="shared" si="12"/>
        <v>0</v>
      </c>
      <c r="J47" s="51">
        <f t="shared" si="12"/>
        <v>0</v>
      </c>
      <c r="K47" s="51">
        <f t="shared" si="12"/>
        <v>15179854.16</v>
      </c>
      <c r="L47" s="51">
        <f t="shared" si="12"/>
        <v>860167</v>
      </c>
      <c r="M47" s="52"/>
      <c r="N47" s="53"/>
    </row>
    <row r="48" spans="1:14">
      <c r="A48" s="176"/>
      <c r="B48" s="172"/>
      <c r="C48" s="50" t="s">
        <v>18</v>
      </c>
      <c r="D48" s="51">
        <f t="shared" si="12"/>
        <v>13151469.41</v>
      </c>
      <c r="E48" s="51">
        <f t="shared" si="12"/>
        <v>1106531.75</v>
      </c>
      <c r="F48" s="51">
        <f t="shared" si="12"/>
        <v>14258001.16</v>
      </c>
      <c r="G48" s="51">
        <f t="shared" si="12"/>
        <v>921853</v>
      </c>
      <c r="H48" s="51">
        <f t="shared" si="12"/>
        <v>0</v>
      </c>
      <c r="I48" s="51">
        <f t="shared" si="12"/>
        <v>0</v>
      </c>
      <c r="J48" s="51">
        <f t="shared" si="12"/>
        <v>0</v>
      </c>
      <c r="K48" s="51">
        <f t="shared" si="12"/>
        <v>15179854.16</v>
      </c>
      <c r="L48" s="51">
        <f t="shared" si="12"/>
        <v>860167</v>
      </c>
      <c r="M48" s="52"/>
      <c r="N48" s="53"/>
    </row>
    <row r="49" spans="1:14">
      <c r="A49" s="176"/>
      <c r="B49" s="172"/>
      <c r="C49" s="20" t="s">
        <v>37</v>
      </c>
      <c r="D49" s="21">
        <f>D39+D42+D45</f>
        <v>13151469.41</v>
      </c>
      <c r="E49" s="21">
        <f>E39+E42+E45</f>
        <v>1106531.75</v>
      </c>
      <c r="F49" s="21">
        <f>D49+E49</f>
        <v>14258001.16</v>
      </c>
      <c r="G49" s="21">
        <f>G39+G42+G45</f>
        <v>921853</v>
      </c>
      <c r="H49" s="21">
        <f>H39+H42+H55</f>
        <v>0</v>
      </c>
      <c r="I49" s="21">
        <f>I39+I42+I55</f>
        <v>0</v>
      </c>
      <c r="J49" s="21">
        <f>J39+J42+J55</f>
        <v>0</v>
      </c>
      <c r="K49" s="21">
        <f>K39+K42+K55</f>
        <v>15321599.449999999</v>
      </c>
      <c r="L49" s="21">
        <v>860167</v>
      </c>
      <c r="N49" s="24"/>
    </row>
    <row r="50" spans="1:14">
      <c r="A50" s="176"/>
      <c r="B50" s="173"/>
      <c r="C50" s="54" t="s">
        <v>24</v>
      </c>
      <c r="D50" s="55">
        <v>13198504.23</v>
      </c>
      <c r="E50" s="55">
        <v>1105723.08</v>
      </c>
      <c r="F50" s="55">
        <f>D50+E50</f>
        <v>14304227.310000001</v>
      </c>
      <c r="G50" s="55">
        <v>922666</v>
      </c>
      <c r="H50" s="55"/>
      <c r="I50" s="55"/>
      <c r="J50" s="55"/>
      <c r="K50" s="55">
        <f>F50+G50</f>
        <v>15226893.310000001</v>
      </c>
      <c r="L50" s="55">
        <v>865733</v>
      </c>
      <c r="M50" s="52"/>
      <c r="N50" s="53"/>
    </row>
    <row r="51" spans="1:14">
      <c r="A51" s="176"/>
      <c r="B51" s="173"/>
      <c r="C51" s="54" t="s">
        <v>25</v>
      </c>
      <c r="D51" s="55">
        <v>47034.82</v>
      </c>
      <c r="E51" s="55">
        <v>-808.67</v>
      </c>
      <c r="F51" s="55">
        <f>D51+E51</f>
        <v>46226.15</v>
      </c>
      <c r="G51" s="55">
        <v>813</v>
      </c>
      <c r="H51" s="55"/>
      <c r="I51" s="55"/>
      <c r="J51" s="55"/>
      <c r="K51" s="55">
        <f>F51+G51</f>
        <v>47039.15</v>
      </c>
      <c r="L51" s="55">
        <v>5566</v>
      </c>
      <c r="M51" s="52"/>
      <c r="N51" s="53"/>
    </row>
    <row r="52" spans="1:14">
      <c r="A52" s="176"/>
      <c r="B52" s="173"/>
      <c r="C52" s="56" t="s">
        <v>26</v>
      </c>
      <c r="D52" s="55">
        <f t="shared" ref="D52:L52" si="13">D48+D51</f>
        <v>13198504.23</v>
      </c>
      <c r="E52" s="55">
        <f t="shared" si="13"/>
        <v>1105723.08</v>
      </c>
      <c r="F52" s="55">
        <f t="shared" si="13"/>
        <v>14304227.310000001</v>
      </c>
      <c r="G52" s="55">
        <f t="shared" si="13"/>
        <v>922666</v>
      </c>
      <c r="H52" s="55">
        <f t="shared" si="13"/>
        <v>0</v>
      </c>
      <c r="I52" s="55">
        <f t="shared" si="13"/>
        <v>0</v>
      </c>
      <c r="J52" s="55">
        <f t="shared" si="13"/>
        <v>0</v>
      </c>
      <c r="K52" s="55">
        <f t="shared" si="13"/>
        <v>15226893.310000001</v>
      </c>
      <c r="L52" s="55">
        <f t="shared" si="13"/>
        <v>865733</v>
      </c>
      <c r="M52" s="52"/>
      <c r="N52" s="53"/>
    </row>
    <row r="53" spans="1:14">
      <c r="A53" s="176"/>
      <c r="B53" s="171" t="s">
        <v>38</v>
      </c>
      <c r="C53" s="20" t="s">
        <v>16</v>
      </c>
      <c r="D53" s="21">
        <f>5187115.21-544731.21</f>
        <v>4642384</v>
      </c>
      <c r="E53" s="21">
        <f>552196.65-141225.41</f>
        <v>410971.24</v>
      </c>
      <c r="F53" s="21">
        <f t="shared" ref="F53:F58" si="14">SUM(D53:E53)</f>
        <v>5053355.24</v>
      </c>
      <c r="G53" s="21">
        <f>500010-190776</f>
        <v>309234</v>
      </c>
      <c r="H53" s="49">
        <v>0</v>
      </c>
      <c r="I53" s="49">
        <v>0</v>
      </c>
      <c r="J53" s="49">
        <v>0</v>
      </c>
      <c r="K53" s="21">
        <f>D53+E53+G53+H53+I53+J53</f>
        <v>5362589.24</v>
      </c>
      <c r="L53" s="23">
        <v>313676</v>
      </c>
      <c r="N53" s="24"/>
    </row>
    <row r="54" spans="1:14">
      <c r="A54" s="176"/>
      <c r="B54" s="172"/>
      <c r="C54" s="20" t="s">
        <v>17</v>
      </c>
      <c r="D54" s="21">
        <v>4642384</v>
      </c>
      <c r="E54" s="21">
        <v>410971.24</v>
      </c>
      <c r="F54" s="21">
        <f t="shared" si="14"/>
        <v>5053355.24</v>
      </c>
      <c r="G54" s="21">
        <v>309234</v>
      </c>
      <c r="H54" s="49">
        <v>0</v>
      </c>
      <c r="I54" s="49">
        <v>0</v>
      </c>
      <c r="J54" s="49">
        <v>0</v>
      </c>
      <c r="K54" s="21">
        <f>D54+E54+G54+H54+I54+J54</f>
        <v>5362589.24</v>
      </c>
      <c r="L54" s="23">
        <v>313676</v>
      </c>
      <c r="N54" s="24"/>
    </row>
    <row r="55" spans="1:14">
      <c r="A55" s="176"/>
      <c r="B55" s="172"/>
      <c r="C55" s="20" t="s">
        <v>18</v>
      </c>
      <c r="D55" s="21">
        <v>4642384</v>
      </c>
      <c r="E55" s="21">
        <v>410971.24</v>
      </c>
      <c r="F55" s="21">
        <f t="shared" si="14"/>
        <v>5053355.24</v>
      </c>
      <c r="G55" s="21">
        <v>309234</v>
      </c>
      <c r="H55" s="49">
        <v>0</v>
      </c>
      <c r="I55" s="49">
        <v>0</v>
      </c>
      <c r="J55" s="49">
        <v>0</v>
      </c>
      <c r="K55" s="21">
        <f>D55+E55+G55+H55+I55+J55</f>
        <v>5362589.24</v>
      </c>
      <c r="L55" s="23">
        <v>313676</v>
      </c>
      <c r="N55" s="24"/>
    </row>
    <row r="56" spans="1:14">
      <c r="A56" s="176"/>
      <c r="B56" s="171" t="s">
        <v>39</v>
      </c>
      <c r="C56" s="20" t="s">
        <v>16</v>
      </c>
      <c r="D56" s="21">
        <f>303278.95+4883836.3-410269.36</f>
        <v>4776845.8899999997</v>
      </c>
      <c r="E56" s="21">
        <f>24473.52+377723.11+41225.41-15508.22</f>
        <v>427913.82000000007</v>
      </c>
      <c r="F56" s="21">
        <f t="shared" si="14"/>
        <v>5204759.71</v>
      </c>
      <c r="G56" s="21">
        <f>1528+398482-71222</f>
        <v>328788</v>
      </c>
      <c r="H56" s="49">
        <v>0</v>
      </c>
      <c r="I56" s="49">
        <v>0</v>
      </c>
      <c r="J56" s="49">
        <v>0</v>
      </c>
      <c r="K56" s="21">
        <f t="shared" ref="K56:K66" si="15">D56+E56+G56+H56+I56+J56</f>
        <v>5533547.71</v>
      </c>
      <c r="L56" s="23">
        <f>25742.37+308228.63-1628</f>
        <v>332343</v>
      </c>
      <c r="N56" s="24"/>
    </row>
    <row r="57" spans="1:14">
      <c r="A57" s="176"/>
      <c r="B57" s="172"/>
      <c r="C57" s="20" t="s">
        <v>17</v>
      </c>
      <c r="D57" s="21">
        <v>4805921.1500000004</v>
      </c>
      <c r="E57" s="21">
        <v>441478.32</v>
      </c>
      <c r="F57" s="21">
        <f t="shared" si="14"/>
        <v>5247399.4700000007</v>
      </c>
      <c r="G57" s="21">
        <v>326661</v>
      </c>
      <c r="H57" s="49">
        <v>0</v>
      </c>
      <c r="I57" s="49">
        <v>0</v>
      </c>
      <c r="J57" s="49">
        <v>0</v>
      </c>
      <c r="K57" s="21">
        <f t="shared" si="15"/>
        <v>5574060.4700000007</v>
      </c>
      <c r="L57" s="23">
        <v>333971</v>
      </c>
      <c r="N57" s="24"/>
    </row>
    <row r="58" spans="1:14">
      <c r="A58" s="176"/>
      <c r="B58" s="172"/>
      <c r="C58" s="20" t="s">
        <v>18</v>
      </c>
      <c r="D58" s="21">
        <v>4805921.1500000004</v>
      </c>
      <c r="E58" s="21">
        <v>441748.32</v>
      </c>
      <c r="F58" s="21">
        <f t="shared" si="14"/>
        <v>5247669.4700000007</v>
      </c>
      <c r="G58" s="21">
        <v>326661</v>
      </c>
      <c r="H58" s="49">
        <v>0</v>
      </c>
      <c r="I58" s="49">
        <v>0</v>
      </c>
      <c r="J58" s="49">
        <v>0</v>
      </c>
      <c r="K58" s="21">
        <f t="shared" si="15"/>
        <v>5574330.4700000007</v>
      </c>
      <c r="L58" s="23">
        <v>333971</v>
      </c>
      <c r="N58" s="24"/>
    </row>
    <row r="59" spans="1:14">
      <c r="A59" s="176"/>
      <c r="B59" s="185" t="s">
        <v>40</v>
      </c>
      <c r="C59" s="57" t="s">
        <v>16</v>
      </c>
      <c r="D59" s="58">
        <f t="shared" ref="D59:N59" si="16">D56+D53+D46</f>
        <v>22617734.119999997</v>
      </c>
      <c r="E59" s="58">
        <f t="shared" si="16"/>
        <v>1944608.1400000001</v>
      </c>
      <c r="F59" s="58">
        <f t="shared" si="16"/>
        <v>24562342.259999998</v>
      </c>
      <c r="G59" s="58">
        <f t="shared" si="16"/>
        <v>1560688</v>
      </c>
      <c r="H59" s="58">
        <f t="shared" si="16"/>
        <v>0</v>
      </c>
      <c r="I59" s="58">
        <f t="shared" si="16"/>
        <v>0</v>
      </c>
      <c r="J59" s="58">
        <f t="shared" si="16"/>
        <v>0</v>
      </c>
      <c r="K59" s="58">
        <f t="shared" si="16"/>
        <v>26123030.259999998</v>
      </c>
      <c r="L59" s="58">
        <f t="shared" si="16"/>
        <v>1511752</v>
      </c>
      <c r="M59" s="58">
        <f t="shared" si="16"/>
        <v>0</v>
      </c>
      <c r="N59" s="58">
        <f t="shared" si="16"/>
        <v>0</v>
      </c>
    </row>
    <row r="60" spans="1:14">
      <c r="A60" s="176"/>
      <c r="B60" s="186"/>
      <c r="C60" s="57" t="s">
        <v>41</v>
      </c>
      <c r="D60" s="58">
        <v>22617734.120000001</v>
      </c>
      <c r="E60" s="58">
        <v>1944608.14</v>
      </c>
      <c r="F60" s="58">
        <f>D60+E60</f>
        <v>24562342.260000002</v>
      </c>
      <c r="G60" s="58">
        <v>1560688</v>
      </c>
      <c r="H60" s="58"/>
      <c r="I60" s="58"/>
      <c r="J60" s="58"/>
      <c r="K60" s="58">
        <f>F60+G60</f>
        <v>26123030.260000002</v>
      </c>
      <c r="L60" s="58">
        <v>1511752</v>
      </c>
      <c r="M60" s="59"/>
      <c r="N60" s="60"/>
    </row>
    <row r="61" spans="1:14">
      <c r="A61" s="176"/>
      <c r="B61" s="186"/>
      <c r="C61" s="57" t="s">
        <v>42</v>
      </c>
      <c r="D61" s="58">
        <f>D52+D55+D58</f>
        <v>22646809.380000003</v>
      </c>
      <c r="E61" s="58">
        <f>E52+E55+E58</f>
        <v>1958442.6400000001</v>
      </c>
      <c r="F61" s="58">
        <f>F58+F55+F48</f>
        <v>24559025.870000001</v>
      </c>
      <c r="G61" s="58">
        <f>G52+G55+G58</f>
        <v>1558561</v>
      </c>
      <c r="H61" s="58">
        <f>H52+H55+H58</f>
        <v>0</v>
      </c>
      <c r="I61" s="58">
        <f>I52+I55+I58</f>
        <v>0</v>
      </c>
      <c r="J61" s="58">
        <f>J52+J55+J58</f>
        <v>0</v>
      </c>
      <c r="K61" s="58">
        <f>F61+G61</f>
        <v>26117586.870000001</v>
      </c>
      <c r="L61" s="58">
        <f>L52+L55+L58</f>
        <v>1513380</v>
      </c>
      <c r="M61" s="59"/>
      <c r="N61" s="60"/>
    </row>
    <row r="62" spans="1:14">
      <c r="A62" s="176"/>
      <c r="B62" s="186"/>
      <c r="C62" s="57" t="s">
        <v>25</v>
      </c>
      <c r="D62" s="58">
        <v>-29075.26</v>
      </c>
      <c r="E62" s="58">
        <v>-13834.5</v>
      </c>
      <c r="F62" s="58">
        <f>D62+E62</f>
        <v>-42909.759999999995</v>
      </c>
      <c r="G62" s="58">
        <v>2127</v>
      </c>
      <c r="H62" s="58"/>
      <c r="I62" s="58"/>
      <c r="J62" s="58"/>
      <c r="K62" s="58">
        <f>F62+G62</f>
        <v>-40782.759999999995</v>
      </c>
      <c r="L62" s="58">
        <v>-1628</v>
      </c>
      <c r="M62" s="59"/>
      <c r="N62" s="60"/>
    </row>
    <row r="63" spans="1:14">
      <c r="A63" s="176"/>
      <c r="B63" s="186"/>
      <c r="C63" s="57" t="s">
        <v>26</v>
      </c>
      <c r="D63" s="58">
        <f>D61+D62</f>
        <v>22617734.120000001</v>
      </c>
      <c r="E63" s="58">
        <f t="shared" ref="E63:L63" si="17">E61+E62</f>
        <v>1944608.1400000001</v>
      </c>
      <c r="F63" s="58">
        <f t="shared" si="17"/>
        <v>24516116.109999999</v>
      </c>
      <c r="G63" s="58">
        <f t="shared" si="17"/>
        <v>1560688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>F63+G63</f>
        <v>26076804.109999999</v>
      </c>
      <c r="L63" s="58">
        <f t="shared" si="17"/>
        <v>1511752</v>
      </c>
      <c r="M63" s="59"/>
      <c r="N63" s="60"/>
    </row>
    <row r="64" spans="1:14">
      <c r="A64" s="176"/>
      <c r="B64" s="171" t="s">
        <v>43</v>
      </c>
      <c r="C64" s="20" t="s">
        <v>16</v>
      </c>
      <c r="D64" s="21">
        <f>5187115.12-695051.01</f>
        <v>4492064.1100000003</v>
      </c>
      <c r="E64" s="21">
        <f>372216.39-24550.25</f>
        <v>347666.14</v>
      </c>
      <c r="F64" s="21">
        <f>SUM(D64:E64)</f>
        <v>4839730.25</v>
      </c>
      <c r="G64" s="21">
        <f>326758-92056</f>
        <v>234702</v>
      </c>
      <c r="H64" s="49">
        <v>0</v>
      </c>
      <c r="I64" s="49">
        <v>0</v>
      </c>
      <c r="J64" s="49">
        <v>0</v>
      </c>
      <c r="K64" s="21">
        <f t="shared" si="15"/>
        <v>5074432.25</v>
      </c>
      <c r="L64" s="23">
        <f>1465.51-13.51</f>
        <v>1452</v>
      </c>
      <c r="N64" s="24"/>
    </row>
    <row r="65" spans="1:14">
      <c r="A65" s="176"/>
      <c r="B65" s="172"/>
      <c r="C65" s="20" t="s">
        <v>17</v>
      </c>
      <c r="D65" s="21">
        <v>4442347.59</v>
      </c>
      <c r="E65" s="21">
        <v>370046.82</v>
      </c>
      <c r="F65" s="21">
        <f>SUM(D65:E65)</f>
        <v>4812394.41</v>
      </c>
      <c r="G65" s="21">
        <v>235858</v>
      </c>
      <c r="H65" s="49">
        <v>0</v>
      </c>
      <c r="I65" s="49">
        <v>0</v>
      </c>
      <c r="J65" s="49">
        <v>0</v>
      </c>
      <c r="K65" s="21">
        <f t="shared" si="15"/>
        <v>5048252.41</v>
      </c>
      <c r="L65" s="51">
        <v>282326</v>
      </c>
      <c r="N65" s="24"/>
    </row>
    <row r="66" spans="1:14">
      <c r="A66" s="176"/>
      <c r="B66" s="172"/>
      <c r="C66" s="20" t="s">
        <v>18</v>
      </c>
      <c r="D66" s="21">
        <v>4442347.59</v>
      </c>
      <c r="E66" s="21">
        <v>370046.82</v>
      </c>
      <c r="F66" s="21">
        <f>SUM(D66:E66)</f>
        <v>4812394.41</v>
      </c>
      <c r="G66" s="21">
        <v>235858</v>
      </c>
      <c r="H66" s="49">
        <v>0</v>
      </c>
      <c r="I66" s="49">
        <v>0</v>
      </c>
      <c r="J66" s="49">
        <v>0</v>
      </c>
      <c r="K66" s="21">
        <f t="shared" si="15"/>
        <v>5048252.41</v>
      </c>
      <c r="L66" s="23">
        <v>1463</v>
      </c>
      <c r="N66" s="24"/>
    </row>
    <row r="67" spans="1:14">
      <c r="A67" s="176"/>
      <c r="B67" s="187" t="s">
        <v>44</v>
      </c>
      <c r="C67" s="50" t="s">
        <v>16</v>
      </c>
      <c r="D67" s="51">
        <f t="shared" ref="D67:L69" si="18">D53+D56+D64</f>
        <v>13911294</v>
      </c>
      <c r="E67" s="51">
        <f t="shared" si="18"/>
        <v>1186551.2000000002</v>
      </c>
      <c r="F67" s="51">
        <f t="shared" si="18"/>
        <v>15097845.199999999</v>
      </c>
      <c r="G67" s="51">
        <f t="shared" si="18"/>
        <v>872724</v>
      </c>
      <c r="H67" s="51">
        <f t="shared" si="18"/>
        <v>0</v>
      </c>
      <c r="I67" s="51">
        <f t="shared" si="18"/>
        <v>0</v>
      </c>
      <c r="J67" s="51">
        <f t="shared" si="18"/>
        <v>0</v>
      </c>
      <c r="K67" s="51">
        <f t="shared" si="18"/>
        <v>15970569.199999999</v>
      </c>
      <c r="L67" s="51">
        <f t="shared" si="18"/>
        <v>647471</v>
      </c>
      <c r="M67" s="52"/>
      <c r="N67" s="53"/>
    </row>
    <row r="68" spans="1:14">
      <c r="A68" s="176"/>
      <c r="B68" s="188"/>
      <c r="C68" s="50" t="s">
        <v>17</v>
      </c>
      <c r="D68" s="51">
        <f t="shared" si="18"/>
        <v>13890652.74</v>
      </c>
      <c r="E68" s="51">
        <f t="shared" si="18"/>
        <v>1222496.3800000001</v>
      </c>
      <c r="F68" s="51">
        <f t="shared" si="18"/>
        <v>15113149.120000001</v>
      </c>
      <c r="G68" s="51">
        <f t="shared" si="18"/>
        <v>871753</v>
      </c>
      <c r="H68" s="51">
        <f t="shared" si="18"/>
        <v>0</v>
      </c>
      <c r="I68" s="51">
        <f t="shared" si="18"/>
        <v>0</v>
      </c>
      <c r="J68" s="51">
        <f t="shared" si="18"/>
        <v>0</v>
      </c>
      <c r="K68" s="51">
        <f t="shared" si="18"/>
        <v>15984902.120000001</v>
      </c>
      <c r="L68" s="51">
        <f t="shared" si="18"/>
        <v>929973</v>
      </c>
      <c r="M68" s="52"/>
      <c r="N68" s="53"/>
    </row>
    <row r="69" spans="1:14">
      <c r="A69" s="176"/>
      <c r="B69" s="188"/>
      <c r="C69" s="50" t="s">
        <v>18</v>
      </c>
      <c r="D69" s="51">
        <f t="shared" si="18"/>
        <v>13890652.74</v>
      </c>
      <c r="E69" s="51">
        <f t="shared" si="18"/>
        <v>1222766.3800000001</v>
      </c>
      <c r="F69" s="51">
        <f t="shared" si="18"/>
        <v>15113419.120000001</v>
      </c>
      <c r="G69" s="51">
        <f t="shared" si="18"/>
        <v>871753</v>
      </c>
      <c r="H69" s="51">
        <f t="shared" si="18"/>
        <v>0</v>
      </c>
      <c r="I69" s="51">
        <f t="shared" si="18"/>
        <v>0</v>
      </c>
      <c r="J69" s="51">
        <f t="shared" si="18"/>
        <v>0</v>
      </c>
      <c r="K69" s="51">
        <f t="shared" si="18"/>
        <v>15985172.120000001</v>
      </c>
      <c r="L69" s="51">
        <f t="shared" si="18"/>
        <v>649110</v>
      </c>
      <c r="M69" s="52"/>
      <c r="N69" s="53"/>
    </row>
    <row r="70" spans="1:14">
      <c r="A70" s="176"/>
      <c r="B70" s="187" t="s">
        <v>45</v>
      </c>
      <c r="C70" s="61" t="s">
        <v>16</v>
      </c>
      <c r="D70" s="62">
        <f>D46+D67</f>
        <v>27109798.229999997</v>
      </c>
      <c r="E70" s="62">
        <f t="shared" ref="E70:K70" si="19">E46+E67</f>
        <v>2292274.2800000003</v>
      </c>
      <c r="F70" s="62">
        <f t="shared" si="19"/>
        <v>29402072.509999998</v>
      </c>
      <c r="G70" s="62">
        <f t="shared" si="19"/>
        <v>1795390</v>
      </c>
      <c r="H70" s="62">
        <f t="shared" si="19"/>
        <v>0</v>
      </c>
      <c r="I70" s="62">
        <f t="shared" si="19"/>
        <v>0</v>
      </c>
      <c r="J70" s="62">
        <f t="shared" si="19"/>
        <v>0</v>
      </c>
      <c r="K70" s="62">
        <f t="shared" si="19"/>
        <v>31197462.509999998</v>
      </c>
      <c r="L70" s="62">
        <f>L59+L64</f>
        <v>1513204</v>
      </c>
      <c r="M70" s="63"/>
      <c r="N70" s="64"/>
    </row>
    <row r="71" spans="1:14">
      <c r="A71" s="176"/>
      <c r="B71" s="188"/>
      <c r="C71" s="61" t="s">
        <v>17</v>
      </c>
      <c r="D71" s="62">
        <f>D60+D65</f>
        <v>27060081.710000001</v>
      </c>
      <c r="E71" s="62">
        <f t="shared" ref="E71:K71" si="20">E60+E65</f>
        <v>2314654.96</v>
      </c>
      <c r="F71" s="62">
        <f t="shared" si="20"/>
        <v>29374736.670000002</v>
      </c>
      <c r="G71" s="62">
        <f t="shared" si="20"/>
        <v>1796546</v>
      </c>
      <c r="H71" s="62">
        <f t="shared" si="20"/>
        <v>0</v>
      </c>
      <c r="I71" s="62">
        <f t="shared" si="20"/>
        <v>0</v>
      </c>
      <c r="J71" s="62">
        <f t="shared" si="20"/>
        <v>0</v>
      </c>
      <c r="K71" s="62">
        <f t="shared" si="20"/>
        <v>31171282.670000002</v>
      </c>
      <c r="L71" s="62">
        <f>L60+L65</f>
        <v>1794078</v>
      </c>
      <c r="M71" s="63"/>
      <c r="N71" s="64"/>
    </row>
    <row r="72" spans="1:14">
      <c r="A72" s="176"/>
      <c r="B72" s="188"/>
      <c r="C72" s="61" t="s">
        <v>18</v>
      </c>
      <c r="D72" s="62">
        <f>D63+D66</f>
        <v>27060081.710000001</v>
      </c>
      <c r="E72" s="62">
        <f t="shared" ref="E72:L72" si="21">E63+E66</f>
        <v>2314654.96</v>
      </c>
      <c r="F72" s="62">
        <f t="shared" si="21"/>
        <v>29328510.52</v>
      </c>
      <c r="G72" s="62">
        <f t="shared" si="21"/>
        <v>1796546</v>
      </c>
      <c r="H72" s="62">
        <f t="shared" si="21"/>
        <v>0</v>
      </c>
      <c r="I72" s="62">
        <f t="shared" si="21"/>
        <v>0</v>
      </c>
      <c r="J72" s="62">
        <f t="shared" si="21"/>
        <v>0</v>
      </c>
      <c r="K72" s="62">
        <f t="shared" si="21"/>
        <v>31125056.52</v>
      </c>
      <c r="L72" s="62">
        <f t="shared" si="21"/>
        <v>1513215</v>
      </c>
      <c r="M72" s="63"/>
      <c r="N72" s="64"/>
    </row>
    <row r="73" spans="1:14">
      <c r="A73" s="176"/>
      <c r="B73" s="188"/>
      <c r="C73" s="61" t="s">
        <v>58</v>
      </c>
      <c r="D73" s="62">
        <v>27109798.23</v>
      </c>
      <c r="E73" s="62">
        <v>2292274.2799999998</v>
      </c>
      <c r="F73" s="62">
        <f>D73+E73</f>
        <v>29402072.510000002</v>
      </c>
      <c r="G73" s="62">
        <v>1795390</v>
      </c>
      <c r="H73" s="62"/>
      <c r="I73" s="62"/>
      <c r="J73" s="62"/>
      <c r="K73" s="62">
        <f>F73+G73</f>
        <v>31197462.510000002</v>
      </c>
      <c r="L73" s="62">
        <v>1796454</v>
      </c>
      <c r="M73" s="63"/>
      <c r="N73" s="64"/>
    </row>
    <row r="74" spans="1:14">
      <c r="A74" s="176"/>
      <c r="B74" s="188"/>
      <c r="C74" s="61" t="s">
        <v>25</v>
      </c>
      <c r="D74" s="62">
        <v>49716.52</v>
      </c>
      <c r="E74" s="62">
        <v>-22380.68</v>
      </c>
      <c r="F74" s="62">
        <f>D74+E74</f>
        <v>27335.839999999997</v>
      </c>
      <c r="G74" s="62">
        <v>-1156</v>
      </c>
      <c r="H74" s="62"/>
      <c r="I74" s="62"/>
      <c r="J74" s="62"/>
      <c r="K74" s="62">
        <f>F74+G74</f>
        <v>26179.839999999997</v>
      </c>
      <c r="L74" s="62">
        <v>-11</v>
      </c>
      <c r="M74" s="63"/>
      <c r="N74" s="64"/>
    </row>
    <row r="75" spans="1:14">
      <c r="A75" s="176"/>
      <c r="B75" s="188"/>
      <c r="C75" s="61" t="s">
        <v>26</v>
      </c>
      <c r="D75" s="62">
        <f>D72+D74</f>
        <v>27109798.23</v>
      </c>
      <c r="E75" s="62">
        <f t="shared" ref="E75:L75" si="22">E72+E74</f>
        <v>2292274.2799999998</v>
      </c>
      <c r="F75" s="62">
        <f>D75+E75</f>
        <v>29402072.510000002</v>
      </c>
      <c r="G75" s="62">
        <f t="shared" si="22"/>
        <v>1795390</v>
      </c>
      <c r="H75" s="62">
        <f t="shared" si="22"/>
        <v>0</v>
      </c>
      <c r="I75" s="62">
        <f t="shared" si="22"/>
        <v>0</v>
      </c>
      <c r="J75" s="62">
        <f t="shared" si="22"/>
        <v>0</v>
      </c>
      <c r="K75" s="62">
        <f>F75+G75</f>
        <v>31197462.510000002</v>
      </c>
      <c r="L75" s="62">
        <f t="shared" si="22"/>
        <v>1513204</v>
      </c>
      <c r="M75" s="63"/>
      <c r="N75" s="64"/>
    </row>
    <row r="76" spans="1:14">
      <c r="A76" s="177"/>
      <c r="B76" s="189" t="s">
        <v>46</v>
      </c>
      <c r="C76" s="65" t="s">
        <v>16</v>
      </c>
      <c r="D76" s="66">
        <f t="shared" ref="D76:L76" si="23">D31+D70</f>
        <v>53758269.469999999</v>
      </c>
      <c r="E76" s="66">
        <f t="shared" si="23"/>
        <v>4888402</v>
      </c>
      <c r="F76" s="66">
        <f t="shared" si="23"/>
        <v>58646671.469999999</v>
      </c>
      <c r="G76" s="66">
        <f t="shared" si="23"/>
        <v>3706771.4</v>
      </c>
      <c r="H76" s="66">
        <f t="shared" si="23"/>
        <v>526213.68999999994</v>
      </c>
      <c r="I76" s="66">
        <f t="shared" si="23"/>
        <v>0</v>
      </c>
      <c r="J76" s="66">
        <f t="shared" si="23"/>
        <v>0</v>
      </c>
      <c r="K76" s="66">
        <f t="shared" si="23"/>
        <v>62879656.559999995</v>
      </c>
      <c r="L76" s="66">
        <f t="shared" si="23"/>
        <v>3434827</v>
      </c>
      <c r="M76" s="67"/>
      <c r="N76" s="68"/>
    </row>
    <row r="77" spans="1:14">
      <c r="A77" s="177"/>
      <c r="B77" s="189"/>
      <c r="C77" s="65" t="s">
        <v>17</v>
      </c>
      <c r="D77" s="66">
        <f>D78</f>
        <v>53758269.469999999</v>
      </c>
      <c r="E77" s="66">
        <f>E78</f>
        <v>4888402</v>
      </c>
      <c r="F77" s="66">
        <f t="shared" ref="F77:H77" si="24">F78</f>
        <v>58646671.469999999</v>
      </c>
      <c r="G77" s="66">
        <f>G78</f>
        <v>3706771.4</v>
      </c>
      <c r="H77" s="66">
        <f t="shared" si="24"/>
        <v>526213.68999999994</v>
      </c>
      <c r="I77" s="66">
        <f t="shared" ref="I77" si="25">I78</f>
        <v>0</v>
      </c>
      <c r="J77" s="66">
        <f t="shared" ref="J77" si="26">J78</f>
        <v>0</v>
      </c>
      <c r="K77" s="66">
        <f>K78</f>
        <v>62879656.559999995</v>
      </c>
      <c r="L77" s="66">
        <f>L78</f>
        <v>3718077</v>
      </c>
      <c r="M77" s="69"/>
      <c r="N77" s="68"/>
    </row>
    <row r="78" spans="1:14">
      <c r="A78" s="177"/>
      <c r="B78" s="189"/>
      <c r="C78" s="65" t="s">
        <v>41</v>
      </c>
      <c r="D78" s="66">
        <f>D34+D73</f>
        <v>53758269.469999999</v>
      </c>
      <c r="E78" s="66">
        <f>E34+E73</f>
        <v>4888402</v>
      </c>
      <c r="F78" s="66">
        <f>F34+F73</f>
        <v>58646671.469999999</v>
      </c>
      <c r="G78" s="66">
        <f>G34+G73</f>
        <v>3706771.4</v>
      </c>
      <c r="H78" s="66">
        <f>H34+H73</f>
        <v>526213.68999999994</v>
      </c>
      <c r="I78" s="66">
        <f>I60+I34+I65</f>
        <v>0</v>
      </c>
      <c r="J78" s="66">
        <f>J60+J34+J65</f>
        <v>0</v>
      </c>
      <c r="K78" s="66">
        <f>F78+G78+H78</f>
        <v>62879656.559999995</v>
      </c>
      <c r="L78" s="66">
        <f>L73+L34</f>
        <v>3718077</v>
      </c>
      <c r="M78" s="66">
        <f>M60+M34+M65</f>
        <v>0</v>
      </c>
      <c r="N78" s="66">
        <f>N60+N34+N65</f>
        <v>0</v>
      </c>
    </row>
    <row r="79" spans="1:14">
      <c r="A79" s="177"/>
      <c r="B79" s="189"/>
      <c r="C79" s="70" t="s">
        <v>18</v>
      </c>
      <c r="D79" s="66">
        <f t="shared" ref="D79:K79" si="27">D36+D75</f>
        <v>53758269.469999999</v>
      </c>
      <c r="E79" s="66">
        <f t="shared" si="27"/>
        <v>4888402</v>
      </c>
      <c r="F79" s="66">
        <f t="shared" si="27"/>
        <v>58646671.469999999</v>
      </c>
      <c r="G79" s="66">
        <f t="shared" si="27"/>
        <v>3706771.4</v>
      </c>
      <c r="H79" s="66">
        <f t="shared" si="27"/>
        <v>526213.68999999994</v>
      </c>
      <c r="I79" s="66">
        <f t="shared" si="27"/>
        <v>0</v>
      </c>
      <c r="J79" s="66">
        <f t="shared" si="27"/>
        <v>0</v>
      </c>
      <c r="K79" s="66">
        <f t="shared" si="27"/>
        <v>62879656.560000002</v>
      </c>
      <c r="L79" s="66">
        <f>L75+L36</f>
        <v>3434827</v>
      </c>
      <c r="M79" s="67"/>
      <c r="N79" s="71"/>
    </row>
    <row r="80" spans="1:14">
      <c r="A80" s="190" t="s">
        <v>47</v>
      </c>
      <c r="B80" s="178" t="s">
        <v>15</v>
      </c>
      <c r="C80" s="14" t="s">
        <v>16</v>
      </c>
      <c r="D80" s="15">
        <v>3642291.81</v>
      </c>
      <c r="E80" s="15">
        <f>535256.86-307245.16</f>
        <v>228011.7</v>
      </c>
      <c r="F80" s="16">
        <f t="shared" ref="F80:F88" si="28">D80+E80</f>
        <v>3870303.5100000002</v>
      </c>
      <c r="G80" s="15">
        <f>362930.75-143834.63</f>
        <v>219096.12</v>
      </c>
      <c r="H80" s="15">
        <v>0</v>
      </c>
      <c r="I80" s="15">
        <v>0</v>
      </c>
      <c r="J80" s="15">
        <v>0</v>
      </c>
      <c r="K80" s="16">
        <f t="shared" ref="K80:K88" si="29">J80+I80+H80+G80+E80+D80</f>
        <v>4089399.63</v>
      </c>
      <c r="L80" s="17">
        <f>194033+44909</f>
        <v>238942</v>
      </c>
      <c r="N80" s="72">
        <v>7107</v>
      </c>
    </row>
    <row r="81" spans="1:14">
      <c r="A81" s="191"/>
      <c r="B81" s="178"/>
      <c r="C81" s="20" t="s">
        <v>17</v>
      </c>
      <c r="D81" s="21">
        <v>4333179.46</v>
      </c>
      <c r="E81" s="21">
        <v>228011.7</v>
      </c>
      <c r="F81" s="21">
        <f t="shared" si="28"/>
        <v>4561191.16</v>
      </c>
      <c r="G81" s="21">
        <v>219096.12</v>
      </c>
      <c r="H81" s="22">
        <v>0</v>
      </c>
      <c r="I81" s="22">
        <v>0</v>
      </c>
      <c r="J81" s="22">
        <v>0</v>
      </c>
      <c r="K81" s="21">
        <f t="shared" si="29"/>
        <v>4780287.28</v>
      </c>
      <c r="L81" s="23">
        <v>238942</v>
      </c>
      <c r="N81" s="72">
        <v>7107</v>
      </c>
    </row>
    <row r="82" spans="1:14">
      <c r="A82" s="191"/>
      <c r="B82" s="178"/>
      <c r="C82" s="25" t="s">
        <v>18</v>
      </c>
      <c r="D82" s="26">
        <v>3642071.06</v>
      </c>
      <c r="E82" s="26">
        <v>228011.7</v>
      </c>
      <c r="F82" s="26">
        <f t="shared" si="28"/>
        <v>3870082.7600000002</v>
      </c>
      <c r="G82" s="26">
        <v>219096.12</v>
      </c>
      <c r="H82" s="27">
        <v>0</v>
      </c>
      <c r="I82" s="27">
        <v>0</v>
      </c>
      <c r="J82" s="27">
        <v>0</v>
      </c>
      <c r="K82" s="26">
        <f t="shared" si="29"/>
        <v>4089178.88</v>
      </c>
      <c r="L82" s="28">
        <v>238942</v>
      </c>
      <c r="N82" s="72">
        <v>7107</v>
      </c>
    </row>
    <row r="83" spans="1:14">
      <c r="A83" s="191"/>
      <c r="B83" s="179" t="s">
        <v>20</v>
      </c>
      <c r="C83" s="20" t="s">
        <v>16</v>
      </c>
      <c r="D83" s="22">
        <f>3494353.72</f>
        <v>3494353.72</v>
      </c>
      <c r="E83" s="22">
        <f>535256.86-321281.64</f>
        <v>213975.21999999997</v>
      </c>
      <c r="F83" s="21">
        <f t="shared" si="28"/>
        <v>3708328.9400000004</v>
      </c>
      <c r="G83" s="22">
        <f>362930.75-60738.28</f>
        <v>302192.46999999997</v>
      </c>
      <c r="H83" s="22">
        <v>0</v>
      </c>
      <c r="I83" s="22">
        <v>0</v>
      </c>
      <c r="J83" s="30">
        <v>0</v>
      </c>
      <c r="K83" s="21">
        <f t="shared" si="29"/>
        <v>4010521.41</v>
      </c>
      <c r="L83" s="23">
        <v>215259</v>
      </c>
      <c r="N83" s="72">
        <v>0</v>
      </c>
    </row>
    <row r="84" spans="1:14">
      <c r="A84" s="191"/>
      <c r="B84" s="178"/>
      <c r="C84" s="20" t="s">
        <v>17</v>
      </c>
      <c r="D84" s="21">
        <v>3999804.35</v>
      </c>
      <c r="E84" s="21">
        <v>213975.22</v>
      </c>
      <c r="F84" s="21">
        <f t="shared" si="28"/>
        <v>4213779.57</v>
      </c>
      <c r="G84" s="21">
        <v>302192.46999999997</v>
      </c>
      <c r="H84" s="22">
        <v>0</v>
      </c>
      <c r="I84" s="22">
        <v>0</v>
      </c>
      <c r="J84" s="30">
        <v>0</v>
      </c>
      <c r="K84" s="21">
        <f t="shared" si="29"/>
        <v>4515972.04</v>
      </c>
      <c r="L84" s="23">
        <v>215259</v>
      </c>
      <c r="N84" s="72">
        <v>0</v>
      </c>
    </row>
    <row r="85" spans="1:14">
      <c r="A85" s="191"/>
      <c r="B85" s="178"/>
      <c r="C85" s="25" t="s">
        <v>18</v>
      </c>
      <c r="D85" s="26">
        <v>3494295.4</v>
      </c>
      <c r="E85" s="26">
        <v>213975.22</v>
      </c>
      <c r="F85" s="26">
        <f t="shared" si="28"/>
        <v>3708270.62</v>
      </c>
      <c r="G85" s="26">
        <v>302192.46999999997</v>
      </c>
      <c r="H85" s="27">
        <v>0</v>
      </c>
      <c r="I85" s="27">
        <v>0</v>
      </c>
      <c r="J85" s="27">
        <v>0</v>
      </c>
      <c r="K85" s="26">
        <f t="shared" si="29"/>
        <v>4010463.09</v>
      </c>
      <c r="L85" s="28">
        <v>215259</v>
      </c>
      <c r="M85" s="18"/>
      <c r="N85" s="72">
        <v>0</v>
      </c>
    </row>
    <row r="86" spans="1:14">
      <c r="A86" s="191"/>
      <c r="B86" s="179" t="s">
        <v>22</v>
      </c>
      <c r="C86" s="20" t="s">
        <v>16</v>
      </c>
      <c r="D86" s="22">
        <f>3494323.73</f>
        <v>3494323.73</v>
      </c>
      <c r="E86" s="22">
        <f>535256.86-282703.58</f>
        <v>252553.27999999997</v>
      </c>
      <c r="F86" s="21">
        <f t="shared" si="28"/>
        <v>3746877.01</v>
      </c>
      <c r="G86" s="22">
        <f>362127.42-15067.2</f>
        <v>347060.22</v>
      </c>
      <c r="H86" s="22">
        <v>0</v>
      </c>
      <c r="I86" s="22">
        <v>0</v>
      </c>
      <c r="J86" s="30">
        <v>0</v>
      </c>
      <c r="K86" s="21">
        <f t="shared" si="29"/>
        <v>4093937.23</v>
      </c>
      <c r="L86" s="23">
        <v>210914</v>
      </c>
      <c r="N86" s="72">
        <v>0</v>
      </c>
    </row>
    <row r="87" spans="1:14">
      <c r="A87" s="191"/>
      <c r="B87" s="178"/>
      <c r="C87" s="20" t="s">
        <v>17</v>
      </c>
      <c r="D87" s="21">
        <v>4358426.97</v>
      </c>
      <c r="E87" s="21">
        <v>266024.88</v>
      </c>
      <c r="F87" s="21">
        <f t="shared" si="28"/>
        <v>4624451.8499999996</v>
      </c>
      <c r="G87" s="21">
        <v>347336.3</v>
      </c>
      <c r="H87" s="22">
        <v>0</v>
      </c>
      <c r="I87" s="22">
        <v>0</v>
      </c>
      <c r="J87" s="30">
        <v>0</v>
      </c>
      <c r="K87" s="21">
        <f t="shared" si="29"/>
        <v>4971788.1499999994</v>
      </c>
      <c r="L87" s="23">
        <v>210914</v>
      </c>
      <c r="N87" s="72">
        <v>0</v>
      </c>
    </row>
    <row r="88" spans="1:14">
      <c r="A88" s="191"/>
      <c r="B88" s="178"/>
      <c r="C88" s="25" t="s">
        <v>18</v>
      </c>
      <c r="D88" s="26">
        <v>3494169.28</v>
      </c>
      <c r="E88" s="26">
        <v>266024.88</v>
      </c>
      <c r="F88" s="26">
        <f t="shared" si="28"/>
        <v>3760194.1599999997</v>
      </c>
      <c r="G88" s="26">
        <v>347336.3</v>
      </c>
      <c r="H88" s="27">
        <v>0</v>
      </c>
      <c r="I88" s="27">
        <v>0</v>
      </c>
      <c r="J88" s="27">
        <v>0</v>
      </c>
      <c r="K88" s="26">
        <f t="shared" si="29"/>
        <v>4107530.46</v>
      </c>
      <c r="L88" s="28">
        <v>210914</v>
      </c>
      <c r="N88" s="72">
        <v>0</v>
      </c>
    </row>
    <row r="89" spans="1:14">
      <c r="A89" s="191"/>
      <c r="B89" s="184" t="s">
        <v>23</v>
      </c>
      <c r="C89" s="20" t="s">
        <v>16</v>
      </c>
      <c r="D89" s="21">
        <f t="shared" ref="D89:G91" si="30">D86+D83+D80</f>
        <v>10630969.26</v>
      </c>
      <c r="E89" s="21">
        <f t="shared" si="30"/>
        <v>694540.2</v>
      </c>
      <c r="F89" s="21">
        <f t="shared" si="30"/>
        <v>11325509.460000001</v>
      </c>
      <c r="G89" s="21">
        <f t="shared" si="30"/>
        <v>868348.80999999994</v>
      </c>
      <c r="H89" s="21">
        <v>191843.67</v>
      </c>
      <c r="I89" s="21">
        <f t="shared" ref="I89:K91" si="31">I86+I83+I80</f>
        <v>0</v>
      </c>
      <c r="J89" s="21">
        <f t="shared" si="31"/>
        <v>0</v>
      </c>
      <c r="K89" s="21">
        <f t="shared" si="31"/>
        <v>12193858.27</v>
      </c>
      <c r="L89" s="23">
        <f>L86+L83+L80+7315</f>
        <v>672430</v>
      </c>
      <c r="M89" s="74">
        <f>M86+M83+M80+7315</f>
        <v>7315</v>
      </c>
      <c r="N89" s="72">
        <f>N86+N83+N80</f>
        <v>7107</v>
      </c>
    </row>
    <row r="90" spans="1:14">
      <c r="A90" s="191"/>
      <c r="B90" s="184"/>
      <c r="C90" s="20" t="s">
        <v>17</v>
      </c>
      <c r="D90" s="21">
        <f t="shared" si="30"/>
        <v>12691410.780000001</v>
      </c>
      <c r="E90" s="21">
        <f t="shared" si="30"/>
        <v>708011.8</v>
      </c>
      <c r="F90" s="21">
        <f t="shared" si="30"/>
        <v>13399422.58</v>
      </c>
      <c r="G90" s="21">
        <f t="shared" si="30"/>
        <v>868624.89</v>
      </c>
      <c r="H90" s="21">
        <v>191843.67</v>
      </c>
      <c r="I90" s="21">
        <f t="shared" si="31"/>
        <v>0</v>
      </c>
      <c r="J90" s="21">
        <f t="shared" si="31"/>
        <v>0</v>
      </c>
      <c r="K90" s="21">
        <f t="shared" si="31"/>
        <v>14268047.469999999</v>
      </c>
      <c r="L90" s="23">
        <f>L87+L84+L81</f>
        <v>665115</v>
      </c>
      <c r="N90" s="72">
        <f>N87+N84+N81</f>
        <v>7107</v>
      </c>
    </row>
    <row r="91" spans="1:14">
      <c r="A91" s="191"/>
      <c r="B91" s="184"/>
      <c r="C91" s="25" t="s">
        <v>18</v>
      </c>
      <c r="D91" s="26">
        <f t="shared" si="30"/>
        <v>10630535.74</v>
      </c>
      <c r="E91" s="26">
        <f t="shared" si="30"/>
        <v>708011.8</v>
      </c>
      <c r="F91" s="26">
        <f t="shared" si="30"/>
        <v>11338547.539999999</v>
      </c>
      <c r="G91" s="26">
        <f t="shared" si="30"/>
        <v>868624.89</v>
      </c>
      <c r="H91" s="26">
        <v>191843.67</v>
      </c>
      <c r="I91" s="26">
        <f t="shared" si="31"/>
        <v>0</v>
      </c>
      <c r="J91" s="26">
        <f t="shared" si="31"/>
        <v>0</v>
      </c>
      <c r="K91" s="26">
        <f t="shared" si="31"/>
        <v>12207172.43</v>
      </c>
      <c r="L91" s="28">
        <f>L88+L85+L82</f>
        <v>665115</v>
      </c>
      <c r="N91" s="72">
        <f>N88+N85+N82</f>
        <v>7107</v>
      </c>
    </row>
    <row r="92" spans="1:14">
      <c r="A92" s="191"/>
      <c r="B92" s="184"/>
      <c r="C92" s="75" t="s">
        <v>41</v>
      </c>
      <c r="D92" s="76">
        <v>12724618.779999999</v>
      </c>
      <c r="E92" s="76">
        <v>694540.21</v>
      </c>
      <c r="F92" s="76">
        <f>D92+E92</f>
        <v>13419158.989999998</v>
      </c>
      <c r="G92" s="76">
        <v>868348.81</v>
      </c>
      <c r="H92" s="51"/>
      <c r="I92" s="76">
        <f>I94+I93</f>
        <v>0</v>
      </c>
      <c r="J92" s="76">
        <f>J94+J93</f>
        <v>0</v>
      </c>
      <c r="K92" s="76">
        <f>F92+G92</f>
        <v>14287507.799999999</v>
      </c>
      <c r="L92" s="76">
        <f>L94</f>
        <v>672430</v>
      </c>
      <c r="M92" s="77">
        <f>M94</f>
        <v>0</v>
      </c>
      <c r="N92" s="78">
        <v>7107</v>
      </c>
    </row>
    <row r="93" spans="1:14">
      <c r="A93" s="191"/>
      <c r="B93" s="184"/>
      <c r="C93" s="79" t="s">
        <v>48</v>
      </c>
      <c r="D93" s="80">
        <v>154.94999999999999</v>
      </c>
      <c r="E93" s="80">
        <v>-13471.6</v>
      </c>
      <c r="F93" s="80">
        <f>D93+E93</f>
        <v>-13316.65</v>
      </c>
      <c r="G93" s="80">
        <v>-276.08</v>
      </c>
      <c r="H93" s="80"/>
      <c r="I93" s="80"/>
      <c r="J93" s="80"/>
      <c r="K93" s="80">
        <f>F93+G93</f>
        <v>-13592.73</v>
      </c>
      <c r="L93" s="80">
        <v>7315</v>
      </c>
      <c r="M93" s="81"/>
      <c r="N93" s="78">
        <v>7107</v>
      </c>
    </row>
    <row r="94" spans="1:14">
      <c r="A94" s="191"/>
      <c r="B94" s="184"/>
      <c r="C94" s="79" t="s">
        <v>26</v>
      </c>
      <c r="D94" s="80">
        <f>D91+D93</f>
        <v>10630690.689999999</v>
      </c>
      <c r="E94" s="80">
        <f t="shared" ref="E94:N94" si="32">E91+E93</f>
        <v>694540.20000000007</v>
      </c>
      <c r="F94" s="80">
        <f>F91+F93</f>
        <v>11325230.889999999</v>
      </c>
      <c r="G94" s="80">
        <f t="shared" si="32"/>
        <v>868348.81</v>
      </c>
      <c r="H94" s="51">
        <v>191843.67</v>
      </c>
      <c r="I94" s="80">
        <f t="shared" si="32"/>
        <v>0</v>
      </c>
      <c r="J94" s="80">
        <f t="shared" si="32"/>
        <v>0</v>
      </c>
      <c r="K94" s="80">
        <f t="shared" si="32"/>
        <v>12193579.699999999</v>
      </c>
      <c r="L94" s="80">
        <f t="shared" si="32"/>
        <v>672430</v>
      </c>
      <c r="M94" s="82">
        <f t="shared" si="32"/>
        <v>0</v>
      </c>
      <c r="N94" s="78">
        <f t="shared" si="32"/>
        <v>14214</v>
      </c>
    </row>
    <row r="95" spans="1:14">
      <c r="A95" s="192"/>
      <c r="B95" s="182" t="s">
        <v>28</v>
      </c>
      <c r="C95" s="49" t="s">
        <v>16</v>
      </c>
      <c r="D95" s="22">
        <f>3494323.73</f>
        <v>3494323.73</v>
      </c>
      <c r="E95" s="22">
        <f>535256.86-313175.58</f>
        <v>222081.27999999997</v>
      </c>
      <c r="F95" s="22">
        <f>D95+E95</f>
        <v>3716405.01</v>
      </c>
      <c r="G95" s="15">
        <f>362930.75</f>
        <v>362930.75</v>
      </c>
      <c r="H95" s="22">
        <v>0</v>
      </c>
      <c r="I95" s="22">
        <v>0</v>
      </c>
      <c r="J95" s="22">
        <v>0</v>
      </c>
      <c r="K95" s="22">
        <f>J95+I95+H95+G95+E95+D95</f>
        <v>4079335.76</v>
      </c>
      <c r="L95" s="22">
        <f>197200.14+11678.86</f>
        <v>208879</v>
      </c>
      <c r="N95" s="24"/>
    </row>
    <row r="96" spans="1:14">
      <c r="A96" s="192"/>
      <c r="B96" s="183"/>
      <c r="C96" s="49" t="s">
        <v>17</v>
      </c>
      <c r="D96" s="22">
        <v>3685397.61</v>
      </c>
      <c r="E96" s="22">
        <v>222081.28</v>
      </c>
      <c r="F96" s="22">
        <f>D96+E96</f>
        <v>3907478.8899999997</v>
      </c>
      <c r="G96" s="22">
        <v>272068.07</v>
      </c>
      <c r="H96" s="22">
        <v>0</v>
      </c>
      <c r="I96" s="22">
        <v>0</v>
      </c>
      <c r="J96" s="22">
        <v>0</v>
      </c>
      <c r="K96" s="22">
        <f>J96+I96+H96+G96+E96+D96</f>
        <v>4179546.96</v>
      </c>
      <c r="L96" s="22">
        <v>208879</v>
      </c>
      <c r="N96" s="24"/>
    </row>
    <row r="97" spans="1:14">
      <c r="A97" s="192"/>
      <c r="B97" s="183"/>
      <c r="C97" s="83" t="s">
        <v>18</v>
      </c>
      <c r="D97" s="22">
        <v>3494322.41</v>
      </c>
      <c r="E97" s="22">
        <v>222081.28</v>
      </c>
      <c r="F97" s="22">
        <f>D97+E97</f>
        <v>3716403.69</v>
      </c>
      <c r="G97" s="22">
        <v>272068.07</v>
      </c>
      <c r="H97" s="22">
        <v>0</v>
      </c>
      <c r="I97" s="22">
        <v>0</v>
      </c>
      <c r="J97" s="22">
        <v>0</v>
      </c>
      <c r="K97" s="22">
        <f>J97+I97+H97+G97+E97+D97</f>
        <v>3988471.7600000002</v>
      </c>
      <c r="L97" s="22">
        <v>208879</v>
      </c>
      <c r="N97" s="24"/>
    </row>
    <row r="98" spans="1:14">
      <c r="A98" s="192"/>
      <c r="B98" s="196"/>
      <c r="C98" s="49" t="s">
        <v>19</v>
      </c>
      <c r="D98" s="22">
        <f>D95-D97</f>
        <v>1.3199999998323619</v>
      </c>
      <c r="E98" s="22">
        <f t="shared" ref="E98:L98" si="33">E95-E97</f>
        <v>0</v>
      </c>
      <c r="F98" s="22">
        <f t="shared" si="33"/>
        <v>1.3199999998323619</v>
      </c>
      <c r="G98" s="22">
        <f t="shared" si="33"/>
        <v>90862.68</v>
      </c>
      <c r="H98" s="22">
        <f t="shared" si="33"/>
        <v>0</v>
      </c>
      <c r="I98" s="22">
        <f t="shared" si="33"/>
        <v>0</v>
      </c>
      <c r="J98" s="22">
        <f t="shared" si="33"/>
        <v>0</v>
      </c>
      <c r="K98" s="22">
        <f t="shared" si="33"/>
        <v>90863.999999999534</v>
      </c>
      <c r="L98" s="22">
        <f t="shared" si="33"/>
        <v>0</v>
      </c>
      <c r="N98" s="24"/>
    </row>
    <row r="99" spans="1:14">
      <c r="A99" s="192"/>
      <c r="B99" s="182" t="s">
        <v>29</v>
      </c>
      <c r="C99" s="49" t="s">
        <v>16</v>
      </c>
      <c r="D99" s="22">
        <f>3494323.73</f>
        <v>3494323.73</v>
      </c>
      <c r="E99" s="22">
        <f>535256.86-260765.9</f>
        <v>274490.95999999996</v>
      </c>
      <c r="F99" s="22">
        <f>D99+E99</f>
        <v>3768814.69</v>
      </c>
      <c r="G99" s="15">
        <v>362930.75</v>
      </c>
      <c r="H99" s="22">
        <v>0</v>
      </c>
      <c r="I99" s="22">
        <v>0</v>
      </c>
      <c r="J99" s="22">
        <v>0</v>
      </c>
      <c r="K99" s="22">
        <f>J99+I99+H99+G99+E99+D99</f>
        <v>4131745.44</v>
      </c>
      <c r="L99" s="22">
        <f>197200.14+34063.86</f>
        <v>231264</v>
      </c>
      <c r="N99" s="24">
        <v>4007.99</v>
      </c>
    </row>
    <row r="100" spans="1:14">
      <c r="A100" s="192"/>
      <c r="B100" s="183"/>
      <c r="C100" s="49" t="s">
        <v>17</v>
      </c>
      <c r="D100" s="22">
        <v>4627413.25</v>
      </c>
      <c r="E100" s="22">
        <v>274490.96000000002</v>
      </c>
      <c r="F100" s="22">
        <f>D100+E100</f>
        <v>4901904.21</v>
      </c>
      <c r="G100" s="84">
        <v>378739.96</v>
      </c>
      <c r="H100" s="22">
        <v>0</v>
      </c>
      <c r="I100" s="22">
        <v>0</v>
      </c>
      <c r="J100" s="22">
        <v>0</v>
      </c>
      <c r="K100" s="22">
        <f>J100+I100+H100+G100+E100+D100</f>
        <v>5280644.17</v>
      </c>
      <c r="L100" s="85">
        <v>231264</v>
      </c>
      <c r="N100" s="24">
        <v>4007.99</v>
      </c>
    </row>
    <row r="101" spans="1:14">
      <c r="A101" s="192"/>
      <c r="B101" s="183"/>
      <c r="C101" s="83" t="s">
        <v>18</v>
      </c>
      <c r="D101" s="22">
        <v>3494199.36</v>
      </c>
      <c r="E101" s="22">
        <v>274490.96000000002</v>
      </c>
      <c r="F101" s="22">
        <f>D101+E101</f>
        <v>3768690.32</v>
      </c>
      <c r="G101" s="22">
        <v>362919.54</v>
      </c>
      <c r="H101" s="22">
        <v>0</v>
      </c>
      <c r="I101" s="22">
        <v>0</v>
      </c>
      <c r="J101" s="22">
        <v>0</v>
      </c>
      <c r="K101" s="22">
        <f>J101+I101+H101+G101+E101+D101</f>
        <v>4131609.86</v>
      </c>
      <c r="L101" s="22">
        <v>231264</v>
      </c>
      <c r="N101" s="24">
        <v>4007.99</v>
      </c>
    </row>
    <row r="102" spans="1:14">
      <c r="A102" s="192"/>
      <c r="B102" s="196"/>
      <c r="C102" s="49" t="s">
        <v>19</v>
      </c>
      <c r="D102" s="22">
        <f>D99-D101</f>
        <v>124.37000000011176</v>
      </c>
      <c r="E102" s="22">
        <f t="shared" ref="E102:L102" si="34">E99-E101</f>
        <v>0</v>
      </c>
      <c r="F102" s="22">
        <f t="shared" si="34"/>
        <v>124.37000000011176</v>
      </c>
      <c r="G102" s="22">
        <f t="shared" si="34"/>
        <v>11.210000000020955</v>
      </c>
      <c r="H102" s="22">
        <f t="shared" si="34"/>
        <v>0</v>
      </c>
      <c r="I102" s="22">
        <f t="shared" si="34"/>
        <v>0</v>
      </c>
      <c r="J102" s="22">
        <f t="shared" si="34"/>
        <v>0</v>
      </c>
      <c r="K102" s="22">
        <f t="shared" si="34"/>
        <v>135.58000000007451</v>
      </c>
      <c r="L102" s="22">
        <f t="shared" si="34"/>
        <v>0</v>
      </c>
      <c r="N102" s="24"/>
    </row>
    <row r="103" spans="1:14">
      <c r="A103" s="192"/>
      <c r="B103" s="179" t="s">
        <v>30</v>
      </c>
      <c r="C103" s="49" t="s">
        <v>16</v>
      </c>
      <c r="D103" s="22">
        <f>3494323.73-105.14</f>
        <v>3494218.59</v>
      </c>
      <c r="E103" s="22">
        <f>535256.86-203071.79</f>
        <v>332185.06999999995</v>
      </c>
      <c r="F103" s="22">
        <f>D103+E103</f>
        <v>3826403.6599999997</v>
      </c>
      <c r="G103" s="15">
        <f>362930.75-118089.69</f>
        <v>244841.06</v>
      </c>
      <c r="H103" s="22">
        <v>0</v>
      </c>
      <c r="I103" s="22">
        <v>0</v>
      </c>
      <c r="J103" s="22">
        <v>0</v>
      </c>
      <c r="K103" s="22">
        <f>J103+I103+H103+G103+E103+D103</f>
        <v>4071244.7199999997</v>
      </c>
      <c r="L103" s="22">
        <f>224862+14245</f>
        <v>239107</v>
      </c>
      <c r="N103" s="24">
        <v>2409.04</v>
      </c>
    </row>
    <row r="104" spans="1:14">
      <c r="A104" s="192"/>
      <c r="B104" s="178"/>
      <c r="C104" s="49" t="s">
        <v>17</v>
      </c>
      <c r="D104" s="22">
        <v>3538911.38</v>
      </c>
      <c r="E104" s="22">
        <v>311242.26</v>
      </c>
      <c r="F104" s="22">
        <f>SUM(D104:E104)</f>
        <v>3850153.6399999997</v>
      </c>
      <c r="G104" s="22">
        <f>322874.55</f>
        <v>322874.55</v>
      </c>
      <c r="H104" s="22">
        <v>0</v>
      </c>
      <c r="I104" s="22">
        <v>0</v>
      </c>
      <c r="J104" s="22">
        <v>0</v>
      </c>
      <c r="K104" s="22">
        <f>J104+I104+H104+G104+E104+D104</f>
        <v>4173028.19</v>
      </c>
      <c r="L104" s="22">
        <f>224862</f>
        <v>224862</v>
      </c>
      <c r="N104" s="24">
        <v>2409.04</v>
      </c>
    </row>
    <row r="105" spans="1:14">
      <c r="A105" s="192"/>
      <c r="B105" s="178"/>
      <c r="C105" s="83" t="s">
        <v>18</v>
      </c>
      <c r="D105" s="22">
        <v>3493652.64</v>
      </c>
      <c r="E105" s="22">
        <v>311242.26</v>
      </c>
      <c r="F105" s="22">
        <f>SUM(D105:E105)</f>
        <v>3804894.9000000004</v>
      </c>
      <c r="G105" s="22">
        <v>322874.55</v>
      </c>
      <c r="H105" s="22">
        <v>0</v>
      </c>
      <c r="I105" s="22">
        <v>0</v>
      </c>
      <c r="J105" s="22">
        <v>0</v>
      </c>
      <c r="K105" s="22">
        <f>J105+I105+H105+G105+E105+D105</f>
        <v>4127769.45</v>
      </c>
      <c r="L105" s="22">
        <v>224862</v>
      </c>
      <c r="N105" s="24">
        <v>2409.04</v>
      </c>
    </row>
    <row r="106" spans="1:14">
      <c r="A106" s="192"/>
      <c r="B106" s="197"/>
      <c r="C106" s="49" t="s">
        <v>27</v>
      </c>
      <c r="D106" s="22">
        <f>D103-D105</f>
        <v>565.9499999997206</v>
      </c>
      <c r="E106" s="22">
        <f t="shared" ref="E106:L106" si="35">E103-E105</f>
        <v>20942.809999999939</v>
      </c>
      <c r="F106" s="22">
        <f t="shared" si="35"/>
        <v>21508.759999999311</v>
      </c>
      <c r="G106" s="22">
        <f t="shared" si="35"/>
        <v>-78033.489999999991</v>
      </c>
      <c r="H106" s="22">
        <f t="shared" si="35"/>
        <v>0</v>
      </c>
      <c r="I106" s="22">
        <f t="shared" si="35"/>
        <v>0</v>
      </c>
      <c r="J106" s="22">
        <f t="shared" si="35"/>
        <v>0</v>
      </c>
      <c r="K106" s="22">
        <f t="shared" si="35"/>
        <v>-56524.730000000447</v>
      </c>
      <c r="L106" s="22">
        <f t="shared" si="35"/>
        <v>14245</v>
      </c>
      <c r="N106" s="24"/>
    </row>
    <row r="107" spans="1:14">
      <c r="A107" s="192"/>
      <c r="B107" s="184" t="s">
        <v>31</v>
      </c>
      <c r="C107" s="49" t="s">
        <v>16</v>
      </c>
      <c r="D107" s="22">
        <f t="shared" ref="D107:J110" si="36">D103+D99+D95</f>
        <v>10482866.050000001</v>
      </c>
      <c r="E107" s="22">
        <f t="shared" si="36"/>
        <v>828757.30999999982</v>
      </c>
      <c r="F107" s="22">
        <f t="shared" si="36"/>
        <v>11311623.359999999</v>
      </c>
      <c r="G107" s="22">
        <f t="shared" si="36"/>
        <v>970702.56</v>
      </c>
      <c r="H107" s="22">
        <v>286822.64</v>
      </c>
      <c r="I107" s="22">
        <f t="shared" si="36"/>
        <v>0</v>
      </c>
      <c r="J107" s="22">
        <f t="shared" si="36"/>
        <v>0</v>
      </c>
      <c r="K107" s="22">
        <f>J107+I107+H107+G107+E107+D107</f>
        <v>12569148.560000001</v>
      </c>
      <c r="L107" s="22">
        <f>L103+L99+L95</f>
        <v>679250</v>
      </c>
      <c r="M107" s="86">
        <f>M103+M99+M95</f>
        <v>0</v>
      </c>
      <c r="N107" s="24">
        <f>N103+N99+N95</f>
        <v>6417.03</v>
      </c>
    </row>
    <row r="108" spans="1:14">
      <c r="A108" s="192"/>
      <c r="B108" s="184"/>
      <c r="C108" s="49" t="s">
        <v>17</v>
      </c>
      <c r="D108" s="22">
        <f t="shared" si="36"/>
        <v>11851722.24</v>
      </c>
      <c r="E108" s="22">
        <f t="shared" si="36"/>
        <v>807814.5</v>
      </c>
      <c r="F108" s="22">
        <f>D108+E108</f>
        <v>12659536.74</v>
      </c>
      <c r="G108" s="22">
        <f t="shared" si="36"/>
        <v>973682.58000000007</v>
      </c>
      <c r="H108" s="22">
        <v>286822.64</v>
      </c>
      <c r="I108" s="22">
        <f t="shared" si="36"/>
        <v>0</v>
      </c>
      <c r="J108" s="22">
        <f t="shared" si="36"/>
        <v>0</v>
      </c>
      <c r="K108" s="22">
        <f>J108+I108+H108+G108+E108+D108</f>
        <v>13920041.960000001</v>
      </c>
      <c r="L108" s="22">
        <f>L104+L100+L96</f>
        <v>665005</v>
      </c>
      <c r="N108" s="24">
        <f>N104+N100+N96</f>
        <v>6417.03</v>
      </c>
    </row>
    <row r="109" spans="1:14">
      <c r="A109" s="192"/>
      <c r="B109" s="184"/>
      <c r="C109" s="83" t="s">
        <v>18</v>
      </c>
      <c r="D109" s="22">
        <f t="shared" si="36"/>
        <v>10482174.41</v>
      </c>
      <c r="E109" s="22">
        <f t="shared" si="36"/>
        <v>807814.5</v>
      </c>
      <c r="F109" s="22">
        <f>D109+E109</f>
        <v>11289988.91</v>
      </c>
      <c r="G109" s="22">
        <f t="shared" si="36"/>
        <v>957862.15999999992</v>
      </c>
      <c r="H109" s="22">
        <v>286822.64</v>
      </c>
      <c r="I109" s="22">
        <f t="shared" si="36"/>
        <v>0</v>
      </c>
      <c r="J109" s="22">
        <f t="shared" si="36"/>
        <v>0</v>
      </c>
      <c r="K109" s="22">
        <f>J109+I109+H109+G109+E109+D109</f>
        <v>12534673.710000001</v>
      </c>
      <c r="L109" s="22">
        <f>L105+L101+L97</f>
        <v>665005</v>
      </c>
      <c r="N109" s="24">
        <f>N105+N101+N97</f>
        <v>6417.03</v>
      </c>
    </row>
    <row r="110" spans="1:14">
      <c r="A110" s="192"/>
      <c r="B110" s="184"/>
      <c r="C110" s="49" t="s">
        <v>19</v>
      </c>
      <c r="D110" s="22">
        <f t="shared" si="36"/>
        <v>691.63999999966472</v>
      </c>
      <c r="E110" s="22">
        <f t="shared" si="36"/>
        <v>20942.809999999939</v>
      </c>
      <c r="F110" s="22">
        <f>D110+E110</f>
        <v>21634.449999999604</v>
      </c>
      <c r="G110" s="22">
        <f>G106+G102+G98</f>
        <v>12840.400000000023</v>
      </c>
      <c r="H110" s="49">
        <f>H107-H109</f>
        <v>0</v>
      </c>
      <c r="I110" s="49">
        <f>I107-I109</f>
        <v>0</v>
      </c>
      <c r="J110" s="49">
        <f>J107-J109</f>
        <v>0</v>
      </c>
      <c r="K110" s="22">
        <f>J110+I110+H110+G110+E110+D110</f>
        <v>34474.849999999627</v>
      </c>
      <c r="L110" s="22">
        <f>L106+L102+L98</f>
        <v>14245</v>
      </c>
      <c r="N110" s="24">
        <f>N106+N102+N98</f>
        <v>0</v>
      </c>
    </row>
    <row r="111" spans="1:14">
      <c r="A111" s="192"/>
      <c r="B111" s="180" t="s">
        <v>32</v>
      </c>
      <c r="C111" s="87" t="s">
        <v>16</v>
      </c>
      <c r="D111" s="88">
        <f>D89+D107</f>
        <v>21113835.310000002</v>
      </c>
      <c r="E111" s="88">
        <f>E89+E107</f>
        <v>1523297.5099999998</v>
      </c>
      <c r="F111" s="88">
        <f>D111+E111</f>
        <v>22637132.82</v>
      </c>
      <c r="G111" s="88">
        <f>G89+G107</f>
        <v>1839051.37</v>
      </c>
      <c r="H111" s="88">
        <f>H89+H107</f>
        <v>478666.31000000006</v>
      </c>
      <c r="I111" s="88">
        <f>I89+I107</f>
        <v>0</v>
      </c>
      <c r="J111" s="88">
        <f>J89+J107</f>
        <v>0</v>
      </c>
      <c r="K111" s="88">
        <f>J111+I111+H111+G111+E111+D111</f>
        <v>24954850.500000004</v>
      </c>
      <c r="L111" s="88">
        <f>L89+L107</f>
        <v>1351680</v>
      </c>
      <c r="M111" s="89">
        <f>M89+M107</f>
        <v>7315</v>
      </c>
      <c r="N111" s="90">
        <f>N89+N107</f>
        <v>13524.029999999999</v>
      </c>
    </row>
    <row r="112" spans="1:14">
      <c r="A112" s="192"/>
      <c r="B112" s="181"/>
      <c r="C112" s="20" t="s">
        <v>17</v>
      </c>
      <c r="D112" s="21">
        <f>D92+D108</f>
        <v>24576341.02</v>
      </c>
      <c r="E112" s="21">
        <f>E92+E108</f>
        <v>1502354.71</v>
      </c>
      <c r="F112" s="21">
        <f>F92+F108</f>
        <v>26078695.729999997</v>
      </c>
      <c r="G112" s="21">
        <f>G92+G108</f>
        <v>1842031.3900000001</v>
      </c>
      <c r="H112" s="21">
        <f>H90+H108</f>
        <v>478666.31000000006</v>
      </c>
      <c r="I112" s="21">
        <f>I92+I108</f>
        <v>0</v>
      </c>
      <c r="J112" s="21">
        <f>J92+J108</f>
        <v>0</v>
      </c>
      <c r="K112" s="21">
        <f>K92+K108</f>
        <v>28207549.759999998</v>
      </c>
      <c r="L112" s="21">
        <f>L92+L108</f>
        <v>1337435</v>
      </c>
      <c r="N112" s="24">
        <f>N90+N108</f>
        <v>13524.029999999999</v>
      </c>
    </row>
    <row r="113" spans="1:14">
      <c r="A113" s="192"/>
      <c r="B113" s="181"/>
      <c r="C113" s="25" t="s">
        <v>18</v>
      </c>
      <c r="D113" s="26">
        <f>D94+D109</f>
        <v>21112865.100000001</v>
      </c>
      <c r="E113" s="26">
        <f>E94+E109</f>
        <v>1502354.7000000002</v>
      </c>
      <c r="F113" s="26">
        <f>F94+F109</f>
        <v>22615219.799999997</v>
      </c>
      <c r="G113" s="26">
        <f>G94+G109</f>
        <v>1826210.97</v>
      </c>
      <c r="H113" s="21">
        <f>H91+H109</f>
        <v>478666.31000000006</v>
      </c>
      <c r="I113" s="26">
        <f>I94+I109</f>
        <v>0</v>
      </c>
      <c r="J113" s="26">
        <f>J94+J109</f>
        <v>0</v>
      </c>
      <c r="K113" s="26">
        <f>K94+K109</f>
        <v>24728253.41</v>
      </c>
      <c r="L113" s="26">
        <f>L94+L109</f>
        <v>1337435</v>
      </c>
      <c r="N113" s="24">
        <f>N91+N109</f>
        <v>13524.029999999999</v>
      </c>
    </row>
    <row r="114" spans="1:14">
      <c r="A114" s="192"/>
      <c r="B114" s="178"/>
      <c r="C114" s="91" t="s">
        <v>41</v>
      </c>
      <c r="D114" s="92">
        <v>24647951.77</v>
      </c>
      <c r="E114" s="92">
        <v>1523297.51</v>
      </c>
      <c r="F114" s="92">
        <f>D114+E114</f>
        <v>26171249.280000001</v>
      </c>
      <c r="G114" s="92">
        <v>1839051.37</v>
      </c>
      <c r="H114" s="92">
        <v>478666.31</v>
      </c>
      <c r="I114" s="92"/>
      <c r="J114" s="92"/>
      <c r="K114" s="92">
        <f>F114+G114+H114</f>
        <v>28488966.960000001</v>
      </c>
      <c r="L114" s="92">
        <v>1351680</v>
      </c>
      <c r="M114" s="93">
        <v>1351680</v>
      </c>
      <c r="N114" s="94">
        <f>N93+N112</f>
        <v>20631.03</v>
      </c>
    </row>
    <row r="115" spans="1:14">
      <c r="A115" s="192"/>
      <c r="B115" s="178"/>
      <c r="C115" s="95" t="s">
        <v>48</v>
      </c>
      <c r="D115" s="92">
        <v>970.21</v>
      </c>
      <c r="E115" s="92">
        <v>20942.810000000001</v>
      </c>
      <c r="F115" s="92">
        <f>D115+E115</f>
        <v>21913.02</v>
      </c>
      <c r="G115" s="92">
        <v>12840.4</v>
      </c>
      <c r="H115" s="92">
        <v>0</v>
      </c>
      <c r="I115" s="92"/>
      <c r="J115" s="92"/>
      <c r="K115" s="92">
        <f>F115+G115</f>
        <v>34753.42</v>
      </c>
      <c r="L115" s="92">
        <v>14245</v>
      </c>
      <c r="M115" s="46"/>
      <c r="N115" s="94">
        <v>13542.03</v>
      </c>
    </row>
    <row r="116" spans="1:14">
      <c r="A116" s="192"/>
      <c r="B116" s="178"/>
      <c r="C116" s="95" t="s">
        <v>26</v>
      </c>
      <c r="D116" s="92">
        <f t="shared" ref="D116:J116" si="37">D115+D113</f>
        <v>21113835.310000002</v>
      </c>
      <c r="E116" s="92">
        <f t="shared" si="37"/>
        <v>1523297.5100000002</v>
      </c>
      <c r="F116" s="92">
        <f t="shared" si="37"/>
        <v>22637132.819999997</v>
      </c>
      <c r="G116" s="92">
        <f t="shared" si="37"/>
        <v>1839051.3699999999</v>
      </c>
      <c r="H116" s="92">
        <f t="shared" si="37"/>
        <v>478666.31000000006</v>
      </c>
      <c r="I116" s="92">
        <f t="shared" si="37"/>
        <v>0</v>
      </c>
      <c r="J116" s="92">
        <f t="shared" si="37"/>
        <v>0</v>
      </c>
      <c r="K116" s="92">
        <f>F116+G116+H116</f>
        <v>24954850.499999996</v>
      </c>
      <c r="L116" s="92">
        <f>L115+L113</f>
        <v>1351680</v>
      </c>
      <c r="M116" s="46"/>
      <c r="N116" s="94">
        <v>13542.03</v>
      </c>
    </row>
    <row r="117" spans="1:14">
      <c r="A117" s="192"/>
      <c r="B117" s="171" t="s">
        <v>33</v>
      </c>
      <c r="C117" s="20" t="s">
        <v>16</v>
      </c>
      <c r="D117" s="21">
        <f>4611074.74-548140.74</f>
        <v>4062934</v>
      </c>
      <c r="E117" s="21">
        <f>534546.7-288569.15</f>
        <v>245977.54999999993</v>
      </c>
      <c r="F117" s="21">
        <f t="shared" ref="F117:F125" si="38">SUM(D117:E117)</f>
        <v>4308911.55</v>
      </c>
      <c r="G117" s="21">
        <f>400737-83048</f>
        <v>317689</v>
      </c>
      <c r="H117" s="49">
        <v>0</v>
      </c>
      <c r="I117" s="49">
        <v>0</v>
      </c>
      <c r="J117" s="49">
        <v>0</v>
      </c>
      <c r="K117" s="21">
        <f>D117+E117+G117+H117+I117+J117</f>
        <v>4626600.55</v>
      </c>
      <c r="L117" s="23">
        <v>232441</v>
      </c>
      <c r="N117" s="24">
        <v>4785.3999999999996</v>
      </c>
    </row>
    <row r="118" spans="1:14">
      <c r="A118" s="192"/>
      <c r="B118" s="172"/>
      <c r="C118" s="20" t="s">
        <v>17</v>
      </c>
      <c r="D118" s="21">
        <v>4062934</v>
      </c>
      <c r="E118" s="21">
        <v>245977.55</v>
      </c>
      <c r="F118" s="21">
        <f t="shared" si="38"/>
        <v>4308911.55</v>
      </c>
      <c r="G118" s="21">
        <v>317689</v>
      </c>
      <c r="H118" s="49">
        <v>0</v>
      </c>
      <c r="I118" s="49">
        <v>0</v>
      </c>
      <c r="J118" s="49">
        <v>0</v>
      </c>
      <c r="K118" s="21">
        <f>D118+E118+G118+H118+I118+J118</f>
        <v>4626600.55</v>
      </c>
      <c r="L118" s="23">
        <v>232441</v>
      </c>
      <c r="N118" s="24">
        <v>4785.3999999999996</v>
      </c>
    </row>
    <row r="119" spans="1:14">
      <c r="A119" s="192"/>
      <c r="B119" s="172"/>
      <c r="C119" s="20" t="s">
        <v>18</v>
      </c>
      <c r="D119" s="21">
        <v>4062934</v>
      </c>
      <c r="E119" s="21">
        <v>245977.55</v>
      </c>
      <c r="F119" s="21">
        <f t="shared" si="38"/>
        <v>4308911.55</v>
      </c>
      <c r="G119" s="21">
        <v>317689</v>
      </c>
      <c r="H119" s="49">
        <v>0</v>
      </c>
      <c r="I119" s="49">
        <v>0</v>
      </c>
      <c r="J119" s="49">
        <v>0</v>
      </c>
      <c r="K119" s="21">
        <f>D119+E119+G119+H119+I119+J119</f>
        <v>4626600.55</v>
      </c>
      <c r="L119" s="23">
        <v>232441</v>
      </c>
      <c r="N119" s="24">
        <v>4785.3999999999996</v>
      </c>
    </row>
    <row r="120" spans="1:14">
      <c r="A120" s="192"/>
      <c r="B120" s="171" t="s">
        <v>34</v>
      </c>
      <c r="C120" s="20" t="s">
        <v>16</v>
      </c>
      <c r="D120" s="21">
        <f>4611074.74-192573.31</f>
        <v>4418501.4300000006</v>
      </c>
      <c r="E120" s="21">
        <f>534546.7-309835.22</f>
        <v>224711.47999999998</v>
      </c>
      <c r="F120" s="21">
        <f t="shared" si="38"/>
        <v>4643212.91</v>
      </c>
      <c r="G120" s="21">
        <f>400737-70710</f>
        <v>330027</v>
      </c>
      <c r="H120" s="49">
        <v>0</v>
      </c>
      <c r="I120" s="49">
        <v>0</v>
      </c>
      <c r="J120" s="49">
        <v>0</v>
      </c>
      <c r="K120" s="21">
        <f t="shared" ref="K120:K125" si="39">J120+I120+H120+G120+E120+D120</f>
        <v>4973239.91</v>
      </c>
      <c r="L120" s="23">
        <v>242264</v>
      </c>
      <c r="N120" s="24">
        <v>0</v>
      </c>
    </row>
    <row r="121" spans="1:14">
      <c r="A121" s="192"/>
      <c r="B121" s="172"/>
      <c r="C121" s="20" t="s">
        <v>17</v>
      </c>
      <c r="D121" s="21">
        <v>4418501.43</v>
      </c>
      <c r="E121" s="21">
        <v>224711.48</v>
      </c>
      <c r="F121" s="21">
        <f t="shared" si="38"/>
        <v>4643212.91</v>
      </c>
      <c r="G121" s="21">
        <v>330027</v>
      </c>
      <c r="H121" s="49">
        <v>0</v>
      </c>
      <c r="I121" s="49">
        <v>0</v>
      </c>
      <c r="J121" s="49">
        <v>0</v>
      </c>
      <c r="K121" s="21">
        <f t="shared" si="39"/>
        <v>4973239.91</v>
      </c>
      <c r="L121" s="23">
        <v>242264</v>
      </c>
      <c r="N121" s="24">
        <v>0</v>
      </c>
    </row>
    <row r="122" spans="1:14">
      <c r="A122" s="192"/>
      <c r="B122" s="172"/>
      <c r="C122" s="20" t="s">
        <v>18</v>
      </c>
      <c r="D122" s="21">
        <v>4418501.43</v>
      </c>
      <c r="E122" s="21">
        <v>224711.48</v>
      </c>
      <c r="F122" s="21">
        <f t="shared" si="38"/>
        <v>4643212.91</v>
      </c>
      <c r="G122" s="21">
        <v>330027</v>
      </c>
      <c r="H122" s="49">
        <v>0</v>
      </c>
      <c r="I122" s="49">
        <v>0</v>
      </c>
      <c r="J122" s="49">
        <v>0</v>
      </c>
      <c r="K122" s="21">
        <f t="shared" si="39"/>
        <v>4973239.91</v>
      </c>
      <c r="L122" s="23">
        <v>242264</v>
      </c>
      <c r="N122" s="24">
        <v>0</v>
      </c>
    </row>
    <row r="123" spans="1:14">
      <c r="A123" s="192"/>
      <c r="B123" s="194" t="s">
        <v>35</v>
      </c>
      <c r="C123" s="20" t="s">
        <v>16</v>
      </c>
      <c r="D123" s="21">
        <f>4611074.74-600000-235365.05</f>
        <v>3775709.6900000004</v>
      </c>
      <c r="E123" s="21">
        <f>534546.7-250000-75893.21</f>
        <v>208653.48999999993</v>
      </c>
      <c r="F123" s="21">
        <f t="shared" si="38"/>
        <v>3984363.18</v>
      </c>
      <c r="G123" s="21">
        <f>400737-25000-44172</f>
        <v>331565</v>
      </c>
      <c r="H123" s="49">
        <v>0</v>
      </c>
      <c r="I123" s="49">
        <v>0</v>
      </c>
      <c r="J123" s="49">
        <v>0</v>
      </c>
      <c r="K123" s="21">
        <f t="shared" si="39"/>
        <v>4315928.1800000006</v>
      </c>
      <c r="L123" s="23">
        <f>398431.2-173646.2+1463</f>
        <v>226248</v>
      </c>
      <c r="N123" s="24">
        <v>2365.2399999999998</v>
      </c>
    </row>
    <row r="124" spans="1:14">
      <c r="A124" s="192"/>
      <c r="B124" s="195"/>
      <c r="C124" s="20" t="s">
        <v>17</v>
      </c>
      <c r="D124" s="21">
        <v>3763664.48</v>
      </c>
      <c r="E124" s="21">
        <v>199651.64</v>
      </c>
      <c r="F124" s="21">
        <f t="shared" si="38"/>
        <v>3963316.12</v>
      </c>
      <c r="G124" s="21">
        <v>330508</v>
      </c>
      <c r="H124" s="49">
        <v>0</v>
      </c>
      <c r="I124" s="49">
        <v>0</v>
      </c>
      <c r="J124" s="49">
        <v>0</v>
      </c>
      <c r="K124" s="21">
        <f t="shared" si="39"/>
        <v>4293824.12</v>
      </c>
      <c r="L124" s="23">
        <v>224785</v>
      </c>
      <c r="N124" s="24">
        <v>2365.2399999999998</v>
      </c>
    </row>
    <row r="125" spans="1:14">
      <c r="A125" s="192"/>
      <c r="B125" s="195"/>
      <c r="C125" s="20" t="s">
        <v>18</v>
      </c>
      <c r="D125" s="21">
        <v>3763664.48</v>
      </c>
      <c r="E125" s="21">
        <v>199651.64</v>
      </c>
      <c r="F125" s="21">
        <f t="shared" si="38"/>
        <v>3963316.12</v>
      </c>
      <c r="G125" s="21">
        <v>330508</v>
      </c>
      <c r="H125" s="49">
        <v>0</v>
      </c>
      <c r="I125" s="49">
        <v>0</v>
      </c>
      <c r="J125" s="49">
        <v>0</v>
      </c>
      <c r="K125" s="21">
        <f t="shared" si="39"/>
        <v>4293824.12</v>
      </c>
      <c r="L125" s="23">
        <v>224785</v>
      </c>
      <c r="N125" s="24">
        <v>2365.2399999999998</v>
      </c>
    </row>
    <row r="126" spans="1:14">
      <c r="A126" s="192"/>
      <c r="B126" s="171" t="s">
        <v>36</v>
      </c>
      <c r="C126" s="20" t="s">
        <v>16</v>
      </c>
      <c r="D126" s="21">
        <f t="shared" ref="D126:N128" si="40">D117+D120+D123</f>
        <v>12257145.120000001</v>
      </c>
      <c r="E126" s="21">
        <f t="shared" si="40"/>
        <v>679342.51999999979</v>
      </c>
      <c r="F126" s="21">
        <f t="shared" si="40"/>
        <v>12936487.640000001</v>
      </c>
      <c r="G126" s="21">
        <f t="shared" si="40"/>
        <v>979281</v>
      </c>
      <c r="H126" s="21">
        <f t="shared" si="40"/>
        <v>0</v>
      </c>
      <c r="I126" s="21">
        <f t="shared" si="40"/>
        <v>0</v>
      </c>
      <c r="J126" s="21">
        <f t="shared" si="40"/>
        <v>0</v>
      </c>
      <c r="K126" s="21">
        <f t="shared" si="40"/>
        <v>13915768.640000001</v>
      </c>
      <c r="L126" s="23">
        <f t="shared" si="40"/>
        <v>700953</v>
      </c>
      <c r="M126" s="74">
        <f t="shared" si="40"/>
        <v>0</v>
      </c>
      <c r="N126" s="24">
        <f t="shared" si="40"/>
        <v>7150.6399999999994</v>
      </c>
    </row>
    <row r="127" spans="1:14">
      <c r="A127" s="192"/>
      <c r="B127" s="172"/>
      <c r="C127" s="20" t="s">
        <v>17</v>
      </c>
      <c r="D127" s="21">
        <f t="shared" si="40"/>
        <v>12245099.91</v>
      </c>
      <c r="E127" s="21">
        <f t="shared" si="40"/>
        <v>670340.67000000004</v>
      </c>
      <c r="F127" s="21">
        <f t="shared" si="40"/>
        <v>12915440.580000002</v>
      </c>
      <c r="G127" s="21">
        <f t="shared" si="40"/>
        <v>978224</v>
      </c>
      <c r="H127" s="21">
        <f t="shared" si="40"/>
        <v>0</v>
      </c>
      <c r="I127" s="21">
        <f t="shared" si="40"/>
        <v>0</v>
      </c>
      <c r="J127" s="21">
        <f t="shared" si="40"/>
        <v>0</v>
      </c>
      <c r="K127" s="21">
        <f t="shared" si="40"/>
        <v>13893664.580000002</v>
      </c>
      <c r="L127" s="23">
        <f t="shared" si="40"/>
        <v>699490</v>
      </c>
      <c r="N127" s="24">
        <f>N118+N121+N124</f>
        <v>7150.6399999999994</v>
      </c>
    </row>
    <row r="128" spans="1:14">
      <c r="A128" s="192"/>
      <c r="B128" s="172"/>
      <c r="C128" s="20" t="s">
        <v>18</v>
      </c>
      <c r="D128" s="21">
        <f t="shared" si="40"/>
        <v>12245099.91</v>
      </c>
      <c r="E128" s="21">
        <f t="shared" si="40"/>
        <v>670340.67000000004</v>
      </c>
      <c r="F128" s="21">
        <f t="shared" si="40"/>
        <v>12915440.580000002</v>
      </c>
      <c r="G128" s="21">
        <f t="shared" si="40"/>
        <v>978224</v>
      </c>
      <c r="H128" s="21">
        <f t="shared" si="40"/>
        <v>0</v>
      </c>
      <c r="I128" s="21">
        <f t="shared" si="40"/>
        <v>0</v>
      </c>
      <c r="J128" s="21">
        <f t="shared" si="40"/>
        <v>0</v>
      </c>
      <c r="K128" s="21">
        <f t="shared" si="40"/>
        <v>13893664.580000002</v>
      </c>
      <c r="L128" s="23">
        <f t="shared" si="40"/>
        <v>699490</v>
      </c>
      <c r="N128" s="24">
        <f>N119+N122+N125</f>
        <v>7150.6399999999994</v>
      </c>
    </row>
    <row r="129" spans="1:14">
      <c r="A129" s="192"/>
      <c r="B129" s="172"/>
      <c r="C129" s="20" t="s">
        <v>37</v>
      </c>
      <c r="D129" s="21">
        <f t="shared" ref="D129:L129" si="41">D119+D122+D125</f>
        <v>12245099.91</v>
      </c>
      <c r="E129" s="21">
        <f t="shared" si="41"/>
        <v>670340.67000000004</v>
      </c>
      <c r="F129" s="21">
        <f t="shared" si="41"/>
        <v>12915440.580000002</v>
      </c>
      <c r="G129" s="21">
        <f t="shared" si="41"/>
        <v>978224</v>
      </c>
      <c r="H129" s="21">
        <f t="shared" si="41"/>
        <v>0</v>
      </c>
      <c r="I129" s="21">
        <f t="shared" si="41"/>
        <v>0</v>
      </c>
      <c r="J129" s="21">
        <f t="shared" si="41"/>
        <v>0</v>
      </c>
      <c r="K129" s="21">
        <f t="shared" si="41"/>
        <v>13893664.580000002</v>
      </c>
      <c r="L129" s="23">
        <f t="shared" si="41"/>
        <v>699490</v>
      </c>
      <c r="N129" s="24">
        <v>7150.64</v>
      </c>
    </row>
    <row r="130" spans="1:14">
      <c r="A130" s="192"/>
      <c r="B130" s="173"/>
      <c r="C130" s="96" t="s">
        <v>41</v>
      </c>
      <c r="D130" s="32">
        <v>12257145.119999999</v>
      </c>
      <c r="E130" s="32">
        <v>679342.52</v>
      </c>
      <c r="F130" s="32">
        <f>D130+E130</f>
        <v>12936487.639999999</v>
      </c>
      <c r="G130" s="32">
        <v>979281</v>
      </c>
      <c r="H130" s="32"/>
      <c r="I130" s="32"/>
      <c r="J130" s="32"/>
      <c r="K130" s="32">
        <f>F130+G130</f>
        <v>13915768.639999999</v>
      </c>
      <c r="L130" s="32">
        <v>700953</v>
      </c>
      <c r="M130" s="97">
        <v>700953</v>
      </c>
      <c r="N130" s="53">
        <v>7150.64</v>
      </c>
    </row>
    <row r="131" spans="1:14">
      <c r="A131" s="192"/>
      <c r="B131" s="173"/>
      <c r="C131" s="98" t="s">
        <v>48</v>
      </c>
      <c r="D131" s="32">
        <v>12045.21</v>
      </c>
      <c r="E131" s="32">
        <v>9001.85</v>
      </c>
      <c r="F131" s="32">
        <f>D131+E131</f>
        <v>21047.059999999998</v>
      </c>
      <c r="G131" s="32">
        <v>1057</v>
      </c>
      <c r="H131" s="32"/>
      <c r="I131" s="32"/>
      <c r="J131" s="32"/>
      <c r="K131" s="32">
        <f>F131+G131</f>
        <v>22104.059999999998</v>
      </c>
      <c r="L131" s="32">
        <v>1463</v>
      </c>
      <c r="M131" s="97">
        <v>1463</v>
      </c>
      <c r="N131" s="53">
        <v>7150.64</v>
      </c>
    </row>
    <row r="132" spans="1:14">
      <c r="A132" s="192"/>
      <c r="B132" s="173"/>
      <c r="C132" s="98" t="s">
        <v>26</v>
      </c>
      <c r="D132" s="32">
        <f t="shared" ref="D132:M132" si="42">D131+D129</f>
        <v>12257145.120000001</v>
      </c>
      <c r="E132" s="32">
        <f t="shared" si="42"/>
        <v>679342.52</v>
      </c>
      <c r="F132" s="32">
        <f t="shared" si="42"/>
        <v>12936487.640000002</v>
      </c>
      <c r="G132" s="32">
        <f t="shared" si="42"/>
        <v>979281</v>
      </c>
      <c r="H132" s="32">
        <f t="shared" si="42"/>
        <v>0</v>
      </c>
      <c r="I132" s="32">
        <f t="shared" si="42"/>
        <v>0</v>
      </c>
      <c r="J132" s="32">
        <f t="shared" si="42"/>
        <v>0</v>
      </c>
      <c r="K132" s="32">
        <f t="shared" si="42"/>
        <v>13915768.640000002</v>
      </c>
      <c r="L132" s="32">
        <f t="shared" si="42"/>
        <v>700953</v>
      </c>
      <c r="M132" s="97">
        <f t="shared" si="42"/>
        <v>1463</v>
      </c>
      <c r="N132" s="53">
        <f>N128</f>
        <v>7150.6399999999994</v>
      </c>
    </row>
    <row r="133" spans="1:14">
      <c r="A133" s="192"/>
      <c r="B133" s="171" t="s">
        <v>38</v>
      </c>
      <c r="C133" s="20" t="s">
        <v>16</v>
      </c>
      <c r="D133" s="21">
        <f>4611074.74-414220.37</f>
        <v>4196854.37</v>
      </c>
      <c r="E133" s="21">
        <f>534546.7-320663.2</f>
        <v>213883.49999999994</v>
      </c>
      <c r="F133" s="21">
        <f t="shared" ref="F133:F138" si="43">SUM(D133:E133)</f>
        <v>4410737.87</v>
      </c>
      <c r="G133" s="21">
        <f>400737-45634</f>
        <v>355103</v>
      </c>
      <c r="H133" s="49">
        <v>0</v>
      </c>
      <c r="I133" s="49">
        <v>0</v>
      </c>
      <c r="J133" s="49">
        <v>0</v>
      </c>
      <c r="K133" s="21">
        <f t="shared" ref="K133:K138" si="44">D133+E133+G133+H133+I133+J133</f>
        <v>4765840.87</v>
      </c>
      <c r="L133" s="22">
        <v>241956</v>
      </c>
      <c r="N133" s="24"/>
    </row>
    <row r="134" spans="1:14">
      <c r="A134" s="192"/>
      <c r="B134" s="172"/>
      <c r="C134" s="20" t="s">
        <v>17</v>
      </c>
      <c r="D134" s="21">
        <v>4196854.37</v>
      </c>
      <c r="E134" s="21">
        <v>213883.5</v>
      </c>
      <c r="F134" s="21">
        <f t="shared" si="43"/>
        <v>4410737.87</v>
      </c>
      <c r="G134" s="21">
        <v>355103</v>
      </c>
      <c r="H134" s="49">
        <v>0</v>
      </c>
      <c r="I134" s="49">
        <v>0</v>
      </c>
      <c r="J134" s="49">
        <v>0</v>
      </c>
      <c r="K134" s="21">
        <f t="shared" si="44"/>
        <v>4765840.87</v>
      </c>
      <c r="L134" s="22">
        <v>241956</v>
      </c>
      <c r="N134" s="24"/>
    </row>
    <row r="135" spans="1:14">
      <c r="A135" s="192"/>
      <c r="B135" s="172"/>
      <c r="C135" s="20" t="s">
        <v>18</v>
      </c>
      <c r="D135" s="21">
        <v>4196854.37</v>
      </c>
      <c r="E135" s="21">
        <v>213883.5</v>
      </c>
      <c r="F135" s="21">
        <f t="shared" si="43"/>
        <v>4410737.87</v>
      </c>
      <c r="G135" s="21">
        <v>355103</v>
      </c>
      <c r="H135" s="49">
        <v>0</v>
      </c>
      <c r="I135" s="49">
        <v>0</v>
      </c>
      <c r="J135" s="49">
        <v>0</v>
      </c>
      <c r="K135" s="21">
        <f t="shared" si="44"/>
        <v>4765840.87</v>
      </c>
      <c r="L135" s="22">
        <v>241956</v>
      </c>
      <c r="N135" s="24"/>
    </row>
    <row r="136" spans="1:14">
      <c r="A136" s="192"/>
      <c r="B136" s="171" t="s">
        <v>39</v>
      </c>
      <c r="C136" s="20" t="s">
        <v>16</v>
      </c>
      <c r="D136" s="21">
        <f>202627.55+4408447.26-357129.32</f>
        <v>4253945.4899999993</v>
      </c>
      <c r="E136" s="21">
        <f>30091.89+404454.81-6570.42</f>
        <v>427976.28</v>
      </c>
      <c r="F136" s="21">
        <f t="shared" si="43"/>
        <v>4681921.7699999996</v>
      </c>
      <c r="G136" s="21">
        <f>1418+399319-45060</f>
        <v>355677</v>
      </c>
      <c r="H136" s="49">
        <v>0</v>
      </c>
      <c r="I136" s="49">
        <v>0</v>
      </c>
      <c r="J136" s="49">
        <v>0</v>
      </c>
      <c r="K136" s="21">
        <f t="shared" si="44"/>
        <v>5037598.7699999996</v>
      </c>
      <c r="L136" s="22">
        <f>20336.31+225370.69+605</f>
        <v>246312</v>
      </c>
      <c r="N136" s="24"/>
    </row>
    <row r="137" spans="1:14">
      <c r="A137" s="192"/>
      <c r="B137" s="172"/>
      <c r="C137" s="20" t="s">
        <v>17</v>
      </c>
      <c r="D137" s="21">
        <v>4249520.38</v>
      </c>
      <c r="E137" s="21">
        <v>271010.96999999997</v>
      </c>
      <c r="F137" s="21">
        <f t="shared" si="43"/>
        <v>4520531.3499999996</v>
      </c>
      <c r="G137" s="21">
        <v>354767</v>
      </c>
      <c r="H137" s="49">
        <v>0</v>
      </c>
      <c r="I137" s="49">
        <v>0</v>
      </c>
      <c r="J137" s="49">
        <v>0</v>
      </c>
      <c r="K137" s="21">
        <f t="shared" si="44"/>
        <v>4875298.3499999996</v>
      </c>
      <c r="L137" s="22">
        <v>245707</v>
      </c>
      <c r="N137" s="24"/>
    </row>
    <row r="138" spans="1:14">
      <c r="A138" s="192"/>
      <c r="B138" s="172"/>
      <c r="C138" s="20" t="s">
        <v>18</v>
      </c>
      <c r="D138" s="21">
        <v>4249520.38</v>
      </c>
      <c r="E138" s="21">
        <v>271010.96999999997</v>
      </c>
      <c r="F138" s="21">
        <f t="shared" si="43"/>
        <v>4520531.3499999996</v>
      </c>
      <c r="G138" s="21">
        <v>354767</v>
      </c>
      <c r="H138" s="49">
        <v>0</v>
      </c>
      <c r="I138" s="49">
        <v>0</v>
      </c>
      <c r="J138" s="49">
        <v>0</v>
      </c>
      <c r="K138" s="21">
        <f t="shared" si="44"/>
        <v>4875298.3499999996</v>
      </c>
      <c r="L138" s="22">
        <v>245707</v>
      </c>
      <c r="N138" s="24"/>
    </row>
    <row r="139" spans="1:14">
      <c r="A139" s="192"/>
      <c r="B139" s="185" t="s">
        <v>40</v>
      </c>
      <c r="C139" s="57" t="s">
        <v>16</v>
      </c>
      <c r="D139" s="58">
        <f t="shared" ref="D139:N139" si="45">D130+D133+D136</f>
        <v>20707944.979999997</v>
      </c>
      <c r="E139" s="58">
        <f t="shared" si="45"/>
        <v>1321202.3</v>
      </c>
      <c r="F139" s="58">
        <f t="shared" si="45"/>
        <v>22029147.279999997</v>
      </c>
      <c r="G139" s="58">
        <f t="shared" si="45"/>
        <v>1690061</v>
      </c>
      <c r="H139" s="58">
        <f t="shared" si="45"/>
        <v>0</v>
      </c>
      <c r="I139" s="58">
        <f t="shared" si="45"/>
        <v>0</v>
      </c>
      <c r="J139" s="58">
        <f t="shared" si="45"/>
        <v>0</v>
      </c>
      <c r="K139" s="58">
        <f t="shared" si="45"/>
        <v>23719208.279999997</v>
      </c>
      <c r="L139" s="58">
        <f t="shared" si="45"/>
        <v>1189221</v>
      </c>
      <c r="M139" s="58">
        <f t="shared" si="45"/>
        <v>700953</v>
      </c>
      <c r="N139" s="58">
        <f t="shared" si="45"/>
        <v>7150.64</v>
      </c>
    </row>
    <row r="140" spans="1:14">
      <c r="A140" s="192"/>
      <c r="B140" s="186"/>
      <c r="C140" s="57" t="s">
        <v>17</v>
      </c>
      <c r="D140" s="58">
        <v>20707944.98</v>
      </c>
      <c r="E140" s="58">
        <v>1321202.3</v>
      </c>
      <c r="F140" s="58">
        <f>D140+E140</f>
        <v>22029147.280000001</v>
      </c>
      <c r="G140" s="58">
        <v>1690061</v>
      </c>
      <c r="H140" s="58"/>
      <c r="I140" s="58"/>
      <c r="J140" s="58"/>
      <c r="K140" s="58">
        <f>F140+G140</f>
        <v>23719208.280000001</v>
      </c>
      <c r="L140" s="58">
        <v>1189221</v>
      </c>
      <c r="M140" s="59"/>
      <c r="N140" s="60">
        <v>7150.64</v>
      </c>
    </row>
    <row r="141" spans="1:14">
      <c r="A141" s="192"/>
      <c r="B141" s="186"/>
      <c r="C141" s="57" t="s">
        <v>49</v>
      </c>
      <c r="D141" s="58">
        <f t="shared" ref="D141:L141" si="46">D132+D135+D138</f>
        <v>20703519.870000001</v>
      </c>
      <c r="E141" s="58">
        <f t="shared" si="46"/>
        <v>1164236.99</v>
      </c>
      <c r="F141" s="58">
        <f t="shared" si="46"/>
        <v>21867756.859999999</v>
      </c>
      <c r="G141" s="58">
        <f t="shared" si="46"/>
        <v>1689151</v>
      </c>
      <c r="H141" s="58">
        <f t="shared" si="46"/>
        <v>0</v>
      </c>
      <c r="I141" s="58">
        <f t="shared" si="46"/>
        <v>0</v>
      </c>
      <c r="J141" s="58">
        <f t="shared" si="46"/>
        <v>0</v>
      </c>
      <c r="K141" s="58">
        <f t="shared" si="46"/>
        <v>23556907.859999999</v>
      </c>
      <c r="L141" s="58">
        <f t="shared" si="46"/>
        <v>1188616</v>
      </c>
      <c r="M141" s="59"/>
      <c r="N141" s="60">
        <v>7150.64</v>
      </c>
    </row>
    <row r="142" spans="1:14">
      <c r="A142" s="192"/>
      <c r="B142" s="186"/>
      <c r="C142" s="57" t="s">
        <v>48</v>
      </c>
      <c r="D142" s="58">
        <v>4425.1099999999997</v>
      </c>
      <c r="E142" s="58">
        <v>156965.31</v>
      </c>
      <c r="F142" s="58">
        <f>D142+E142</f>
        <v>161390.41999999998</v>
      </c>
      <c r="G142" s="58">
        <v>910</v>
      </c>
      <c r="H142" s="58"/>
      <c r="I142" s="58"/>
      <c r="J142" s="58"/>
      <c r="K142" s="58">
        <f>F142+G142</f>
        <v>162300.41999999998</v>
      </c>
      <c r="L142" s="58">
        <v>605</v>
      </c>
      <c r="M142" s="59"/>
      <c r="N142" s="60">
        <v>7150.64</v>
      </c>
    </row>
    <row r="143" spans="1:14">
      <c r="A143" s="192"/>
      <c r="B143" s="186"/>
      <c r="C143" s="57" t="s">
        <v>26</v>
      </c>
      <c r="D143" s="58">
        <f>D141+D142</f>
        <v>20707944.98</v>
      </c>
      <c r="E143" s="58">
        <f t="shared" ref="E143:L143" si="47">E141+E142</f>
        <v>1321202.3</v>
      </c>
      <c r="F143" s="58">
        <f t="shared" si="47"/>
        <v>22029147.280000001</v>
      </c>
      <c r="G143" s="58">
        <f t="shared" si="47"/>
        <v>1690061</v>
      </c>
      <c r="H143" s="58">
        <f t="shared" si="47"/>
        <v>0</v>
      </c>
      <c r="I143" s="58">
        <f t="shared" si="47"/>
        <v>0</v>
      </c>
      <c r="J143" s="58">
        <f t="shared" si="47"/>
        <v>0</v>
      </c>
      <c r="K143" s="58">
        <f t="shared" si="47"/>
        <v>23719208.280000001</v>
      </c>
      <c r="L143" s="58">
        <f t="shared" si="47"/>
        <v>1189221</v>
      </c>
      <c r="M143" s="59"/>
      <c r="N143" s="60">
        <v>7150.64</v>
      </c>
    </row>
    <row r="144" spans="1:14">
      <c r="A144" s="192"/>
      <c r="B144" s="171" t="s">
        <v>43</v>
      </c>
      <c r="C144" s="20" t="s">
        <v>16</v>
      </c>
      <c r="D144" s="21">
        <f>4611074.92-841639.31</f>
        <v>3769435.61</v>
      </c>
      <c r="E144" s="21">
        <f>237067.03-160339.8</f>
        <v>76727.23000000001</v>
      </c>
      <c r="F144" s="21">
        <f>SUM(D144:E144)</f>
        <v>3846162.84</v>
      </c>
      <c r="G144" s="21">
        <f>355120-64749</f>
        <v>290371</v>
      </c>
      <c r="H144" s="49">
        <v>0</v>
      </c>
      <c r="I144" s="49">
        <v>0</v>
      </c>
      <c r="J144" s="49">
        <v>0</v>
      </c>
      <c r="K144" s="21">
        <f>D144+E144+G144+H144+I144+J144</f>
        <v>4136533.84</v>
      </c>
      <c r="L144" s="22">
        <f>1221.51-0.51</f>
        <v>1221</v>
      </c>
      <c r="N144" s="24"/>
    </row>
    <row r="145" spans="1:14">
      <c r="A145" s="192"/>
      <c r="B145" s="172"/>
      <c r="C145" s="20" t="s">
        <v>17</v>
      </c>
      <c r="D145" s="21">
        <v>3706718.89</v>
      </c>
      <c r="E145" s="21">
        <v>241963.42</v>
      </c>
      <c r="F145" s="21">
        <f>SUM(D145:E145)</f>
        <v>3948682.31</v>
      </c>
      <c r="G145" s="21">
        <v>289727</v>
      </c>
      <c r="H145" s="49">
        <v>0</v>
      </c>
      <c r="I145" s="49">
        <v>0</v>
      </c>
      <c r="J145" s="49">
        <v>0</v>
      </c>
      <c r="K145" s="21">
        <f>D145+E145+G145+H145+I145+J145</f>
        <v>4238409.3100000005</v>
      </c>
      <c r="L145" s="23">
        <v>227865</v>
      </c>
      <c r="N145" s="24"/>
    </row>
    <row r="146" spans="1:14">
      <c r="A146" s="192"/>
      <c r="B146" s="172"/>
      <c r="C146" s="20" t="s">
        <v>18</v>
      </c>
      <c r="D146" s="21">
        <v>3706718.89</v>
      </c>
      <c r="E146" s="21">
        <v>236850.59</v>
      </c>
      <c r="F146" s="21">
        <f>SUM(D146:E146)</f>
        <v>3943569.48</v>
      </c>
      <c r="G146" s="21">
        <v>289727</v>
      </c>
      <c r="H146" s="49">
        <v>0</v>
      </c>
      <c r="I146" s="49">
        <v>0</v>
      </c>
      <c r="J146" s="49">
        <v>0</v>
      </c>
      <c r="K146" s="21">
        <f>D146+E146+G146+H146+I146+J146</f>
        <v>4233296.4800000004</v>
      </c>
      <c r="L146" s="22">
        <v>1221</v>
      </c>
      <c r="N146" s="24"/>
    </row>
    <row r="147" spans="1:14">
      <c r="A147" s="192"/>
      <c r="B147" s="187" t="s">
        <v>44</v>
      </c>
      <c r="C147" s="20" t="s">
        <v>16</v>
      </c>
      <c r="D147" s="21">
        <f t="shared" ref="D147:N149" si="48">D133+D136+D144</f>
        <v>12220235.469999999</v>
      </c>
      <c r="E147" s="21">
        <f t="shared" si="48"/>
        <v>718587.01</v>
      </c>
      <c r="F147" s="21">
        <f t="shared" si="48"/>
        <v>12938822.48</v>
      </c>
      <c r="G147" s="21">
        <f t="shared" si="48"/>
        <v>1001151</v>
      </c>
      <c r="H147" s="21">
        <f t="shared" si="48"/>
        <v>0</v>
      </c>
      <c r="I147" s="21">
        <f t="shared" si="48"/>
        <v>0</v>
      </c>
      <c r="J147" s="21">
        <f t="shared" si="48"/>
        <v>0</v>
      </c>
      <c r="K147" s="21">
        <f t="shared" si="48"/>
        <v>13939973.48</v>
      </c>
      <c r="L147" s="22">
        <f t="shared" si="48"/>
        <v>489489</v>
      </c>
      <c r="M147" s="86">
        <f t="shared" si="48"/>
        <v>0</v>
      </c>
      <c r="N147" s="24">
        <f t="shared" si="48"/>
        <v>0</v>
      </c>
    </row>
    <row r="148" spans="1:14">
      <c r="A148" s="192"/>
      <c r="B148" s="188"/>
      <c r="C148" s="20" t="s">
        <v>17</v>
      </c>
      <c r="D148" s="21">
        <f t="shared" si="48"/>
        <v>12153093.640000001</v>
      </c>
      <c r="E148" s="21">
        <f t="shared" si="48"/>
        <v>726857.89</v>
      </c>
      <c r="F148" s="21">
        <f t="shared" si="48"/>
        <v>12879951.529999999</v>
      </c>
      <c r="G148" s="21">
        <f t="shared" si="48"/>
        <v>999597</v>
      </c>
      <c r="H148" s="21">
        <f t="shared" si="48"/>
        <v>0</v>
      </c>
      <c r="I148" s="21">
        <f t="shared" si="48"/>
        <v>0</v>
      </c>
      <c r="J148" s="21">
        <f t="shared" si="48"/>
        <v>0</v>
      </c>
      <c r="K148" s="21">
        <f t="shared" si="48"/>
        <v>13879548.529999999</v>
      </c>
      <c r="L148" s="22">
        <f t="shared" si="48"/>
        <v>715528</v>
      </c>
      <c r="N148" s="24"/>
    </row>
    <row r="149" spans="1:14">
      <c r="A149" s="192"/>
      <c r="B149" s="188"/>
      <c r="C149" s="20" t="s">
        <v>18</v>
      </c>
      <c r="D149" s="21">
        <f t="shared" si="48"/>
        <v>12153093.640000001</v>
      </c>
      <c r="E149" s="21">
        <f t="shared" si="48"/>
        <v>721745.05999999994</v>
      </c>
      <c r="F149" s="21">
        <f t="shared" si="48"/>
        <v>12874838.699999999</v>
      </c>
      <c r="G149" s="21">
        <f t="shared" si="48"/>
        <v>999597</v>
      </c>
      <c r="H149" s="21">
        <f t="shared" si="48"/>
        <v>0</v>
      </c>
      <c r="I149" s="21">
        <f t="shared" si="48"/>
        <v>0</v>
      </c>
      <c r="J149" s="21">
        <f t="shared" si="48"/>
        <v>0</v>
      </c>
      <c r="K149" s="21">
        <f t="shared" si="48"/>
        <v>13874435.699999999</v>
      </c>
      <c r="L149" s="22">
        <f t="shared" si="48"/>
        <v>488884</v>
      </c>
      <c r="N149" s="24"/>
    </row>
    <row r="150" spans="1:14">
      <c r="A150" s="192"/>
      <c r="B150" s="187" t="s">
        <v>45</v>
      </c>
      <c r="C150" s="99" t="s">
        <v>16</v>
      </c>
      <c r="D150" s="100">
        <f>D126+D147</f>
        <v>24477380.59</v>
      </c>
      <c r="E150" s="100">
        <f t="shared" ref="E150:N150" si="49">E126+E147</f>
        <v>1397929.5299999998</v>
      </c>
      <c r="F150" s="100">
        <f t="shared" si="49"/>
        <v>25875310.120000001</v>
      </c>
      <c r="G150" s="100">
        <f t="shared" si="49"/>
        <v>1980432</v>
      </c>
      <c r="H150" s="100">
        <f t="shared" si="49"/>
        <v>0</v>
      </c>
      <c r="I150" s="100">
        <f t="shared" si="49"/>
        <v>0</v>
      </c>
      <c r="J150" s="100">
        <f t="shared" si="49"/>
        <v>0</v>
      </c>
      <c r="K150" s="100">
        <f t="shared" si="49"/>
        <v>27855742.120000001</v>
      </c>
      <c r="L150" s="100">
        <f t="shared" si="49"/>
        <v>1190442</v>
      </c>
      <c r="M150" s="101">
        <f t="shared" si="49"/>
        <v>0</v>
      </c>
      <c r="N150" s="102">
        <f t="shared" si="49"/>
        <v>7150.6399999999994</v>
      </c>
    </row>
    <row r="151" spans="1:14">
      <c r="A151" s="192"/>
      <c r="B151" s="188"/>
      <c r="C151" s="99" t="s">
        <v>17</v>
      </c>
      <c r="D151" s="100">
        <f>D140+D145</f>
        <v>24414663.870000001</v>
      </c>
      <c r="E151" s="100">
        <f>E140+E145</f>
        <v>1563165.72</v>
      </c>
      <c r="F151" s="100">
        <f>F140+F145</f>
        <v>25977829.59</v>
      </c>
      <c r="G151" s="100">
        <f>G140+G145</f>
        <v>1979788</v>
      </c>
      <c r="H151" s="100">
        <f t="shared" ref="H151:N151" si="50">H140+H145</f>
        <v>0</v>
      </c>
      <c r="I151" s="100">
        <f t="shared" si="50"/>
        <v>0</v>
      </c>
      <c r="J151" s="100">
        <f t="shared" si="50"/>
        <v>0</v>
      </c>
      <c r="K151" s="100">
        <f t="shared" si="50"/>
        <v>27957617.590000004</v>
      </c>
      <c r="L151" s="100">
        <f t="shared" si="50"/>
        <v>1417086</v>
      </c>
      <c r="M151" s="100">
        <f t="shared" si="50"/>
        <v>0</v>
      </c>
      <c r="N151" s="100">
        <f t="shared" si="50"/>
        <v>7150.64</v>
      </c>
    </row>
    <row r="152" spans="1:14">
      <c r="A152" s="192"/>
      <c r="B152" s="188"/>
      <c r="C152" s="99" t="s">
        <v>18</v>
      </c>
      <c r="D152" s="100">
        <f>D143+D146</f>
        <v>24414663.870000001</v>
      </c>
      <c r="E152" s="100">
        <f t="shared" ref="E152:N152" si="51">E143+E146</f>
        <v>1558052.8900000001</v>
      </c>
      <c r="F152" s="100">
        <f t="shared" si="51"/>
        <v>25972716.760000002</v>
      </c>
      <c r="G152" s="100">
        <f t="shared" si="51"/>
        <v>1979788</v>
      </c>
      <c r="H152" s="100">
        <f t="shared" si="51"/>
        <v>0</v>
      </c>
      <c r="I152" s="100">
        <f t="shared" si="51"/>
        <v>0</v>
      </c>
      <c r="J152" s="100">
        <f t="shared" si="51"/>
        <v>0</v>
      </c>
      <c r="K152" s="100">
        <f t="shared" si="51"/>
        <v>27952504.760000002</v>
      </c>
      <c r="L152" s="100">
        <f t="shared" si="51"/>
        <v>1190442</v>
      </c>
      <c r="M152" s="100">
        <f t="shared" si="51"/>
        <v>0</v>
      </c>
      <c r="N152" s="100">
        <f t="shared" si="51"/>
        <v>7150.64</v>
      </c>
    </row>
    <row r="153" spans="1:14">
      <c r="A153" s="192"/>
      <c r="B153" s="188"/>
      <c r="C153" s="99" t="s">
        <v>41</v>
      </c>
      <c r="D153" s="100">
        <v>24477380.59</v>
      </c>
      <c r="E153" s="100">
        <v>1397929.53</v>
      </c>
      <c r="F153" s="100">
        <f>D153+E153</f>
        <v>25875310.120000001</v>
      </c>
      <c r="G153" s="100">
        <v>1980432</v>
      </c>
      <c r="H153" s="100"/>
      <c r="I153" s="100"/>
      <c r="J153" s="100"/>
      <c r="K153" s="100">
        <f>F153+G153</f>
        <v>27855742.120000001</v>
      </c>
      <c r="L153" s="100">
        <v>1423488</v>
      </c>
      <c r="M153" s="100"/>
      <c r="N153" s="100"/>
    </row>
    <row r="154" spans="1:14">
      <c r="A154" s="192"/>
      <c r="B154" s="188"/>
      <c r="C154" s="99" t="s">
        <v>25</v>
      </c>
      <c r="D154" s="100">
        <v>62716.72</v>
      </c>
      <c r="E154" s="100">
        <v>-160123.35999999999</v>
      </c>
      <c r="F154" s="100">
        <f>D154+E154</f>
        <v>-97406.639999999985</v>
      </c>
      <c r="G154" s="100">
        <v>644</v>
      </c>
      <c r="H154" s="100"/>
      <c r="I154" s="100"/>
      <c r="J154" s="100"/>
      <c r="K154" s="100">
        <f>F154+G154</f>
        <v>-96762.639999999985</v>
      </c>
      <c r="L154" s="100">
        <v>0</v>
      </c>
      <c r="M154" s="100"/>
      <c r="N154" s="100"/>
    </row>
    <row r="155" spans="1:14">
      <c r="A155" s="192"/>
      <c r="B155" s="188"/>
      <c r="C155" s="99" t="s">
        <v>26</v>
      </c>
      <c r="D155" s="100">
        <f>D152+D154</f>
        <v>24477380.59</v>
      </c>
      <c r="E155" s="100">
        <f t="shared" ref="E155:N155" si="52">E152+E154</f>
        <v>1397929.5300000003</v>
      </c>
      <c r="F155" s="100">
        <f t="shared" si="52"/>
        <v>25875310.120000001</v>
      </c>
      <c r="G155" s="100">
        <f t="shared" si="52"/>
        <v>1980432</v>
      </c>
      <c r="H155" s="100">
        <f t="shared" si="52"/>
        <v>0</v>
      </c>
      <c r="I155" s="100">
        <f t="shared" si="52"/>
        <v>0</v>
      </c>
      <c r="J155" s="100">
        <f t="shared" si="52"/>
        <v>0</v>
      </c>
      <c r="K155" s="100">
        <f t="shared" si="52"/>
        <v>27855742.120000001</v>
      </c>
      <c r="L155" s="100">
        <f t="shared" si="52"/>
        <v>1190442</v>
      </c>
      <c r="M155" s="100">
        <f t="shared" si="52"/>
        <v>0</v>
      </c>
      <c r="N155" s="100">
        <f t="shared" si="52"/>
        <v>7150.64</v>
      </c>
    </row>
    <row r="156" spans="1:14">
      <c r="A156" s="193"/>
      <c r="B156" s="199" t="s">
        <v>46</v>
      </c>
      <c r="C156" s="103" t="s">
        <v>16</v>
      </c>
      <c r="D156" s="104">
        <f t="shared" ref="D156:N156" si="53">D111+D150</f>
        <v>45591215.900000006</v>
      </c>
      <c r="E156" s="104">
        <f t="shared" si="53"/>
        <v>2921227.0399999996</v>
      </c>
      <c r="F156" s="104">
        <f t="shared" si="53"/>
        <v>48512442.939999998</v>
      </c>
      <c r="G156" s="104">
        <f t="shared" si="53"/>
        <v>3819483.37</v>
      </c>
      <c r="H156" s="104">
        <f t="shared" si="53"/>
        <v>478666.31000000006</v>
      </c>
      <c r="I156" s="104">
        <f t="shared" si="53"/>
        <v>0</v>
      </c>
      <c r="J156" s="104">
        <f t="shared" si="53"/>
        <v>0</v>
      </c>
      <c r="K156" s="104">
        <f t="shared" si="53"/>
        <v>52810592.620000005</v>
      </c>
      <c r="L156" s="104">
        <f t="shared" si="53"/>
        <v>2542122</v>
      </c>
      <c r="M156" s="105">
        <f t="shared" si="53"/>
        <v>7315</v>
      </c>
      <c r="N156" s="43">
        <f t="shared" si="53"/>
        <v>20674.669999999998</v>
      </c>
    </row>
    <row r="157" spans="1:14">
      <c r="A157" s="193"/>
      <c r="B157" s="199"/>
      <c r="C157" s="103" t="s">
        <v>17</v>
      </c>
      <c r="D157" s="104">
        <f t="shared" ref="D157:L157" si="54">D153+D114</f>
        <v>49125332.359999999</v>
      </c>
      <c r="E157" s="104">
        <f t="shared" si="54"/>
        <v>2921227.04</v>
      </c>
      <c r="F157" s="104">
        <f t="shared" si="54"/>
        <v>52046559.400000006</v>
      </c>
      <c r="G157" s="104">
        <f t="shared" si="54"/>
        <v>3819483.37</v>
      </c>
      <c r="H157" s="104">
        <f t="shared" si="54"/>
        <v>478666.31</v>
      </c>
      <c r="I157" s="104">
        <f t="shared" si="54"/>
        <v>0</v>
      </c>
      <c r="J157" s="104">
        <f t="shared" si="54"/>
        <v>0</v>
      </c>
      <c r="K157" s="104">
        <f t="shared" si="54"/>
        <v>56344709.079999998</v>
      </c>
      <c r="L157" s="104">
        <f t="shared" si="54"/>
        <v>2775168</v>
      </c>
      <c r="M157" s="105">
        <f>M114+M151</f>
        <v>1351680</v>
      </c>
      <c r="N157" s="43">
        <v>20674.669999999998</v>
      </c>
    </row>
    <row r="158" spans="1:14">
      <c r="A158" s="193"/>
      <c r="B158" s="199"/>
      <c r="C158" s="103" t="s">
        <v>41</v>
      </c>
      <c r="D158" s="104">
        <f>D157</f>
        <v>49125332.359999999</v>
      </c>
      <c r="E158" s="104">
        <f t="shared" ref="E158:L158" si="55">E157</f>
        <v>2921227.04</v>
      </c>
      <c r="F158" s="104">
        <f t="shared" si="55"/>
        <v>52046559.400000006</v>
      </c>
      <c r="G158" s="104">
        <f t="shared" si="55"/>
        <v>3819483.37</v>
      </c>
      <c r="H158" s="104">
        <f t="shared" si="55"/>
        <v>478666.31</v>
      </c>
      <c r="I158" s="104">
        <f t="shared" si="55"/>
        <v>0</v>
      </c>
      <c r="J158" s="104">
        <f t="shared" si="55"/>
        <v>0</v>
      </c>
      <c r="K158" s="104">
        <f t="shared" si="55"/>
        <v>56344709.079999998</v>
      </c>
      <c r="L158" s="104">
        <f t="shared" si="55"/>
        <v>2775168</v>
      </c>
      <c r="M158" s="105">
        <f>M130+M114</f>
        <v>2052633</v>
      </c>
      <c r="N158" s="43">
        <v>20674.669999999998</v>
      </c>
    </row>
    <row r="159" spans="1:14">
      <c r="A159" s="193"/>
      <c r="B159" s="199"/>
      <c r="C159" s="106" t="s">
        <v>18</v>
      </c>
      <c r="D159" s="104">
        <f>D155+D116</f>
        <v>45591215.900000006</v>
      </c>
      <c r="E159" s="104">
        <f>E155+E116</f>
        <v>2921227.0400000005</v>
      </c>
      <c r="F159" s="104">
        <f>D159+E159</f>
        <v>48512442.940000005</v>
      </c>
      <c r="G159" s="104">
        <f>G116+G155</f>
        <v>3819483.37</v>
      </c>
      <c r="H159" s="104">
        <f>H116+H152</f>
        <v>478666.31000000006</v>
      </c>
      <c r="I159" s="104">
        <f>I116+I152</f>
        <v>0</v>
      </c>
      <c r="J159" s="104">
        <f>J116+J152</f>
        <v>0</v>
      </c>
      <c r="K159" s="104">
        <f>G159+H159+F159</f>
        <v>52810592.620000005</v>
      </c>
      <c r="L159" s="104">
        <f>L116+L155</f>
        <v>2542122</v>
      </c>
      <c r="M159" s="105">
        <f>M116+M152</f>
        <v>0</v>
      </c>
      <c r="N159" s="43">
        <f>N157</f>
        <v>20674.669999999998</v>
      </c>
    </row>
    <row r="160" spans="1:14">
      <c r="A160" s="200" t="s">
        <v>50</v>
      </c>
      <c r="B160" s="178" t="s">
        <v>15</v>
      </c>
      <c r="C160" s="14" t="s">
        <v>16</v>
      </c>
      <c r="D160" s="15">
        <f>1370640.22+285722.58</f>
        <v>1656362.8</v>
      </c>
      <c r="E160" s="15">
        <f>205576.83-158961.54</f>
        <v>46615.289999999979</v>
      </c>
      <c r="F160" s="16">
        <f t="shared" ref="F160:F168" si="56">D160+E160</f>
        <v>1702978.09</v>
      </c>
      <c r="G160" s="15">
        <f>306451.07-49640.33</f>
        <v>256810.74</v>
      </c>
      <c r="H160" s="15">
        <v>0</v>
      </c>
      <c r="I160" s="15">
        <v>0</v>
      </c>
      <c r="J160" s="15">
        <v>0</v>
      </c>
      <c r="K160" s="16">
        <f t="shared" ref="K160:K168" si="57">J160+I160+H160+G160+E160+D160</f>
        <v>1959788.83</v>
      </c>
      <c r="L160" s="17">
        <f>113049+16234</f>
        <v>129283</v>
      </c>
      <c r="N160" s="24">
        <v>198.19</v>
      </c>
    </row>
    <row r="161" spans="1:15">
      <c r="A161" s="201"/>
      <c r="B161" s="178"/>
      <c r="C161" s="20" t="s">
        <v>17</v>
      </c>
      <c r="D161" s="21">
        <v>1595663.91</v>
      </c>
      <c r="E161" s="21">
        <v>46615.29</v>
      </c>
      <c r="F161" s="21">
        <f t="shared" si="56"/>
        <v>1642279.2</v>
      </c>
      <c r="G161" s="21">
        <v>256810.74</v>
      </c>
      <c r="H161" s="22">
        <v>0</v>
      </c>
      <c r="I161" s="22">
        <v>0</v>
      </c>
      <c r="J161" s="22">
        <v>0</v>
      </c>
      <c r="K161" s="21">
        <f t="shared" si="57"/>
        <v>1899089.94</v>
      </c>
      <c r="L161" s="23">
        <v>129283</v>
      </c>
      <c r="N161" s="24">
        <v>198.19</v>
      </c>
    </row>
    <row r="162" spans="1:15">
      <c r="A162" s="201"/>
      <c r="B162" s="178"/>
      <c r="C162" s="107" t="s">
        <v>18</v>
      </c>
      <c r="D162" s="27">
        <v>1595663.91</v>
      </c>
      <c r="E162" s="27">
        <v>46615.29</v>
      </c>
      <c r="F162" s="27">
        <f t="shared" si="56"/>
        <v>1642279.2</v>
      </c>
      <c r="G162" s="27">
        <v>256810.74</v>
      </c>
      <c r="H162" s="27">
        <v>0</v>
      </c>
      <c r="I162" s="27">
        <v>0</v>
      </c>
      <c r="J162" s="27">
        <v>0</v>
      </c>
      <c r="K162" s="27">
        <f t="shared" si="57"/>
        <v>1899089.94</v>
      </c>
      <c r="L162" s="27">
        <v>129283</v>
      </c>
      <c r="N162" s="24">
        <v>198.19</v>
      </c>
    </row>
    <row r="163" spans="1:15">
      <c r="A163" s="201"/>
      <c r="B163" s="179" t="s">
        <v>20</v>
      </c>
      <c r="C163" s="108" t="s">
        <v>16</v>
      </c>
      <c r="D163" s="27">
        <f>1370640.22+182199.95-59854.59</f>
        <v>1492985.5799999998</v>
      </c>
      <c r="E163" s="27">
        <f>205576.83-116318.69</f>
        <v>89258.139999999985</v>
      </c>
      <c r="F163" s="27">
        <f t="shared" si="56"/>
        <v>1582243.7199999997</v>
      </c>
      <c r="G163" s="27">
        <f>306451.07-6713.69-10047.58</f>
        <v>289689.8</v>
      </c>
      <c r="H163" s="27">
        <v>0</v>
      </c>
      <c r="I163" s="27">
        <v>0</v>
      </c>
      <c r="J163" s="27">
        <v>0</v>
      </c>
      <c r="K163" s="27">
        <f t="shared" si="57"/>
        <v>1871933.5199999998</v>
      </c>
      <c r="L163" s="27">
        <v>113971</v>
      </c>
      <c r="N163" s="24">
        <v>573.5</v>
      </c>
      <c r="O163" s="73"/>
    </row>
    <row r="164" spans="1:15">
      <c r="A164" s="201"/>
      <c r="B164" s="178"/>
      <c r="C164" s="108" t="s">
        <v>17</v>
      </c>
      <c r="D164" s="27">
        <v>1373187.65</v>
      </c>
      <c r="E164" s="27">
        <v>89258.14</v>
      </c>
      <c r="F164" s="27">
        <f t="shared" si="56"/>
        <v>1462445.7899999998</v>
      </c>
      <c r="G164" s="27">
        <v>271864.53000000003</v>
      </c>
      <c r="H164" s="27">
        <v>0</v>
      </c>
      <c r="I164" s="27">
        <v>0</v>
      </c>
      <c r="J164" s="27">
        <v>0</v>
      </c>
      <c r="K164" s="27">
        <f t="shared" si="57"/>
        <v>1734310.3199999998</v>
      </c>
      <c r="L164" s="27">
        <v>113971</v>
      </c>
      <c r="N164" s="24">
        <f>573.5-171</f>
        <v>402.5</v>
      </c>
    </row>
    <row r="165" spans="1:15">
      <c r="A165" s="201"/>
      <c r="B165" s="178"/>
      <c r="C165" s="107" t="s">
        <v>18</v>
      </c>
      <c r="D165" s="27">
        <v>1373187.65</v>
      </c>
      <c r="E165" s="27">
        <v>89258.14</v>
      </c>
      <c r="F165" s="27">
        <f t="shared" si="56"/>
        <v>1462445.7899999998</v>
      </c>
      <c r="G165" s="27">
        <v>271864.53000000003</v>
      </c>
      <c r="H165" s="27">
        <v>0</v>
      </c>
      <c r="I165" s="27">
        <v>0</v>
      </c>
      <c r="J165" s="27">
        <v>0</v>
      </c>
      <c r="K165" s="27">
        <f t="shared" si="57"/>
        <v>1734310.3199999998</v>
      </c>
      <c r="L165" s="27">
        <v>113971</v>
      </c>
      <c r="M165" s="18"/>
      <c r="N165" s="24">
        <v>573.5</v>
      </c>
    </row>
    <row r="166" spans="1:15">
      <c r="A166" s="201"/>
      <c r="B166" s="179" t="s">
        <v>22</v>
      </c>
      <c r="C166" s="108" t="s">
        <v>16</v>
      </c>
      <c r="D166" s="27">
        <v>1958649.01</v>
      </c>
      <c r="E166" s="27">
        <f>205576.83-79628.8</f>
        <v>125948.02999999998</v>
      </c>
      <c r="F166" s="27">
        <f t="shared" si="56"/>
        <v>2084597.04</v>
      </c>
      <c r="G166" s="27">
        <v>306451.07</v>
      </c>
      <c r="H166" s="27">
        <v>0</v>
      </c>
      <c r="I166" s="27">
        <v>0</v>
      </c>
      <c r="J166" s="27">
        <v>0</v>
      </c>
      <c r="K166" s="27">
        <f t="shared" si="57"/>
        <v>2391048.11</v>
      </c>
      <c r="L166" s="27">
        <v>136004</v>
      </c>
      <c r="N166" s="24"/>
    </row>
    <row r="167" spans="1:15">
      <c r="A167" s="201"/>
      <c r="B167" s="178"/>
      <c r="C167" s="108" t="s">
        <v>17</v>
      </c>
      <c r="D167" s="27">
        <v>2085124.17</v>
      </c>
      <c r="E167" s="27">
        <v>125964.12</v>
      </c>
      <c r="F167" s="27">
        <f t="shared" si="56"/>
        <v>2211088.29</v>
      </c>
      <c r="G167" s="27">
        <v>324263.78999999998</v>
      </c>
      <c r="H167" s="27">
        <v>0</v>
      </c>
      <c r="I167" s="27">
        <v>0</v>
      </c>
      <c r="J167" s="27">
        <v>0</v>
      </c>
      <c r="K167" s="27">
        <f t="shared" si="57"/>
        <v>2535352.08</v>
      </c>
      <c r="L167" s="27">
        <v>136004</v>
      </c>
      <c r="N167" s="24"/>
    </row>
    <row r="168" spans="1:15">
      <c r="A168" s="201"/>
      <c r="B168" s="178"/>
      <c r="C168" s="107" t="s">
        <v>18</v>
      </c>
      <c r="D168" s="27">
        <v>1958247.16</v>
      </c>
      <c r="E168" s="27">
        <v>125964.12</v>
      </c>
      <c r="F168" s="27">
        <f t="shared" si="56"/>
        <v>2084211.2799999998</v>
      </c>
      <c r="G168" s="27">
        <v>306418.86</v>
      </c>
      <c r="H168" s="27">
        <v>0</v>
      </c>
      <c r="I168" s="27">
        <v>0</v>
      </c>
      <c r="J168" s="27">
        <v>0</v>
      </c>
      <c r="K168" s="27">
        <f t="shared" si="57"/>
        <v>2390630.1399999997</v>
      </c>
      <c r="L168" s="27">
        <v>136004</v>
      </c>
      <c r="N168" s="24"/>
    </row>
    <row r="169" spans="1:15">
      <c r="A169" s="201"/>
      <c r="B169" s="184" t="s">
        <v>23</v>
      </c>
      <c r="C169" s="108" t="s">
        <v>16</v>
      </c>
      <c r="D169" s="27">
        <f t="shared" ref="D169:G171" si="58">D166+D163+D160</f>
        <v>5107997.3899999997</v>
      </c>
      <c r="E169" s="27">
        <f t="shared" si="58"/>
        <v>261821.45999999996</v>
      </c>
      <c r="F169" s="27">
        <f t="shared" si="58"/>
        <v>5369818.8499999996</v>
      </c>
      <c r="G169" s="27">
        <f t="shared" si="58"/>
        <v>852951.61</v>
      </c>
      <c r="H169" s="27">
        <v>0</v>
      </c>
      <c r="I169" s="27">
        <f t="shared" ref="I169:K171" si="59">I166+I163+I160</f>
        <v>0</v>
      </c>
      <c r="J169" s="27">
        <f t="shared" si="59"/>
        <v>0</v>
      </c>
      <c r="K169" s="27">
        <f t="shared" si="59"/>
        <v>6222770.46</v>
      </c>
      <c r="L169" s="27">
        <f>L166+L163+L160+11506</f>
        <v>390764</v>
      </c>
      <c r="M169" s="109">
        <f>M166+M163+M160+11506</f>
        <v>11506</v>
      </c>
      <c r="N169" s="24">
        <f>N160+N163+N166</f>
        <v>771.69</v>
      </c>
    </row>
    <row r="170" spans="1:15">
      <c r="A170" s="201"/>
      <c r="B170" s="184"/>
      <c r="C170" s="108" t="s">
        <v>17</v>
      </c>
      <c r="D170" s="27">
        <f t="shared" si="58"/>
        <v>5053975.7299999995</v>
      </c>
      <c r="E170" s="27">
        <f t="shared" si="58"/>
        <v>261837.55000000002</v>
      </c>
      <c r="F170" s="27">
        <f t="shared" si="58"/>
        <v>5315813.28</v>
      </c>
      <c r="G170" s="27">
        <f t="shared" si="58"/>
        <v>852939.06</v>
      </c>
      <c r="H170" s="27">
        <f>H167+H164+H161</f>
        <v>0</v>
      </c>
      <c r="I170" s="27">
        <f t="shared" si="59"/>
        <v>0</v>
      </c>
      <c r="J170" s="27">
        <f t="shared" si="59"/>
        <v>0</v>
      </c>
      <c r="K170" s="27">
        <f t="shared" si="59"/>
        <v>6168752.3399999999</v>
      </c>
      <c r="L170" s="27">
        <v>390764</v>
      </c>
      <c r="M170" s="109">
        <v>390764</v>
      </c>
      <c r="N170" s="24">
        <f>N161+N164+N167</f>
        <v>600.69000000000005</v>
      </c>
    </row>
    <row r="171" spans="1:15">
      <c r="A171" s="201"/>
      <c r="B171" s="184"/>
      <c r="C171" s="107" t="s">
        <v>18</v>
      </c>
      <c r="D171" s="27">
        <f t="shared" si="58"/>
        <v>4927098.72</v>
      </c>
      <c r="E171" s="27">
        <f t="shared" si="58"/>
        <v>261837.55000000002</v>
      </c>
      <c r="F171" s="27">
        <f t="shared" si="58"/>
        <v>5188936.2699999996</v>
      </c>
      <c r="G171" s="27">
        <f t="shared" si="58"/>
        <v>835094.13</v>
      </c>
      <c r="H171" s="27">
        <f>H168+H165+H162</f>
        <v>0</v>
      </c>
      <c r="I171" s="27">
        <f t="shared" si="59"/>
        <v>0</v>
      </c>
      <c r="J171" s="27">
        <f t="shared" si="59"/>
        <v>0</v>
      </c>
      <c r="K171" s="27">
        <f t="shared" si="59"/>
        <v>6024030.3999999994</v>
      </c>
      <c r="L171" s="27">
        <v>390764</v>
      </c>
      <c r="N171" s="24">
        <v>771.69</v>
      </c>
    </row>
    <row r="172" spans="1:15">
      <c r="A172" s="201"/>
      <c r="B172" s="184"/>
      <c r="C172" s="79" t="s">
        <v>51</v>
      </c>
      <c r="D172" s="80">
        <v>5107997.3899999997</v>
      </c>
      <c r="E172" s="80">
        <v>261821.46</v>
      </c>
      <c r="F172" s="80">
        <f>D172+E172</f>
        <v>5369818.8499999996</v>
      </c>
      <c r="G172" s="80">
        <v>852951.61</v>
      </c>
      <c r="H172" s="80">
        <v>0</v>
      </c>
      <c r="I172" s="80">
        <f>I170-I171</f>
        <v>0</v>
      </c>
      <c r="J172" s="80">
        <f>J170-J171</f>
        <v>0</v>
      </c>
      <c r="K172" s="80">
        <f>F172+G172</f>
        <v>6222770.46</v>
      </c>
      <c r="L172" s="80">
        <f>L169</f>
        <v>390764</v>
      </c>
      <c r="M172" s="82">
        <f>M169</f>
        <v>11506</v>
      </c>
      <c r="N172" s="53">
        <f>N169</f>
        <v>771.69</v>
      </c>
    </row>
    <row r="173" spans="1:15">
      <c r="A173" s="201"/>
      <c r="B173" s="184"/>
      <c r="C173" s="79" t="s">
        <v>48</v>
      </c>
      <c r="D173" s="80">
        <v>180898.67</v>
      </c>
      <c r="E173" s="80">
        <v>-16.09</v>
      </c>
      <c r="F173" s="80">
        <f>D173+E173</f>
        <v>180882.58000000002</v>
      </c>
      <c r="G173" s="80">
        <v>17857.48</v>
      </c>
      <c r="H173" s="80">
        <v>0</v>
      </c>
      <c r="I173" s="80"/>
      <c r="J173" s="80"/>
      <c r="K173" s="80">
        <f>F173+G173</f>
        <v>198740.06000000003</v>
      </c>
      <c r="L173" s="80">
        <v>390764</v>
      </c>
      <c r="M173" s="82">
        <v>390764</v>
      </c>
      <c r="N173" s="53">
        <v>0</v>
      </c>
    </row>
    <row r="174" spans="1:15">
      <c r="A174" s="201"/>
      <c r="B174" s="184"/>
      <c r="C174" s="79" t="s">
        <v>26</v>
      </c>
      <c r="D174" s="80">
        <f>D171+D173</f>
        <v>5107997.3899999997</v>
      </c>
      <c r="E174" s="80">
        <f t="shared" ref="E174:K174" si="60">E171+E173</f>
        <v>261821.46000000002</v>
      </c>
      <c r="F174" s="80">
        <f t="shared" si="60"/>
        <v>5369818.8499999996</v>
      </c>
      <c r="G174" s="80">
        <f t="shared" si="60"/>
        <v>852951.61</v>
      </c>
      <c r="H174" s="80">
        <v>0</v>
      </c>
      <c r="I174" s="80">
        <f t="shared" si="60"/>
        <v>0</v>
      </c>
      <c r="J174" s="80">
        <f t="shared" si="60"/>
        <v>0</v>
      </c>
      <c r="K174" s="80">
        <f t="shared" si="60"/>
        <v>6222770.459999999</v>
      </c>
      <c r="L174" s="80">
        <v>390764</v>
      </c>
      <c r="M174" s="82">
        <v>390764</v>
      </c>
      <c r="N174" s="53">
        <v>0</v>
      </c>
    </row>
    <row r="175" spans="1:15">
      <c r="A175" s="202"/>
      <c r="B175" s="182" t="s">
        <v>28</v>
      </c>
      <c r="C175" s="49" t="s">
        <v>16</v>
      </c>
      <c r="D175" s="22">
        <f>1370640.22+285722.58-47620.43</f>
        <v>1608742.37</v>
      </c>
      <c r="E175" s="22">
        <f>205576.83-136502.09</f>
        <v>69074.739999999991</v>
      </c>
      <c r="F175" s="22">
        <f t="shared" ref="F175:F181" si="61">D175+E175</f>
        <v>1677817.11</v>
      </c>
      <c r="G175" s="22">
        <f>306451.07-22678.9</f>
        <v>283772.17</v>
      </c>
      <c r="H175" s="22">
        <v>0</v>
      </c>
      <c r="I175" s="22">
        <v>0</v>
      </c>
      <c r="J175" s="22">
        <v>0</v>
      </c>
      <c r="K175" s="22">
        <f t="shared" ref="K175:K185" si="62">J175+I175+H175+G175+E175+D175</f>
        <v>1961589.28</v>
      </c>
      <c r="L175" s="22">
        <f>112060.14-12796.14</f>
        <v>99264</v>
      </c>
      <c r="N175" s="24">
        <v>0</v>
      </c>
    </row>
    <row r="176" spans="1:15">
      <c r="A176" s="202"/>
      <c r="B176" s="183"/>
      <c r="C176" s="49" t="s">
        <v>17</v>
      </c>
      <c r="D176" s="22">
        <v>1607601.58</v>
      </c>
      <c r="E176" s="22">
        <v>69074.740000000005</v>
      </c>
      <c r="F176" s="22">
        <f t="shared" si="61"/>
        <v>1676676.32</v>
      </c>
      <c r="G176" s="22">
        <v>270676.69</v>
      </c>
      <c r="H176" s="22">
        <v>0</v>
      </c>
      <c r="I176" s="22">
        <v>0</v>
      </c>
      <c r="J176" s="22">
        <v>0</v>
      </c>
      <c r="K176" s="22">
        <f t="shared" si="62"/>
        <v>1947353.01</v>
      </c>
      <c r="L176" s="22">
        <v>99264</v>
      </c>
      <c r="N176" s="24">
        <v>0</v>
      </c>
    </row>
    <row r="177" spans="1:14">
      <c r="A177" s="202"/>
      <c r="B177" s="183"/>
      <c r="C177" s="83" t="s">
        <v>18</v>
      </c>
      <c r="D177" s="22">
        <v>1607601.58</v>
      </c>
      <c r="E177" s="22">
        <v>69074.740000000005</v>
      </c>
      <c r="F177" s="22">
        <f t="shared" si="61"/>
        <v>1676676.32</v>
      </c>
      <c r="G177" s="22">
        <v>270676.69</v>
      </c>
      <c r="H177" s="22">
        <v>0</v>
      </c>
      <c r="I177" s="22">
        <v>0</v>
      </c>
      <c r="J177" s="22">
        <v>0</v>
      </c>
      <c r="K177" s="22">
        <f t="shared" si="62"/>
        <v>1947353.01</v>
      </c>
      <c r="L177" s="22">
        <v>99264</v>
      </c>
      <c r="N177" s="24">
        <v>0</v>
      </c>
    </row>
    <row r="178" spans="1:14">
      <c r="A178" s="202"/>
      <c r="B178" s="182" t="s">
        <v>29</v>
      </c>
      <c r="C178" s="49" t="s">
        <v>16</v>
      </c>
      <c r="D178" s="22">
        <v>1958649.01</v>
      </c>
      <c r="E178" s="22">
        <f>205576.83-112650.95</f>
        <v>92925.87999999999</v>
      </c>
      <c r="F178" s="22">
        <f t="shared" si="61"/>
        <v>2051574.89</v>
      </c>
      <c r="G178" s="22">
        <v>306451.07</v>
      </c>
      <c r="H178" s="22">
        <v>0</v>
      </c>
      <c r="I178" s="22">
        <v>0</v>
      </c>
      <c r="J178" s="22">
        <v>0</v>
      </c>
      <c r="K178" s="22">
        <f t="shared" si="62"/>
        <v>2358025.96</v>
      </c>
      <c r="L178" s="22">
        <f>124856.28+11774.72</f>
        <v>136631</v>
      </c>
      <c r="N178" s="24">
        <v>2293.48</v>
      </c>
    </row>
    <row r="179" spans="1:14">
      <c r="A179" s="202"/>
      <c r="B179" s="183"/>
      <c r="C179" s="49" t="s">
        <v>17</v>
      </c>
      <c r="D179" s="22">
        <v>1989967.73</v>
      </c>
      <c r="E179" s="22">
        <v>92925.88</v>
      </c>
      <c r="F179" s="22">
        <f t="shared" si="61"/>
        <v>2082893.6099999999</v>
      </c>
      <c r="G179" s="84">
        <v>318140.74</v>
      </c>
      <c r="H179" s="22">
        <v>0</v>
      </c>
      <c r="I179" s="22">
        <v>0</v>
      </c>
      <c r="J179" s="22">
        <v>0</v>
      </c>
      <c r="K179" s="22">
        <f t="shared" si="62"/>
        <v>2401034.35</v>
      </c>
      <c r="L179" s="110">
        <v>136631</v>
      </c>
      <c r="N179" s="24">
        <v>2293.48</v>
      </c>
    </row>
    <row r="180" spans="1:14">
      <c r="A180" s="202"/>
      <c r="B180" s="183"/>
      <c r="C180" s="83" t="s">
        <v>18</v>
      </c>
      <c r="D180" s="22">
        <v>1958083.78</v>
      </c>
      <c r="E180" s="22">
        <v>92925.88</v>
      </c>
      <c r="F180" s="22">
        <f t="shared" si="61"/>
        <v>2051009.6600000001</v>
      </c>
      <c r="G180" s="22">
        <v>306425.48</v>
      </c>
      <c r="H180" s="22">
        <v>0</v>
      </c>
      <c r="I180" s="22">
        <v>0</v>
      </c>
      <c r="J180" s="22">
        <v>0</v>
      </c>
      <c r="K180" s="22">
        <f t="shared" si="62"/>
        <v>2357435.14</v>
      </c>
      <c r="L180" s="22">
        <v>136631</v>
      </c>
      <c r="N180" s="24">
        <v>2293.48</v>
      </c>
    </row>
    <row r="181" spans="1:14">
      <c r="A181" s="202"/>
      <c r="B181" s="179" t="s">
        <v>30</v>
      </c>
      <c r="C181" s="49" t="s">
        <v>16</v>
      </c>
      <c r="D181" s="22">
        <f>1370640.22+285722.58-24009.35</f>
        <v>1632353.45</v>
      </c>
      <c r="E181" s="22">
        <f>205576.83-107936.59</f>
        <v>97640.239999999991</v>
      </c>
      <c r="F181" s="22">
        <f t="shared" si="61"/>
        <v>1729993.69</v>
      </c>
      <c r="G181" s="22">
        <v>306451.07</v>
      </c>
      <c r="H181" s="22">
        <v>0</v>
      </c>
      <c r="I181" s="22">
        <v>0</v>
      </c>
      <c r="J181" s="22">
        <v>0</v>
      </c>
      <c r="K181" s="22">
        <f t="shared" si="62"/>
        <v>2036444.76</v>
      </c>
      <c r="L181" s="22">
        <f>107844+3773</f>
        <v>111617</v>
      </c>
      <c r="N181" s="24">
        <v>602.94000000000005</v>
      </c>
    </row>
    <row r="182" spans="1:14">
      <c r="A182" s="202"/>
      <c r="B182" s="178"/>
      <c r="C182" s="49" t="s">
        <v>17</v>
      </c>
      <c r="D182" s="22">
        <v>1567483.74</v>
      </c>
      <c r="E182" s="22">
        <v>98237.77</v>
      </c>
      <c r="F182" s="22">
        <f>SUM(D182:E182)</f>
        <v>1665721.51</v>
      </c>
      <c r="G182" s="22">
        <v>312825.24</v>
      </c>
      <c r="H182" s="22">
        <v>0</v>
      </c>
      <c r="I182" s="22">
        <v>0</v>
      </c>
      <c r="J182" s="22">
        <v>0</v>
      </c>
      <c r="K182" s="22">
        <f t="shared" si="62"/>
        <v>1978546.75</v>
      </c>
      <c r="L182" s="22">
        <v>107844</v>
      </c>
      <c r="N182" s="24">
        <v>602.94000000000005</v>
      </c>
    </row>
    <row r="183" spans="1:14">
      <c r="A183" s="202"/>
      <c r="B183" s="178"/>
      <c r="C183" s="83" t="s">
        <v>18</v>
      </c>
      <c r="D183" s="22">
        <f>886304.54+681179.2</f>
        <v>1567483.74</v>
      </c>
      <c r="E183" s="22">
        <v>98237.77</v>
      </c>
      <c r="F183" s="22">
        <f>SUM(D183:E183)</f>
        <v>1665721.51</v>
      </c>
      <c r="G183" s="22">
        <v>306425.78000000003</v>
      </c>
      <c r="H183" s="22">
        <v>0</v>
      </c>
      <c r="I183" s="22">
        <v>0</v>
      </c>
      <c r="J183" s="22">
        <v>0</v>
      </c>
      <c r="K183" s="22">
        <f t="shared" si="62"/>
        <v>1972147.29</v>
      </c>
      <c r="L183" s="22">
        <v>107844</v>
      </c>
      <c r="N183" s="24">
        <v>602.94000000000005</v>
      </c>
    </row>
    <row r="184" spans="1:14">
      <c r="A184" s="202"/>
      <c r="B184" s="184" t="s">
        <v>31</v>
      </c>
      <c r="C184" s="49" t="s">
        <v>16</v>
      </c>
      <c r="D184" s="22">
        <f t="shared" ref="D184:J184" si="63">D181+D178+D175</f>
        <v>5199744.83</v>
      </c>
      <c r="E184" s="22">
        <f t="shared" si="63"/>
        <v>259640.86</v>
      </c>
      <c r="F184" s="22">
        <f t="shared" si="63"/>
        <v>5459385.6900000004</v>
      </c>
      <c r="G184" s="22">
        <f t="shared" si="63"/>
        <v>896674.31</v>
      </c>
      <c r="H184" s="22">
        <f t="shared" si="63"/>
        <v>0</v>
      </c>
      <c r="I184" s="22">
        <f t="shared" si="63"/>
        <v>0</v>
      </c>
      <c r="J184" s="22">
        <f t="shared" si="63"/>
        <v>0</v>
      </c>
      <c r="K184" s="22">
        <f t="shared" si="62"/>
        <v>6356060</v>
      </c>
      <c r="L184" s="22">
        <f>L181+L178+L175</f>
        <v>347512</v>
      </c>
      <c r="N184" s="24">
        <f>N175+N178+N181</f>
        <v>2896.42</v>
      </c>
    </row>
    <row r="185" spans="1:14">
      <c r="A185" s="202"/>
      <c r="B185" s="184"/>
      <c r="C185" s="49" t="s">
        <v>17</v>
      </c>
      <c r="D185" s="22">
        <f>D182+D179+D176</f>
        <v>5165053.05</v>
      </c>
      <c r="E185" s="22">
        <f>E182+E179+E176</f>
        <v>260238.39</v>
      </c>
      <c r="F185" s="22">
        <f>D185+E185</f>
        <v>5425291.4399999995</v>
      </c>
      <c r="G185" s="22">
        <f>G182+G179+G176</f>
        <v>901642.66999999993</v>
      </c>
      <c r="H185" s="22">
        <v>0</v>
      </c>
      <c r="I185" s="22">
        <f>I182+I179+I176</f>
        <v>0</v>
      </c>
      <c r="J185" s="22">
        <f>J182+J179+J176</f>
        <v>0</v>
      </c>
      <c r="K185" s="22">
        <f t="shared" si="62"/>
        <v>6326934.1099999994</v>
      </c>
      <c r="L185" s="22">
        <f>L182+L179+L176</f>
        <v>343739</v>
      </c>
      <c r="N185" s="24">
        <f>N175+N178+N181</f>
        <v>2896.42</v>
      </c>
    </row>
    <row r="186" spans="1:14">
      <c r="A186" s="202"/>
      <c r="B186" s="184"/>
      <c r="C186" s="83" t="s">
        <v>18</v>
      </c>
      <c r="D186" s="22">
        <f>D183+D180+D177</f>
        <v>5133169.0999999996</v>
      </c>
      <c r="E186" s="22">
        <f>E183+E180+E177</f>
        <v>260238.39</v>
      </c>
      <c r="F186" s="22">
        <f>F183+F180+F177</f>
        <v>5393407.4900000002</v>
      </c>
      <c r="G186" s="22">
        <f>G183+G180+G177</f>
        <v>883527.95</v>
      </c>
      <c r="H186" s="22">
        <f>H183+H180+H177</f>
        <v>0</v>
      </c>
      <c r="I186" s="22">
        <f>I183+I180+I177</f>
        <v>0</v>
      </c>
      <c r="J186" s="22">
        <f>J183+J180+J177</f>
        <v>0</v>
      </c>
      <c r="K186" s="22">
        <f>K183+K180+K177</f>
        <v>6276935.4399999995</v>
      </c>
      <c r="L186" s="22">
        <f>L183+L180+L177</f>
        <v>343739</v>
      </c>
      <c r="N186" s="24">
        <f>N176+N179+N182</f>
        <v>2896.42</v>
      </c>
    </row>
    <row r="187" spans="1:14">
      <c r="A187" s="202"/>
      <c r="B187" s="180" t="s">
        <v>32</v>
      </c>
      <c r="C187" s="111" t="s">
        <v>16</v>
      </c>
      <c r="D187" s="112">
        <f>D169+D184</f>
        <v>10307742.219999999</v>
      </c>
      <c r="E187" s="112">
        <f>E169+E184</f>
        <v>521462.31999999995</v>
      </c>
      <c r="F187" s="112">
        <f>D187+E187</f>
        <v>10829204.539999999</v>
      </c>
      <c r="G187" s="112">
        <f>G169+G184</f>
        <v>1749625.92</v>
      </c>
      <c r="H187" s="112">
        <f>H169+H184</f>
        <v>0</v>
      </c>
      <c r="I187" s="112">
        <f>I169+I184</f>
        <v>0</v>
      </c>
      <c r="J187" s="112">
        <f>J169+J184</f>
        <v>0</v>
      </c>
      <c r="K187" s="112">
        <f>J187+I187+H187+G187+E187+D187</f>
        <v>12578830.459999999</v>
      </c>
      <c r="L187" s="112">
        <f>L169+L184</f>
        <v>738276</v>
      </c>
      <c r="M187" s="113">
        <f>M169+M184</f>
        <v>11506</v>
      </c>
      <c r="N187" s="90">
        <f>N169+N184</f>
        <v>3668.11</v>
      </c>
    </row>
    <row r="188" spans="1:14">
      <c r="A188" s="202"/>
      <c r="B188" s="181"/>
      <c r="C188" s="20" t="s">
        <v>17</v>
      </c>
      <c r="D188" s="21">
        <f t="shared" ref="D188:K188" si="64">D172+D185</f>
        <v>10273050.439999999</v>
      </c>
      <c r="E188" s="21">
        <f t="shared" si="64"/>
        <v>522059.85</v>
      </c>
      <c r="F188" s="21">
        <f t="shared" si="64"/>
        <v>10795110.289999999</v>
      </c>
      <c r="G188" s="21">
        <f t="shared" si="64"/>
        <v>1754594.2799999998</v>
      </c>
      <c r="H188" s="21">
        <f t="shared" si="64"/>
        <v>0</v>
      </c>
      <c r="I188" s="21">
        <f t="shared" si="64"/>
        <v>0</v>
      </c>
      <c r="J188" s="21">
        <f t="shared" si="64"/>
        <v>0</v>
      </c>
      <c r="K188" s="21">
        <f t="shared" si="64"/>
        <v>12549704.57</v>
      </c>
      <c r="L188" s="23">
        <f>L185+L170</f>
        <v>734503</v>
      </c>
      <c r="N188" s="24">
        <v>3668.11</v>
      </c>
    </row>
    <row r="189" spans="1:14">
      <c r="A189" s="202"/>
      <c r="B189" s="181"/>
      <c r="C189" s="148" t="s">
        <v>18</v>
      </c>
      <c r="D189" s="21">
        <f t="shared" ref="D189:K189" si="65">D174+D186</f>
        <v>10241166.489999998</v>
      </c>
      <c r="E189" s="21">
        <f t="shared" si="65"/>
        <v>522059.85000000003</v>
      </c>
      <c r="F189" s="21">
        <f t="shared" si="65"/>
        <v>10763226.34</v>
      </c>
      <c r="G189" s="21">
        <f t="shared" si="65"/>
        <v>1736479.56</v>
      </c>
      <c r="H189" s="21">
        <f t="shared" si="65"/>
        <v>0</v>
      </c>
      <c r="I189" s="21">
        <f t="shared" si="65"/>
        <v>0</v>
      </c>
      <c r="J189" s="21">
        <f t="shared" si="65"/>
        <v>0</v>
      </c>
      <c r="K189" s="21">
        <f t="shared" si="65"/>
        <v>12499705.899999999</v>
      </c>
      <c r="L189" s="23">
        <f>L186+L171</f>
        <v>734503</v>
      </c>
      <c r="N189" s="24">
        <f>N171+N186</f>
        <v>3668.11</v>
      </c>
    </row>
    <row r="190" spans="1:14">
      <c r="A190" s="202"/>
      <c r="B190" s="178"/>
      <c r="C190" s="114" t="s">
        <v>51</v>
      </c>
      <c r="D190" s="88">
        <v>10307742.220000001</v>
      </c>
      <c r="E190" s="88">
        <v>521462.32</v>
      </c>
      <c r="F190" s="88">
        <f>D190+E190</f>
        <v>10829204.540000001</v>
      </c>
      <c r="G190" s="88">
        <v>1749625.92</v>
      </c>
      <c r="H190" s="88"/>
      <c r="I190" s="88"/>
      <c r="J190" s="88"/>
      <c r="K190" s="88">
        <f>F190+G190</f>
        <v>12578830.460000001</v>
      </c>
      <c r="L190" s="88">
        <v>738276</v>
      </c>
      <c r="M190" s="115"/>
      <c r="N190" s="90">
        <f>N173+N187</f>
        <v>3668.11</v>
      </c>
    </row>
    <row r="191" spans="1:14">
      <c r="A191" s="202"/>
      <c r="B191" s="178"/>
      <c r="C191" s="114" t="s">
        <v>48</v>
      </c>
      <c r="D191" s="88">
        <v>66575.73</v>
      </c>
      <c r="E191" s="88">
        <v>-597.53</v>
      </c>
      <c r="F191" s="88">
        <f>D191+E191</f>
        <v>65978.2</v>
      </c>
      <c r="G191" s="88">
        <v>13146.36</v>
      </c>
      <c r="H191" s="88"/>
      <c r="I191" s="88"/>
      <c r="J191" s="88"/>
      <c r="K191" s="88">
        <f>F191+G191</f>
        <v>79124.56</v>
      </c>
      <c r="L191" s="88">
        <v>3773</v>
      </c>
      <c r="M191" s="115"/>
      <c r="N191" s="90">
        <f>N174+N188</f>
        <v>3668.11</v>
      </c>
    </row>
    <row r="192" spans="1:14">
      <c r="A192" s="202"/>
      <c r="B192" s="178"/>
      <c r="C192" s="114" t="s">
        <v>26</v>
      </c>
      <c r="D192" s="88">
        <f>D189+D191</f>
        <v>10307742.219999999</v>
      </c>
      <c r="E192" s="88">
        <f>E189+E191</f>
        <v>521462.32</v>
      </c>
      <c r="F192" s="88">
        <f>D192+E192</f>
        <v>10829204.539999999</v>
      </c>
      <c r="G192" s="88">
        <f t="shared" ref="G192:L192" si="66">G189+G191</f>
        <v>1749625.9200000002</v>
      </c>
      <c r="H192" s="88">
        <f t="shared" si="66"/>
        <v>0</v>
      </c>
      <c r="I192" s="88">
        <f t="shared" si="66"/>
        <v>0</v>
      </c>
      <c r="J192" s="88">
        <f t="shared" si="66"/>
        <v>0</v>
      </c>
      <c r="K192" s="88">
        <f t="shared" si="66"/>
        <v>12578830.459999999</v>
      </c>
      <c r="L192" s="88">
        <f t="shared" si="66"/>
        <v>738276</v>
      </c>
      <c r="M192" s="115"/>
      <c r="N192" s="90">
        <f>N191</f>
        <v>3668.11</v>
      </c>
    </row>
    <row r="193" spans="1:14">
      <c r="A193" s="202"/>
      <c r="B193" s="171" t="s">
        <v>33</v>
      </c>
      <c r="C193" s="20" t="s">
        <v>16</v>
      </c>
      <c r="D193" s="21">
        <f>1306939.32+237449.83-33583.17</f>
        <v>1510805.9800000002</v>
      </c>
      <c r="E193" s="21">
        <f>205867.75-76477.93</f>
        <v>129389.82</v>
      </c>
      <c r="F193" s="21">
        <f t="shared" ref="F193:F201" si="67">SUM(D193:E193)</f>
        <v>1640195.8000000003</v>
      </c>
      <c r="G193" s="21">
        <f>352309-39391</f>
        <v>312918</v>
      </c>
      <c r="H193" s="49">
        <v>0</v>
      </c>
      <c r="I193" s="49">
        <v>0</v>
      </c>
      <c r="J193" s="49">
        <v>0</v>
      </c>
      <c r="K193" s="21">
        <f>D193+E193+G193+H193+I193+J193</f>
        <v>1953113.8000000003</v>
      </c>
      <c r="L193" s="23">
        <v>112475</v>
      </c>
      <c r="N193" s="24">
        <v>0</v>
      </c>
    </row>
    <row r="194" spans="1:14">
      <c r="A194" s="202"/>
      <c r="B194" s="172"/>
      <c r="C194" s="20" t="s">
        <v>17</v>
      </c>
      <c r="D194" s="21">
        <v>1480319.96</v>
      </c>
      <c r="E194" s="21">
        <v>129389.82</v>
      </c>
      <c r="F194" s="21">
        <f t="shared" si="67"/>
        <v>1609709.78</v>
      </c>
      <c r="G194" s="21">
        <v>312918</v>
      </c>
      <c r="H194" s="49">
        <v>0</v>
      </c>
      <c r="I194" s="49">
        <v>0</v>
      </c>
      <c r="J194" s="49">
        <v>0</v>
      </c>
      <c r="K194" s="21">
        <f>D194+E194+G194+H194+I194+J194</f>
        <v>1922627.78</v>
      </c>
      <c r="L194" s="23">
        <v>112475</v>
      </c>
      <c r="N194" s="24">
        <v>0</v>
      </c>
    </row>
    <row r="195" spans="1:14">
      <c r="A195" s="202"/>
      <c r="B195" s="172"/>
      <c r="C195" s="20" t="s">
        <v>18</v>
      </c>
      <c r="D195" s="21">
        <v>1480319.96</v>
      </c>
      <c r="E195" s="21">
        <v>129389.82</v>
      </c>
      <c r="F195" s="21">
        <f t="shared" si="67"/>
        <v>1609709.78</v>
      </c>
      <c r="G195" s="21">
        <v>312918</v>
      </c>
      <c r="H195" s="49">
        <v>0</v>
      </c>
      <c r="I195" s="49">
        <v>0</v>
      </c>
      <c r="J195" s="49">
        <v>0</v>
      </c>
      <c r="K195" s="21">
        <f>D195+E195+G195+H195+I195+J195</f>
        <v>1922627.78</v>
      </c>
      <c r="L195" s="23">
        <v>112475</v>
      </c>
      <c r="N195" s="24">
        <v>0</v>
      </c>
    </row>
    <row r="196" spans="1:14">
      <c r="A196" s="202"/>
      <c r="B196" s="171" t="s">
        <v>34</v>
      </c>
      <c r="C196" s="20" t="s">
        <v>16</v>
      </c>
      <c r="D196" s="21">
        <f>1640913.47-32826.16</f>
        <v>1608087.31</v>
      </c>
      <c r="E196" s="21">
        <f>205867.75-112841.05</f>
        <v>93026.7</v>
      </c>
      <c r="F196" s="21">
        <f t="shared" si="67"/>
        <v>1701114.01</v>
      </c>
      <c r="G196" s="21">
        <f>352309-48728</f>
        <v>303581</v>
      </c>
      <c r="H196" s="49">
        <v>0</v>
      </c>
      <c r="I196" s="49">
        <v>0</v>
      </c>
      <c r="J196" s="49">
        <v>0</v>
      </c>
      <c r="K196" s="21">
        <f>D196+E196+G196+H196+I196+J196</f>
        <v>2004695.01</v>
      </c>
      <c r="L196" s="23">
        <v>117183</v>
      </c>
      <c r="N196" s="24">
        <v>0</v>
      </c>
    </row>
    <row r="197" spans="1:14">
      <c r="A197" s="202"/>
      <c r="B197" s="172"/>
      <c r="C197" s="20" t="s">
        <v>17</v>
      </c>
      <c r="D197" s="21">
        <v>1608087.31</v>
      </c>
      <c r="E197" s="21">
        <v>93026.7</v>
      </c>
      <c r="F197" s="21">
        <f t="shared" si="67"/>
        <v>1701114.01</v>
      </c>
      <c r="G197" s="21">
        <v>303581</v>
      </c>
      <c r="H197" s="49">
        <v>0</v>
      </c>
      <c r="I197" s="49">
        <v>0</v>
      </c>
      <c r="J197" s="49">
        <v>0</v>
      </c>
      <c r="K197" s="21">
        <f>J197+I197+H197+G197+E197+D197</f>
        <v>2004695.01</v>
      </c>
      <c r="L197" s="23">
        <v>117183</v>
      </c>
      <c r="N197" s="24">
        <v>0</v>
      </c>
    </row>
    <row r="198" spans="1:14">
      <c r="A198" s="202"/>
      <c r="B198" s="172"/>
      <c r="C198" s="20" t="s">
        <v>18</v>
      </c>
      <c r="D198" s="21">
        <v>1608087.31</v>
      </c>
      <c r="E198" s="21">
        <v>93026.7</v>
      </c>
      <c r="F198" s="21">
        <f t="shared" si="67"/>
        <v>1701114.01</v>
      </c>
      <c r="G198" s="21">
        <v>303581</v>
      </c>
      <c r="H198" s="49">
        <v>0</v>
      </c>
      <c r="I198" s="49">
        <v>0</v>
      </c>
      <c r="J198" s="49">
        <v>0</v>
      </c>
      <c r="K198" s="21">
        <f>J198+I198+H198+G198+E198+D198</f>
        <v>2004695.01</v>
      </c>
      <c r="L198" s="23">
        <v>117183</v>
      </c>
      <c r="N198" s="24">
        <v>0</v>
      </c>
    </row>
    <row r="199" spans="1:14">
      <c r="A199" s="202"/>
      <c r="B199" s="194" t="s">
        <v>35</v>
      </c>
      <c r="C199" s="20" t="s">
        <v>16</v>
      </c>
      <c r="D199" s="21">
        <f>1306939.32+140925.51</f>
        <v>1447864.83</v>
      </c>
      <c r="E199" s="21">
        <f>205867.75-100000-26165.66</f>
        <v>79702.09</v>
      </c>
      <c r="F199" s="21">
        <f t="shared" si="67"/>
        <v>1527566.9200000002</v>
      </c>
      <c r="G199" s="21">
        <f>352309-20000-30706</f>
        <v>301603</v>
      </c>
      <c r="H199" s="49">
        <v>0</v>
      </c>
      <c r="I199" s="49">
        <v>0</v>
      </c>
      <c r="J199" s="49">
        <v>0</v>
      </c>
      <c r="K199" s="21">
        <f>D199+E199+G199+H199+I199+J199</f>
        <v>1829169.9200000002</v>
      </c>
      <c r="L199" s="23">
        <f>251823.91-148467.91+2079</f>
        <v>105435</v>
      </c>
      <c r="N199" s="24">
        <v>3940.95</v>
      </c>
    </row>
    <row r="200" spans="1:14">
      <c r="A200" s="202"/>
      <c r="B200" s="195"/>
      <c r="C200" s="20" t="s">
        <v>17</v>
      </c>
      <c r="D200" s="21">
        <v>1444369.11</v>
      </c>
      <c r="E200" s="21">
        <v>79695.19</v>
      </c>
      <c r="F200" s="21">
        <f t="shared" si="67"/>
        <v>1524064.3</v>
      </c>
      <c r="G200" s="21">
        <v>300186</v>
      </c>
      <c r="H200" s="49">
        <v>0</v>
      </c>
      <c r="I200" s="49">
        <v>0</v>
      </c>
      <c r="J200" s="49">
        <v>0</v>
      </c>
      <c r="K200" s="21">
        <f>J200+I200+H200+G200+E200+D200</f>
        <v>1824250.3</v>
      </c>
      <c r="L200" s="23">
        <v>103356</v>
      </c>
      <c r="N200" s="24">
        <v>3940.95</v>
      </c>
    </row>
    <row r="201" spans="1:14">
      <c r="A201" s="202"/>
      <c r="B201" s="195"/>
      <c r="C201" s="20" t="s">
        <v>18</v>
      </c>
      <c r="D201" s="21">
        <v>1444369.11</v>
      </c>
      <c r="E201" s="21">
        <v>79695.19</v>
      </c>
      <c r="F201" s="21">
        <f t="shared" si="67"/>
        <v>1524064.3</v>
      </c>
      <c r="G201" s="21">
        <v>300186</v>
      </c>
      <c r="H201" s="49">
        <v>0</v>
      </c>
      <c r="I201" s="49">
        <v>0</v>
      </c>
      <c r="J201" s="49">
        <v>0</v>
      </c>
      <c r="K201" s="21">
        <f>J201+I201+H201+G201+E201+D201</f>
        <v>1824250.3</v>
      </c>
      <c r="L201" s="23">
        <v>103356</v>
      </c>
      <c r="N201" s="24">
        <v>3940.95</v>
      </c>
    </row>
    <row r="202" spans="1:14">
      <c r="A202" s="202"/>
      <c r="B202" s="171" t="s">
        <v>36</v>
      </c>
      <c r="C202" s="111" t="s">
        <v>16</v>
      </c>
      <c r="D202" s="112">
        <f t="shared" ref="D202:L204" si="68">D193+D196+D199</f>
        <v>4566758.12</v>
      </c>
      <c r="E202" s="112">
        <f t="shared" si="68"/>
        <v>302118.61</v>
      </c>
      <c r="F202" s="112">
        <f t="shared" si="68"/>
        <v>4868876.7300000004</v>
      </c>
      <c r="G202" s="112">
        <f t="shared" si="68"/>
        <v>918102</v>
      </c>
      <c r="H202" s="112">
        <f t="shared" si="68"/>
        <v>0</v>
      </c>
      <c r="I202" s="112">
        <f t="shared" si="68"/>
        <v>0</v>
      </c>
      <c r="J202" s="112">
        <f t="shared" si="68"/>
        <v>0</v>
      </c>
      <c r="K202" s="112">
        <f t="shared" si="68"/>
        <v>5786978.7300000004</v>
      </c>
      <c r="L202" s="112">
        <f t="shared" si="68"/>
        <v>335093</v>
      </c>
      <c r="N202" s="90">
        <f>N193+N196+N199</f>
        <v>3940.95</v>
      </c>
    </row>
    <row r="203" spans="1:14">
      <c r="A203" s="202"/>
      <c r="B203" s="172"/>
      <c r="C203" s="20" t="s">
        <v>17</v>
      </c>
      <c r="D203" s="21">
        <f t="shared" si="68"/>
        <v>4532776.38</v>
      </c>
      <c r="E203" s="21">
        <f t="shared" si="68"/>
        <v>302111.71000000002</v>
      </c>
      <c r="F203" s="21">
        <f t="shared" si="68"/>
        <v>4834888.09</v>
      </c>
      <c r="G203" s="21">
        <f t="shared" si="68"/>
        <v>916685</v>
      </c>
      <c r="H203" s="21">
        <f t="shared" si="68"/>
        <v>0</v>
      </c>
      <c r="I203" s="21">
        <f t="shared" si="68"/>
        <v>0</v>
      </c>
      <c r="J203" s="21">
        <f t="shared" si="68"/>
        <v>0</v>
      </c>
      <c r="K203" s="21">
        <f t="shared" si="68"/>
        <v>5751573.0899999999</v>
      </c>
      <c r="L203" s="21">
        <f t="shared" si="68"/>
        <v>333014</v>
      </c>
      <c r="N203" s="24">
        <f>N194+N197+N200</f>
        <v>3940.95</v>
      </c>
    </row>
    <row r="204" spans="1:14">
      <c r="A204" s="202"/>
      <c r="B204" s="172"/>
      <c r="C204" s="20" t="s">
        <v>18</v>
      </c>
      <c r="D204" s="21">
        <f t="shared" si="68"/>
        <v>4532776.38</v>
      </c>
      <c r="E204" s="21">
        <f t="shared" si="68"/>
        <v>302111.71000000002</v>
      </c>
      <c r="F204" s="21">
        <f t="shared" si="68"/>
        <v>4834888.09</v>
      </c>
      <c r="G204" s="21">
        <f t="shared" si="68"/>
        <v>916685</v>
      </c>
      <c r="H204" s="21">
        <f t="shared" si="68"/>
        <v>0</v>
      </c>
      <c r="I204" s="21">
        <f t="shared" si="68"/>
        <v>0</v>
      </c>
      <c r="J204" s="21">
        <f t="shared" si="68"/>
        <v>0</v>
      </c>
      <c r="K204" s="21">
        <f t="shared" si="68"/>
        <v>5751573.0899999999</v>
      </c>
      <c r="L204" s="21">
        <f t="shared" si="68"/>
        <v>333014</v>
      </c>
      <c r="N204" s="24">
        <f>N195+N198+N201</f>
        <v>3940.95</v>
      </c>
    </row>
    <row r="205" spans="1:14">
      <c r="A205" s="202"/>
      <c r="B205" s="172"/>
      <c r="C205" s="20" t="s">
        <v>37</v>
      </c>
      <c r="D205" s="21">
        <f t="shared" ref="D205:L205" si="69">D195+D198+D201</f>
        <v>4532776.38</v>
      </c>
      <c r="E205" s="21">
        <f t="shared" si="69"/>
        <v>302111.71000000002</v>
      </c>
      <c r="F205" s="21">
        <f t="shared" si="69"/>
        <v>4834888.09</v>
      </c>
      <c r="G205" s="21">
        <f t="shared" si="69"/>
        <v>916685</v>
      </c>
      <c r="H205" s="21">
        <f t="shared" si="69"/>
        <v>0</v>
      </c>
      <c r="I205" s="21">
        <f t="shared" si="69"/>
        <v>0</v>
      </c>
      <c r="J205" s="21">
        <f t="shared" si="69"/>
        <v>0</v>
      </c>
      <c r="K205" s="21">
        <f t="shared" si="69"/>
        <v>5751573.0899999999</v>
      </c>
      <c r="L205" s="21">
        <f t="shared" si="69"/>
        <v>333014</v>
      </c>
      <c r="N205" s="24">
        <v>3940.95</v>
      </c>
    </row>
    <row r="206" spans="1:14">
      <c r="A206" s="202"/>
      <c r="B206" s="178"/>
      <c r="C206" s="98" t="s">
        <v>51</v>
      </c>
      <c r="D206" s="32">
        <v>4566758.12</v>
      </c>
      <c r="E206" s="32">
        <v>302118.61</v>
      </c>
      <c r="F206" s="32">
        <f>D206+E206</f>
        <v>4868876.7300000004</v>
      </c>
      <c r="G206" s="32">
        <v>918102</v>
      </c>
      <c r="H206" s="32"/>
      <c r="I206" s="32"/>
      <c r="J206" s="32"/>
      <c r="K206" s="32">
        <f>F206+G206</f>
        <v>5786978.7300000004</v>
      </c>
      <c r="L206" s="32">
        <v>335093</v>
      </c>
      <c r="N206" s="53">
        <v>3940.95</v>
      </c>
    </row>
    <row r="207" spans="1:14">
      <c r="A207" s="202"/>
      <c r="B207" s="173"/>
      <c r="C207" s="98" t="s">
        <v>48</v>
      </c>
      <c r="D207" s="32">
        <v>33981.74</v>
      </c>
      <c r="E207" s="32">
        <v>6.9</v>
      </c>
      <c r="F207" s="32">
        <f>D207+E207</f>
        <v>33988.639999999999</v>
      </c>
      <c r="G207" s="32">
        <v>1417</v>
      </c>
      <c r="H207" s="32"/>
      <c r="I207" s="32"/>
      <c r="J207" s="32"/>
      <c r="K207" s="32">
        <f>F207+G207</f>
        <v>35405.64</v>
      </c>
      <c r="L207" s="32">
        <v>2079</v>
      </c>
      <c r="N207" s="53">
        <v>3940.95</v>
      </c>
    </row>
    <row r="208" spans="1:14">
      <c r="A208" s="202"/>
      <c r="B208" s="173"/>
      <c r="C208" s="98" t="s">
        <v>26</v>
      </c>
      <c r="D208" s="32">
        <f t="shared" ref="D208:L208" si="70">D205+D207</f>
        <v>4566758.12</v>
      </c>
      <c r="E208" s="32">
        <f t="shared" si="70"/>
        <v>302118.61000000004</v>
      </c>
      <c r="F208" s="32">
        <f t="shared" si="70"/>
        <v>4868876.7299999995</v>
      </c>
      <c r="G208" s="32">
        <f t="shared" si="70"/>
        <v>918102</v>
      </c>
      <c r="H208" s="32">
        <f t="shared" si="70"/>
        <v>0</v>
      </c>
      <c r="I208" s="32">
        <f t="shared" si="70"/>
        <v>0</v>
      </c>
      <c r="J208" s="32">
        <f t="shared" si="70"/>
        <v>0</v>
      </c>
      <c r="K208" s="32">
        <f t="shared" si="70"/>
        <v>5786978.7299999995</v>
      </c>
      <c r="L208" s="32">
        <f t="shared" si="70"/>
        <v>335093</v>
      </c>
      <c r="N208" s="53">
        <v>3940.95</v>
      </c>
    </row>
    <row r="209" spans="1:14">
      <c r="A209" s="202"/>
      <c r="B209" s="194" t="s">
        <v>38</v>
      </c>
      <c r="C209" s="20" t="s">
        <v>16</v>
      </c>
      <c r="D209" s="21">
        <f>1306939.32+494204.52-83051.55</f>
        <v>1718092.29</v>
      </c>
      <c r="E209" s="21">
        <f>205867.75-73349.82</f>
        <v>132517.93</v>
      </c>
      <c r="F209" s="21">
        <f t="shared" ref="F209:F214" si="71">SUM(D209:E209)</f>
        <v>1850610.22</v>
      </c>
      <c r="G209" s="21">
        <f>352309-59406</f>
        <v>292903</v>
      </c>
      <c r="H209" s="49">
        <v>0</v>
      </c>
      <c r="I209" s="49">
        <v>0</v>
      </c>
      <c r="J209" s="49">
        <v>0</v>
      </c>
      <c r="K209" s="21">
        <f t="shared" ref="K209:K214" si="72">D209+E209+G209+H209+I209+J209</f>
        <v>2143513.2199999997</v>
      </c>
      <c r="L209" s="23">
        <v>131032</v>
      </c>
      <c r="N209" s="24"/>
    </row>
    <row r="210" spans="1:14">
      <c r="A210" s="202"/>
      <c r="B210" s="195"/>
      <c r="C210" s="20" t="s">
        <v>17</v>
      </c>
      <c r="D210" s="21">
        <v>1718092.29</v>
      </c>
      <c r="E210" s="21">
        <v>132517.93</v>
      </c>
      <c r="F210" s="21">
        <f t="shared" si="71"/>
        <v>1850610.22</v>
      </c>
      <c r="G210" s="21">
        <v>292903</v>
      </c>
      <c r="H210" s="49">
        <v>0</v>
      </c>
      <c r="I210" s="49">
        <v>0</v>
      </c>
      <c r="J210" s="49">
        <v>0</v>
      </c>
      <c r="K210" s="21">
        <f t="shared" si="72"/>
        <v>2143513.2199999997</v>
      </c>
      <c r="L210" s="23">
        <v>131032</v>
      </c>
      <c r="N210" s="24"/>
    </row>
    <row r="211" spans="1:14">
      <c r="A211" s="202"/>
      <c r="B211" s="195"/>
      <c r="C211" s="20" t="s">
        <v>18</v>
      </c>
      <c r="D211" s="21">
        <v>1718092.29</v>
      </c>
      <c r="E211" s="21">
        <v>132517.93</v>
      </c>
      <c r="F211" s="21">
        <f t="shared" si="71"/>
        <v>1850610.22</v>
      </c>
      <c r="G211" s="21">
        <v>292903</v>
      </c>
      <c r="H211" s="49">
        <v>0</v>
      </c>
      <c r="I211" s="49">
        <v>0</v>
      </c>
      <c r="J211" s="49">
        <v>0</v>
      </c>
      <c r="K211" s="21">
        <f t="shared" si="72"/>
        <v>2143513.2199999997</v>
      </c>
      <c r="L211" s="23">
        <v>131032</v>
      </c>
      <c r="N211" s="24"/>
    </row>
    <row r="212" spans="1:14">
      <c r="A212" s="202"/>
      <c r="B212" s="171" t="s">
        <v>39</v>
      </c>
      <c r="C212" s="20" t="s">
        <v>16</v>
      </c>
      <c r="D212" s="21">
        <f>1737437.79-90774.74</f>
        <v>1646663.05</v>
      </c>
      <c r="E212" s="21">
        <f>9603.76+131263.98+9290.84-36698.49</f>
        <v>113460.09000000003</v>
      </c>
      <c r="F212" s="21">
        <f t="shared" si="71"/>
        <v>1760123.1400000001</v>
      </c>
      <c r="G212" s="21">
        <f>849.22+351459.78-70450</f>
        <v>281859</v>
      </c>
      <c r="H212" s="49">
        <v>0</v>
      </c>
      <c r="I212" s="49">
        <v>0</v>
      </c>
      <c r="J212" s="49">
        <v>0</v>
      </c>
      <c r="K212" s="21">
        <f t="shared" si="72"/>
        <v>2041982.1400000001</v>
      </c>
      <c r="L212" s="23">
        <f>11216.98+112852.02-143</f>
        <v>123926</v>
      </c>
      <c r="N212" s="24"/>
    </row>
    <row r="213" spans="1:14">
      <c r="A213" s="202"/>
      <c r="B213" s="172"/>
      <c r="C213" s="20" t="s">
        <v>17</v>
      </c>
      <c r="D213" s="21">
        <v>1681757.67</v>
      </c>
      <c r="E213" s="21">
        <v>113310.7</v>
      </c>
      <c r="F213" s="21">
        <f t="shared" si="71"/>
        <v>1795068.3699999999</v>
      </c>
      <c r="G213" s="21">
        <v>282044</v>
      </c>
      <c r="H213" s="49">
        <v>0</v>
      </c>
      <c r="I213" s="49">
        <v>0</v>
      </c>
      <c r="J213" s="49">
        <v>0</v>
      </c>
      <c r="K213" s="21">
        <f t="shared" si="72"/>
        <v>2077112.3699999999</v>
      </c>
      <c r="L213" s="23">
        <v>124069</v>
      </c>
      <c r="N213" s="24"/>
    </row>
    <row r="214" spans="1:14">
      <c r="A214" s="202"/>
      <c r="B214" s="172"/>
      <c r="C214" s="20" t="s">
        <v>18</v>
      </c>
      <c r="D214" s="21">
        <v>1681757.67</v>
      </c>
      <c r="E214" s="21">
        <v>113310.7</v>
      </c>
      <c r="F214" s="21">
        <f t="shared" si="71"/>
        <v>1795068.3699999999</v>
      </c>
      <c r="G214" s="21">
        <v>282044</v>
      </c>
      <c r="H214" s="49">
        <v>0</v>
      </c>
      <c r="I214" s="49">
        <v>0</v>
      </c>
      <c r="J214" s="49">
        <v>0</v>
      </c>
      <c r="K214" s="21">
        <f t="shared" si="72"/>
        <v>2077112.3699999999</v>
      </c>
      <c r="L214" s="23">
        <v>124069</v>
      </c>
      <c r="N214" s="24"/>
    </row>
    <row r="215" spans="1:14">
      <c r="A215" s="202"/>
      <c r="B215" s="204" t="s">
        <v>52</v>
      </c>
      <c r="C215" s="57" t="s">
        <v>16</v>
      </c>
      <c r="D215" s="58">
        <f>D212+D209+D202</f>
        <v>7931513.46</v>
      </c>
      <c r="E215" s="58">
        <f t="shared" ref="E215:N215" si="73">E212+E209+E202</f>
        <v>548096.63</v>
      </c>
      <c r="F215" s="58">
        <f t="shared" si="73"/>
        <v>8479610.0899999999</v>
      </c>
      <c r="G215" s="58">
        <f t="shared" si="73"/>
        <v>1492864</v>
      </c>
      <c r="H215" s="58">
        <f t="shared" si="73"/>
        <v>0</v>
      </c>
      <c r="I215" s="58">
        <f t="shared" si="73"/>
        <v>0</v>
      </c>
      <c r="J215" s="58">
        <f t="shared" si="73"/>
        <v>0</v>
      </c>
      <c r="K215" s="58">
        <f t="shared" si="73"/>
        <v>9972474.0899999999</v>
      </c>
      <c r="L215" s="58">
        <f t="shared" si="73"/>
        <v>590051</v>
      </c>
      <c r="M215" s="58">
        <f t="shared" si="73"/>
        <v>0</v>
      </c>
      <c r="N215" s="58">
        <f t="shared" si="73"/>
        <v>3940.95</v>
      </c>
    </row>
    <row r="216" spans="1:14">
      <c r="A216" s="202"/>
      <c r="B216" s="205"/>
      <c r="C216" s="57" t="s">
        <v>17</v>
      </c>
      <c r="D216" s="58">
        <v>7931513.46</v>
      </c>
      <c r="E216" s="58">
        <v>548096.63</v>
      </c>
      <c r="F216" s="58">
        <f>D216+E216</f>
        <v>8479610.0899999999</v>
      </c>
      <c r="G216" s="58">
        <v>1492864</v>
      </c>
      <c r="H216" s="58"/>
      <c r="I216" s="58"/>
      <c r="J216" s="58"/>
      <c r="K216" s="58">
        <f>F216+G216</f>
        <v>9972474.0899999999</v>
      </c>
      <c r="L216" s="58">
        <v>590051</v>
      </c>
      <c r="M216" s="116"/>
      <c r="N216" s="58">
        <v>3940.95</v>
      </c>
    </row>
    <row r="217" spans="1:14">
      <c r="A217" s="202"/>
      <c r="B217" s="205"/>
      <c r="C217" s="57" t="s">
        <v>49</v>
      </c>
      <c r="D217" s="58">
        <f t="shared" ref="D217:L217" si="74">D208+D211+D214</f>
        <v>7966608.0800000001</v>
      </c>
      <c r="E217" s="58">
        <f t="shared" si="74"/>
        <v>547947.24</v>
      </c>
      <c r="F217" s="58">
        <f>D217+E217</f>
        <v>8514555.3200000003</v>
      </c>
      <c r="G217" s="58">
        <f>G208+G211+G214</f>
        <v>1493049</v>
      </c>
      <c r="H217" s="58">
        <f t="shared" si="74"/>
        <v>0</v>
      </c>
      <c r="I217" s="58">
        <f t="shared" si="74"/>
        <v>0</v>
      </c>
      <c r="J217" s="58">
        <f t="shared" si="74"/>
        <v>0</v>
      </c>
      <c r="K217" s="58">
        <f t="shared" si="74"/>
        <v>10007604.319999998</v>
      </c>
      <c r="L217" s="58">
        <f t="shared" si="74"/>
        <v>590194</v>
      </c>
      <c r="M217" s="116"/>
      <c r="N217" s="58">
        <v>3940.95</v>
      </c>
    </row>
    <row r="218" spans="1:14">
      <c r="A218" s="202"/>
      <c r="B218" s="205"/>
      <c r="C218" s="57" t="s">
        <v>18</v>
      </c>
      <c r="D218" s="58">
        <v>-35094.620000000003</v>
      </c>
      <c r="E218" s="58">
        <v>149.38999999999999</v>
      </c>
      <c r="F218" s="58">
        <f>D218+E218</f>
        <v>-34945.230000000003</v>
      </c>
      <c r="G218" s="58">
        <v>-185</v>
      </c>
      <c r="H218" s="58"/>
      <c r="I218" s="58"/>
      <c r="J218" s="58"/>
      <c r="K218" s="58">
        <f>F218+G218</f>
        <v>-35130.230000000003</v>
      </c>
      <c r="L218" s="58">
        <v>-143</v>
      </c>
      <c r="M218" s="116"/>
      <c r="N218" s="58">
        <v>3940.95</v>
      </c>
    </row>
    <row r="219" spans="1:14">
      <c r="A219" s="202"/>
      <c r="B219" s="205"/>
      <c r="C219" s="57" t="s">
        <v>26</v>
      </c>
      <c r="D219" s="58">
        <f>D217+D218</f>
        <v>7931513.46</v>
      </c>
      <c r="E219" s="58">
        <f t="shared" ref="E219:L219" si="75">E217+E218</f>
        <v>548096.63</v>
      </c>
      <c r="F219" s="58">
        <f t="shared" si="75"/>
        <v>8479610.0899999999</v>
      </c>
      <c r="G219" s="58">
        <f t="shared" si="75"/>
        <v>1492864</v>
      </c>
      <c r="H219" s="58">
        <f t="shared" si="75"/>
        <v>0</v>
      </c>
      <c r="I219" s="58">
        <f t="shared" si="75"/>
        <v>0</v>
      </c>
      <c r="J219" s="58">
        <f t="shared" si="75"/>
        <v>0</v>
      </c>
      <c r="K219" s="58">
        <f t="shared" si="75"/>
        <v>9972474.089999998</v>
      </c>
      <c r="L219" s="58">
        <f t="shared" si="75"/>
        <v>590051</v>
      </c>
      <c r="M219" s="116"/>
      <c r="N219" s="58">
        <v>3940.95</v>
      </c>
    </row>
    <row r="220" spans="1:14">
      <c r="A220" s="202"/>
      <c r="B220" s="171" t="s">
        <v>43</v>
      </c>
      <c r="C220" s="20" t="s">
        <v>16</v>
      </c>
      <c r="D220" s="21">
        <f>1640913.49-75221.04</f>
        <v>1565692.45</v>
      </c>
      <c r="E220" s="21">
        <f>135099.62-8032.45</f>
        <v>127067.17</v>
      </c>
      <c r="F220" s="21">
        <f>SUM(D220:E220)</f>
        <v>1692759.6199999999</v>
      </c>
      <c r="G220" s="21">
        <f>285495-40753</f>
        <v>244742</v>
      </c>
      <c r="H220" s="49">
        <v>0</v>
      </c>
      <c r="I220" s="49">
        <v>0</v>
      </c>
      <c r="J220" s="49">
        <v>0</v>
      </c>
      <c r="K220" s="21">
        <f>F220+G220</f>
        <v>1937501.6199999999</v>
      </c>
      <c r="L220" s="23">
        <f>750.98-2.98</f>
        <v>748</v>
      </c>
      <c r="N220" s="24"/>
    </row>
    <row r="221" spans="1:14">
      <c r="A221" s="202"/>
      <c r="B221" s="172"/>
      <c r="C221" s="20" t="s">
        <v>17</v>
      </c>
      <c r="D221" s="21">
        <v>1508308.88</v>
      </c>
      <c r="E221" s="21">
        <v>125690.54</v>
      </c>
      <c r="F221" s="21">
        <f>SUM(D221:E221)</f>
        <v>1633999.42</v>
      </c>
      <c r="G221" s="21">
        <v>244742</v>
      </c>
      <c r="H221" s="49">
        <v>0</v>
      </c>
      <c r="I221" s="49">
        <v>0</v>
      </c>
      <c r="J221" s="49">
        <v>0</v>
      </c>
      <c r="K221" s="21">
        <f>D221+E221+G221+H221+I221+J221</f>
        <v>1878741.42</v>
      </c>
      <c r="L221" s="23">
        <v>109670</v>
      </c>
      <c r="N221" s="24"/>
    </row>
    <row r="222" spans="1:14">
      <c r="A222" s="202"/>
      <c r="B222" s="172"/>
      <c r="C222" s="20" t="s">
        <v>18</v>
      </c>
      <c r="D222" s="21">
        <v>1508308.88</v>
      </c>
      <c r="E222" s="21">
        <v>125690.54</v>
      </c>
      <c r="F222" s="21">
        <f>SUM(D222:E222)</f>
        <v>1633999.42</v>
      </c>
      <c r="G222" s="21">
        <v>244742</v>
      </c>
      <c r="H222" s="49">
        <v>0</v>
      </c>
      <c r="I222" s="49">
        <v>0</v>
      </c>
      <c r="J222" s="49">
        <v>0</v>
      </c>
      <c r="K222" s="21">
        <f>D222+E222+G222+H222+I222+J222</f>
        <v>1878741.42</v>
      </c>
      <c r="L222" s="23">
        <v>748</v>
      </c>
      <c r="N222" s="24"/>
    </row>
    <row r="223" spans="1:14">
      <c r="A223" s="202"/>
      <c r="B223" s="187" t="s">
        <v>44</v>
      </c>
      <c r="C223" s="20" t="s">
        <v>16</v>
      </c>
      <c r="D223" s="21">
        <f t="shared" ref="D223:L225" si="76">D209+D212+D220</f>
        <v>4930447.79</v>
      </c>
      <c r="E223" s="21">
        <f t="shared" si="76"/>
        <v>373045.19</v>
      </c>
      <c r="F223" s="21">
        <f t="shared" si="76"/>
        <v>5303492.9800000004</v>
      </c>
      <c r="G223" s="21">
        <f t="shared" si="76"/>
        <v>819504</v>
      </c>
      <c r="H223" s="21">
        <f t="shared" si="76"/>
        <v>0</v>
      </c>
      <c r="I223" s="21">
        <f t="shared" si="76"/>
        <v>0</v>
      </c>
      <c r="J223" s="21">
        <f t="shared" si="76"/>
        <v>0</v>
      </c>
      <c r="K223" s="21">
        <f t="shared" si="76"/>
        <v>6122996.9799999995</v>
      </c>
      <c r="L223" s="23">
        <f t="shared" si="76"/>
        <v>255706</v>
      </c>
      <c r="N223" s="24"/>
    </row>
    <row r="224" spans="1:14">
      <c r="A224" s="202"/>
      <c r="B224" s="188"/>
      <c r="C224" s="20" t="s">
        <v>17</v>
      </c>
      <c r="D224" s="21">
        <f>D210+D213+D221</f>
        <v>4908158.84</v>
      </c>
      <c r="E224" s="21">
        <f t="shared" si="76"/>
        <v>371519.17</v>
      </c>
      <c r="F224" s="21">
        <f t="shared" si="76"/>
        <v>5279678.01</v>
      </c>
      <c r="G224" s="21">
        <f t="shared" si="76"/>
        <v>819689</v>
      </c>
      <c r="H224" s="21">
        <f t="shared" si="76"/>
        <v>0</v>
      </c>
      <c r="I224" s="21">
        <f t="shared" si="76"/>
        <v>0</v>
      </c>
      <c r="J224" s="21">
        <f t="shared" si="76"/>
        <v>0</v>
      </c>
      <c r="K224" s="21">
        <f>F224+G224</f>
        <v>6099367.0099999998</v>
      </c>
      <c r="L224" s="21">
        <f t="shared" si="76"/>
        <v>364771</v>
      </c>
      <c r="N224" s="24"/>
    </row>
    <row r="225" spans="1:14">
      <c r="A225" s="202"/>
      <c r="B225" s="188"/>
      <c r="C225" s="20" t="s">
        <v>18</v>
      </c>
      <c r="D225" s="21">
        <f>D211+D214+D222</f>
        <v>4908158.84</v>
      </c>
      <c r="E225" s="21">
        <f t="shared" si="76"/>
        <v>371519.17</v>
      </c>
      <c r="F225" s="21">
        <f t="shared" si="76"/>
        <v>5279678.01</v>
      </c>
      <c r="G225" s="21">
        <f t="shared" si="76"/>
        <v>819689</v>
      </c>
      <c r="H225" s="21">
        <f t="shared" si="76"/>
        <v>0</v>
      </c>
      <c r="I225" s="21">
        <f t="shared" si="76"/>
        <v>0</v>
      </c>
      <c r="J225" s="21">
        <f t="shared" si="76"/>
        <v>0</v>
      </c>
      <c r="K225" s="21">
        <f>F225+G225</f>
        <v>6099367.0099999998</v>
      </c>
      <c r="L225" s="23">
        <f>L211+L214+L222</f>
        <v>255849</v>
      </c>
      <c r="N225" s="24"/>
    </row>
    <row r="226" spans="1:14">
      <c r="A226" s="202"/>
      <c r="B226" s="206" t="s">
        <v>45</v>
      </c>
      <c r="C226" s="111" t="s">
        <v>16</v>
      </c>
      <c r="D226" s="112">
        <f>D202+D223</f>
        <v>9497205.9100000001</v>
      </c>
      <c r="E226" s="112">
        <f t="shared" ref="E226:N226" si="77">E202+E223</f>
        <v>675163.8</v>
      </c>
      <c r="F226" s="112">
        <f t="shared" si="77"/>
        <v>10172369.710000001</v>
      </c>
      <c r="G226" s="112">
        <f t="shared" si="77"/>
        <v>1737606</v>
      </c>
      <c r="H226" s="112">
        <f t="shared" si="77"/>
        <v>0</v>
      </c>
      <c r="I226" s="112">
        <f t="shared" si="77"/>
        <v>0</v>
      </c>
      <c r="J226" s="112">
        <f t="shared" si="77"/>
        <v>0</v>
      </c>
      <c r="K226" s="112">
        <f t="shared" si="77"/>
        <v>11909975.710000001</v>
      </c>
      <c r="L226" s="112">
        <f t="shared" si="77"/>
        <v>590799</v>
      </c>
      <c r="M226" s="112">
        <f t="shared" si="77"/>
        <v>0</v>
      </c>
      <c r="N226" s="112">
        <f t="shared" si="77"/>
        <v>3940.95</v>
      </c>
    </row>
    <row r="227" spans="1:14">
      <c r="A227" s="202"/>
      <c r="B227" s="207"/>
      <c r="C227" s="111" t="s">
        <v>17</v>
      </c>
      <c r="D227" s="112">
        <f>D216+D221</f>
        <v>9439822.3399999999</v>
      </c>
      <c r="E227" s="112">
        <f t="shared" ref="E227:N227" si="78">E216+E221</f>
        <v>673787.17</v>
      </c>
      <c r="F227" s="112">
        <f t="shared" si="78"/>
        <v>10113609.51</v>
      </c>
      <c r="G227" s="112">
        <f t="shared" si="78"/>
        <v>1737606</v>
      </c>
      <c r="H227" s="112">
        <f t="shared" si="78"/>
        <v>0</v>
      </c>
      <c r="I227" s="112">
        <f t="shared" si="78"/>
        <v>0</v>
      </c>
      <c r="J227" s="112">
        <f t="shared" si="78"/>
        <v>0</v>
      </c>
      <c r="K227" s="112">
        <f t="shared" si="78"/>
        <v>11851215.51</v>
      </c>
      <c r="L227" s="112">
        <f t="shared" si="78"/>
        <v>699721</v>
      </c>
      <c r="M227" s="112">
        <f t="shared" si="78"/>
        <v>0</v>
      </c>
      <c r="N227" s="112">
        <f t="shared" si="78"/>
        <v>3940.95</v>
      </c>
    </row>
    <row r="228" spans="1:14">
      <c r="A228" s="202"/>
      <c r="B228" s="207"/>
      <c r="C228" s="111" t="s">
        <v>18</v>
      </c>
      <c r="D228" s="112">
        <f>D219+D222</f>
        <v>9439822.3399999999</v>
      </c>
      <c r="E228" s="112">
        <f t="shared" ref="E228:N228" si="79">E219+E222</f>
        <v>673787.17</v>
      </c>
      <c r="F228" s="112">
        <f t="shared" si="79"/>
        <v>10113609.51</v>
      </c>
      <c r="G228" s="112">
        <f t="shared" si="79"/>
        <v>1737606</v>
      </c>
      <c r="H228" s="112">
        <f t="shared" si="79"/>
        <v>0</v>
      </c>
      <c r="I228" s="112">
        <f t="shared" si="79"/>
        <v>0</v>
      </c>
      <c r="J228" s="112">
        <f t="shared" si="79"/>
        <v>0</v>
      </c>
      <c r="K228" s="112">
        <f t="shared" si="79"/>
        <v>11851215.509999998</v>
      </c>
      <c r="L228" s="112">
        <f t="shared" si="79"/>
        <v>590799</v>
      </c>
      <c r="M228" s="112">
        <f t="shared" si="79"/>
        <v>0</v>
      </c>
      <c r="N228" s="112">
        <f t="shared" si="79"/>
        <v>3940.95</v>
      </c>
    </row>
    <row r="229" spans="1:14">
      <c r="A229" s="202"/>
      <c r="B229" s="207"/>
      <c r="C229" s="111" t="s">
        <v>64</v>
      </c>
      <c r="D229" s="112">
        <v>9497205.9100000001</v>
      </c>
      <c r="E229" s="112">
        <v>675163.8</v>
      </c>
      <c r="F229" s="112">
        <f>D229+E229</f>
        <v>10172369.710000001</v>
      </c>
      <c r="G229" s="112">
        <v>1737606</v>
      </c>
      <c r="H229" s="112"/>
      <c r="I229" s="112"/>
      <c r="J229" s="112"/>
      <c r="K229" s="112">
        <f>G229+F229</f>
        <v>11909975.710000001</v>
      </c>
      <c r="L229" s="112">
        <v>701184</v>
      </c>
      <c r="M229" s="112"/>
      <c r="N229" s="112"/>
    </row>
    <row r="230" spans="1:14">
      <c r="A230" s="202"/>
      <c r="B230" s="207"/>
      <c r="C230" s="111" t="s">
        <v>25</v>
      </c>
      <c r="D230" s="112">
        <v>57383.57</v>
      </c>
      <c r="E230" s="112">
        <v>1376.63</v>
      </c>
      <c r="F230" s="112">
        <f>D230+E230</f>
        <v>58760.2</v>
      </c>
      <c r="G230" s="112">
        <v>0</v>
      </c>
      <c r="H230" s="112"/>
      <c r="I230" s="112"/>
      <c r="J230" s="112"/>
      <c r="K230" s="112">
        <f>G230+F230</f>
        <v>58760.2</v>
      </c>
      <c r="L230" s="112">
        <v>0</v>
      </c>
      <c r="M230" s="112"/>
      <c r="N230" s="112"/>
    </row>
    <row r="231" spans="1:14">
      <c r="A231" s="202"/>
      <c r="B231" s="207"/>
      <c r="C231" s="111" t="s">
        <v>26</v>
      </c>
      <c r="D231" s="112">
        <f>D228+D230</f>
        <v>9497205.9100000001</v>
      </c>
      <c r="E231" s="112">
        <f t="shared" ref="E231:N231" si="80">E228+E230</f>
        <v>675163.8</v>
      </c>
      <c r="F231" s="112">
        <f t="shared" si="80"/>
        <v>10172369.709999999</v>
      </c>
      <c r="G231" s="112">
        <f t="shared" si="80"/>
        <v>1737606</v>
      </c>
      <c r="H231" s="112">
        <f t="shared" si="80"/>
        <v>0</v>
      </c>
      <c r="I231" s="112">
        <f t="shared" si="80"/>
        <v>0</v>
      </c>
      <c r="J231" s="112">
        <f t="shared" si="80"/>
        <v>0</v>
      </c>
      <c r="K231" s="112">
        <f t="shared" si="80"/>
        <v>11909975.709999997</v>
      </c>
      <c r="L231" s="112">
        <f t="shared" si="80"/>
        <v>590799</v>
      </c>
      <c r="M231" s="112">
        <f t="shared" si="80"/>
        <v>0</v>
      </c>
      <c r="N231" s="112">
        <f t="shared" si="80"/>
        <v>3940.95</v>
      </c>
    </row>
    <row r="232" spans="1:14">
      <c r="A232" s="203"/>
      <c r="B232" s="209" t="s">
        <v>46</v>
      </c>
      <c r="C232" s="117" t="s">
        <v>16</v>
      </c>
      <c r="D232" s="118">
        <f t="shared" ref="D232:J232" si="81">D187+D226</f>
        <v>19804948.129999999</v>
      </c>
      <c r="E232" s="118">
        <f t="shared" si="81"/>
        <v>1196626.1200000001</v>
      </c>
      <c r="F232" s="118">
        <f t="shared" si="81"/>
        <v>21001574.25</v>
      </c>
      <c r="G232" s="118">
        <f t="shared" si="81"/>
        <v>3487231.92</v>
      </c>
      <c r="H232" s="118">
        <f t="shared" si="81"/>
        <v>0</v>
      </c>
      <c r="I232" s="118">
        <f t="shared" si="81"/>
        <v>0</v>
      </c>
      <c r="J232" s="118">
        <f t="shared" si="81"/>
        <v>0</v>
      </c>
      <c r="K232" s="118">
        <f>F232+G232</f>
        <v>24488806.170000002</v>
      </c>
      <c r="L232" s="118">
        <f>L187+L226</f>
        <v>1329075</v>
      </c>
      <c r="M232" s="118">
        <f>M187+M226</f>
        <v>11506</v>
      </c>
      <c r="N232" s="118">
        <f>N187+N226</f>
        <v>7609.0599999999995</v>
      </c>
    </row>
    <row r="233" spans="1:14">
      <c r="A233" s="203"/>
      <c r="B233" s="209"/>
      <c r="C233" s="117" t="s">
        <v>17</v>
      </c>
      <c r="D233" s="118">
        <f>D234</f>
        <v>19804948.130000003</v>
      </c>
      <c r="E233" s="118">
        <f>E234</f>
        <v>1196626.1200000001</v>
      </c>
      <c r="F233" s="118">
        <f>D233+E233</f>
        <v>21001574.250000004</v>
      </c>
      <c r="G233" s="118">
        <f>G234</f>
        <v>3487231.92</v>
      </c>
      <c r="H233" s="118">
        <f t="shared" ref="H233:N233" si="82">H216+H190+H221</f>
        <v>0</v>
      </c>
      <c r="I233" s="118">
        <f t="shared" si="82"/>
        <v>0</v>
      </c>
      <c r="J233" s="118">
        <f t="shared" si="82"/>
        <v>0</v>
      </c>
      <c r="K233" s="118">
        <f>F233+G233</f>
        <v>24488806.170000002</v>
      </c>
      <c r="L233" s="118">
        <f t="shared" si="82"/>
        <v>1437997</v>
      </c>
      <c r="M233" s="118">
        <f t="shared" si="82"/>
        <v>0</v>
      </c>
      <c r="N233" s="118">
        <f t="shared" si="82"/>
        <v>7609.0599999999995</v>
      </c>
    </row>
    <row r="234" spans="1:14">
      <c r="A234" s="203"/>
      <c r="B234" s="209"/>
      <c r="C234" s="117" t="s">
        <v>41</v>
      </c>
      <c r="D234" s="118">
        <f>D229+D190</f>
        <v>19804948.130000003</v>
      </c>
      <c r="E234" s="118">
        <f>E229+E190</f>
        <v>1196626.1200000001</v>
      </c>
      <c r="F234" s="118">
        <f>F229+F190</f>
        <v>21001574.25</v>
      </c>
      <c r="G234" s="118">
        <f>G229+G190</f>
        <v>3487231.92</v>
      </c>
      <c r="H234" s="118">
        <f>H229+H190</f>
        <v>0</v>
      </c>
      <c r="I234" s="118">
        <f>I216+I190+I221</f>
        <v>0</v>
      </c>
      <c r="J234" s="118">
        <f>J216+J190+J221</f>
        <v>0</v>
      </c>
      <c r="K234" s="118">
        <f>F234+G234</f>
        <v>24488806.170000002</v>
      </c>
      <c r="L234" s="118">
        <f>L216+L190+L221</f>
        <v>1437997</v>
      </c>
      <c r="M234" s="118">
        <f>M216+M190+M221</f>
        <v>0</v>
      </c>
      <c r="N234" s="118">
        <f>N216+N190+N221</f>
        <v>7609.0599999999995</v>
      </c>
    </row>
    <row r="235" spans="1:14">
      <c r="A235" s="203"/>
      <c r="B235" s="209"/>
      <c r="C235" s="119" t="s">
        <v>18</v>
      </c>
      <c r="D235" s="118">
        <f>D231+D192</f>
        <v>19804948.129999999</v>
      </c>
      <c r="E235" s="118">
        <f>E231+E192</f>
        <v>1196626.1200000001</v>
      </c>
      <c r="F235" s="118">
        <f>E235+D235</f>
        <v>21001574.25</v>
      </c>
      <c r="G235" s="118">
        <f>G231+G192</f>
        <v>3487231.92</v>
      </c>
      <c r="H235" s="118">
        <f t="shared" ref="H235:N235" si="83">H219+H192+H222</f>
        <v>0</v>
      </c>
      <c r="I235" s="118">
        <f t="shared" si="83"/>
        <v>0</v>
      </c>
      <c r="J235" s="118">
        <f t="shared" si="83"/>
        <v>0</v>
      </c>
      <c r="K235" s="118">
        <f t="shared" si="83"/>
        <v>24430045.969999999</v>
      </c>
      <c r="L235" s="118">
        <f t="shared" si="83"/>
        <v>1329075</v>
      </c>
      <c r="M235" s="118">
        <f t="shared" si="83"/>
        <v>0</v>
      </c>
      <c r="N235" s="118">
        <f t="shared" si="83"/>
        <v>7609.0599999999995</v>
      </c>
    </row>
    <row r="236" spans="1:14">
      <c r="A236" s="190" t="s">
        <v>53</v>
      </c>
      <c r="B236" s="178" t="s">
        <v>15</v>
      </c>
      <c r="C236" s="14" t="s">
        <v>16</v>
      </c>
      <c r="D236" s="15">
        <f>11439.1+6863.46</f>
        <v>18302.560000000001</v>
      </c>
      <c r="E236" s="15">
        <v>589808.27</v>
      </c>
      <c r="F236" s="16">
        <f t="shared" ref="F236:F244" si="84">D236+E236</f>
        <v>608110.83000000007</v>
      </c>
      <c r="G236" s="15">
        <v>0</v>
      </c>
      <c r="H236" s="15">
        <v>0</v>
      </c>
      <c r="I236" s="15">
        <v>0</v>
      </c>
      <c r="J236" s="15">
        <v>0</v>
      </c>
      <c r="K236" s="16">
        <f t="shared" ref="K236:K244" si="85">J236+I236+H236+G236+E236+D236</f>
        <v>608110.83000000007</v>
      </c>
      <c r="L236" s="17">
        <f>103974-13004</f>
        <v>90970</v>
      </c>
      <c r="N236" s="24"/>
    </row>
    <row r="237" spans="1:14">
      <c r="A237" s="191"/>
      <c r="B237" s="178"/>
      <c r="C237" s="20" t="s">
        <v>17</v>
      </c>
      <c r="D237" s="21">
        <v>21381.599999999999</v>
      </c>
      <c r="E237" s="21">
        <v>657590.69999999995</v>
      </c>
      <c r="F237" s="21">
        <f t="shared" si="84"/>
        <v>678972.29999999993</v>
      </c>
      <c r="G237" s="21">
        <v>0</v>
      </c>
      <c r="H237" s="22">
        <v>0</v>
      </c>
      <c r="I237" s="22">
        <v>0</v>
      </c>
      <c r="J237" s="22">
        <v>0</v>
      </c>
      <c r="K237" s="21">
        <f t="shared" si="85"/>
        <v>678972.29999999993</v>
      </c>
      <c r="L237" s="23">
        <v>90970</v>
      </c>
      <c r="N237" s="24"/>
    </row>
    <row r="238" spans="1:14">
      <c r="A238" s="191"/>
      <c r="B238" s="178"/>
      <c r="C238" s="120" t="s">
        <v>18</v>
      </c>
      <c r="D238" s="21">
        <v>16224.18</v>
      </c>
      <c r="E238" s="21">
        <v>589705.64</v>
      </c>
      <c r="F238" s="21">
        <f t="shared" si="84"/>
        <v>605929.82000000007</v>
      </c>
      <c r="G238" s="21">
        <v>0</v>
      </c>
      <c r="H238" s="22">
        <v>0</v>
      </c>
      <c r="I238" s="22">
        <v>0</v>
      </c>
      <c r="J238" s="22">
        <v>0</v>
      </c>
      <c r="K238" s="21">
        <f t="shared" si="85"/>
        <v>605929.82000000007</v>
      </c>
      <c r="L238" s="23">
        <v>90970</v>
      </c>
      <c r="N238" s="24"/>
    </row>
    <row r="239" spans="1:14">
      <c r="A239" s="191"/>
      <c r="B239" s="179" t="s">
        <v>20</v>
      </c>
      <c r="C239" s="20" t="s">
        <v>16</v>
      </c>
      <c r="D239" s="22">
        <f>11439.1+6863.46</f>
        <v>18302.560000000001</v>
      </c>
      <c r="E239" s="22">
        <v>589808.27</v>
      </c>
      <c r="F239" s="21">
        <f t="shared" si="84"/>
        <v>608110.83000000007</v>
      </c>
      <c r="G239" s="22">
        <v>0</v>
      </c>
      <c r="H239" s="22">
        <v>0</v>
      </c>
      <c r="I239" s="22">
        <v>0</v>
      </c>
      <c r="J239" s="22">
        <v>0</v>
      </c>
      <c r="K239" s="21">
        <f t="shared" si="85"/>
        <v>608110.83000000007</v>
      </c>
      <c r="L239" s="23">
        <v>91179</v>
      </c>
      <c r="N239" s="24"/>
    </row>
    <row r="240" spans="1:14">
      <c r="A240" s="191"/>
      <c r="B240" s="178"/>
      <c r="C240" s="20" t="s">
        <v>17</v>
      </c>
      <c r="D240" s="21">
        <v>31476.87</v>
      </c>
      <c r="E240" s="21">
        <v>590438.74</v>
      </c>
      <c r="F240" s="21">
        <f t="shared" si="84"/>
        <v>621915.61</v>
      </c>
      <c r="G240" s="21">
        <v>0</v>
      </c>
      <c r="H240" s="22">
        <v>0</v>
      </c>
      <c r="I240" s="22">
        <v>0</v>
      </c>
      <c r="J240" s="22">
        <v>0</v>
      </c>
      <c r="K240" s="21">
        <f t="shared" si="85"/>
        <v>621915.61</v>
      </c>
      <c r="L240" s="23">
        <v>91179</v>
      </c>
      <c r="N240" s="24"/>
    </row>
    <row r="241" spans="1:14">
      <c r="A241" s="191"/>
      <c r="B241" s="178"/>
      <c r="C241" s="120" t="s">
        <v>18</v>
      </c>
      <c r="D241" s="21">
        <v>17758.400000000001</v>
      </c>
      <c r="E241" s="21">
        <v>589705.64</v>
      </c>
      <c r="F241" s="21">
        <f t="shared" si="84"/>
        <v>607464.04</v>
      </c>
      <c r="G241" s="21">
        <v>0</v>
      </c>
      <c r="H241" s="22">
        <v>0</v>
      </c>
      <c r="I241" s="22">
        <v>0</v>
      </c>
      <c r="J241" s="22">
        <v>0</v>
      </c>
      <c r="K241" s="21">
        <f t="shared" si="85"/>
        <v>607464.04</v>
      </c>
      <c r="L241" s="23">
        <v>91179</v>
      </c>
      <c r="M241" s="18"/>
      <c r="N241" s="24"/>
    </row>
    <row r="242" spans="1:14">
      <c r="A242" s="191"/>
      <c r="B242" s="179" t="s">
        <v>22</v>
      </c>
      <c r="C242" s="20" t="s">
        <v>16</v>
      </c>
      <c r="D242" s="22">
        <f>11439.1+6863.46</f>
        <v>18302.560000000001</v>
      </c>
      <c r="E242" s="22">
        <f>589808.27-14.65</f>
        <v>589793.62</v>
      </c>
      <c r="F242" s="21">
        <f t="shared" si="84"/>
        <v>608096.18000000005</v>
      </c>
      <c r="G242" s="22">
        <v>0</v>
      </c>
      <c r="H242" s="22">
        <v>0</v>
      </c>
      <c r="I242" s="22">
        <v>0</v>
      </c>
      <c r="J242" s="22">
        <v>0</v>
      </c>
      <c r="K242" s="21">
        <f t="shared" si="85"/>
        <v>608096.18000000005</v>
      </c>
      <c r="L242" s="23">
        <v>90794</v>
      </c>
      <c r="N242" s="24"/>
    </row>
    <row r="243" spans="1:14">
      <c r="A243" s="191"/>
      <c r="B243" s="178"/>
      <c r="C243" s="20" t="s">
        <v>17</v>
      </c>
      <c r="D243" s="21">
        <v>32635.439999999999</v>
      </c>
      <c r="E243" s="21">
        <v>652898.86</v>
      </c>
      <c r="F243" s="21">
        <f t="shared" si="84"/>
        <v>685534.29999999993</v>
      </c>
      <c r="G243" s="21">
        <v>0</v>
      </c>
      <c r="H243" s="22">
        <v>0</v>
      </c>
      <c r="I243" s="22">
        <v>0</v>
      </c>
      <c r="J243" s="22">
        <v>0</v>
      </c>
      <c r="K243" s="21">
        <f t="shared" si="85"/>
        <v>685534.29999999993</v>
      </c>
      <c r="L243" s="23">
        <v>90794</v>
      </c>
      <c r="N243" s="24"/>
    </row>
    <row r="244" spans="1:14">
      <c r="A244" s="191"/>
      <c r="B244" s="178"/>
      <c r="C244" s="120" t="s">
        <v>18</v>
      </c>
      <c r="D244" s="21">
        <v>17716.64</v>
      </c>
      <c r="E244" s="21">
        <v>589705.64</v>
      </c>
      <c r="F244" s="21">
        <f t="shared" si="84"/>
        <v>607422.28</v>
      </c>
      <c r="G244" s="21">
        <v>0</v>
      </c>
      <c r="H244" s="22">
        <v>0</v>
      </c>
      <c r="I244" s="22">
        <v>0</v>
      </c>
      <c r="J244" s="22">
        <v>0</v>
      </c>
      <c r="K244" s="21">
        <f t="shared" si="85"/>
        <v>607422.28</v>
      </c>
      <c r="L244" s="23">
        <v>90794</v>
      </c>
      <c r="N244" s="24"/>
    </row>
    <row r="245" spans="1:14">
      <c r="A245" s="191"/>
      <c r="B245" s="184" t="s">
        <v>23</v>
      </c>
      <c r="C245" s="20" t="s">
        <v>16</v>
      </c>
      <c r="D245" s="21">
        <f t="shared" ref="D245:K247" si="86">D242+D239+D236</f>
        <v>54907.680000000008</v>
      </c>
      <c r="E245" s="21">
        <f t="shared" si="86"/>
        <v>1769410.1600000001</v>
      </c>
      <c r="F245" s="21">
        <f t="shared" si="86"/>
        <v>1824317.8400000003</v>
      </c>
      <c r="G245" s="21">
        <f t="shared" si="86"/>
        <v>0</v>
      </c>
      <c r="H245" s="21">
        <f t="shared" si="86"/>
        <v>0</v>
      </c>
      <c r="I245" s="21">
        <f t="shared" si="86"/>
        <v>0</v>
      </c>
      <c r="J245" s="21">
        <f t="shared" si="86"/>
        <v>0</v>
      </c>
      <c r="K245" s="21">
        <f t="shared" si="86"/>
        <v>1824317.8400000003</v>
      </c>
      <c r="L245" s="23">
        <f>L242+L239+L236+913</f>
        <v>273856</v>
      </c>
      <c r="N245" s="24"/>
    </row>
    <row r="246" spans="1:14">
      <c r="A246" s="191"/>
      <c r="B246" s="184"/>
      <c r="C246" s="20" t="s">
        <v>17</v>
      </c>
      <c r="D246" s="21">
        <f t="shared" si="86"/>
        <v>85493.91</v>
      </c>
      <c r="E246" s="21">
        <f t="shared" si="86"/>
        <v>1900928.3</v>
      </c>
      <c r="F246" s="21">
        <f t="shared" si="86"/>
        <v>1986422.21</v>
      </c>
      <c r="G246" s="21">
        <f t="shared" si="86"/>
        <v>0</v>
      </c>
      <c r="H246" s="21">
        <f t="shared" si="86"/>
        <v>0</v>
      </c>
      <c r="I246" s="21">
        <f t="shared" si="86"/>
        <v>0</v>
      </c>
      <c r="J246" s="21">
        <f t="shared" si="86"/>
        <v>0</v>
      </c>
      <c r="K246" s="21">
        <f t="shared" si="86"/>
        <v>1986422.21</v>
      </c>
      <c r="L246" s="23">
        <f>L243+L240+L237</f>
        <v>272943</v>
      </c>
      <c r="N246" s="24"/>
    </row>
    <row r="247" spans="1:14">
      <c r="A247" s="191"/>
      <c r="B247" s="184"/>
      <c r="C247" s="120" t="s">
        <v>18</v>
      </c>
      <c r="D247" s="21">
        <f t="shared" si="86"/>
        <v>51699.22</v>
      </c>
      <c r="E247" s="21">
        <f t="shared" si="86"/>
        <v>1769116.92</v>
      </c>
      <c r="F247" s="21">
        <f t="shared" si="86"/>
        <v>1820816.1400000001</v>
      </c>
      <c r="G247" s="21">
        <f t="shared" si="86"/>
        <v>0</v>
      </c>
      <c r="H247" s="21">
        <f t="shared" si="86"/>
        <v>0</v>
      </c>
      <c r="I247" s="21">
        <f t="shared" si="86"/>
        <v>0</v>
      </c>
      <c r="J247" s="21">
        <f t="shared" si="86"/>
        <v>0</v>
      </c>
      <c r="K247" s="21">
        <f t="shared" si="86"/>
        <v>1820816.1400000001</v>
      </c>
      <c r="L247" s="23">
        <f>L244+L241+L238</f>
        <v>272943</v>
      </c>
      <c r="N247" s="24"/>
    </row>
    <row r="248" spans="1:14">
      <c r="A248" s="191"/>
      <c r="B248" s="184"/>
      <c r="C248" s="147" t="s">
        <v>54</v>
      </c>
      <c r="D248" s="51">
        <v>85493.91</v>
      </c>
      <c r="E248" s="51">
        <v>1900928.3</v>
      </c>
      <c r="F248" s="51">
        <f t="shared" ref="F248:F257" si="87">D248+E248</f>
        <v>1986422.21</v>
      </c>
      <c r="G248" s="51">
        <v>0</v>
      </c>
      <c r="H248" s="51">
        <v>0</v>
      </c>
      <c r="I248" s="51"/>
      <c r="J248" s="51"/>
      <c r="K248" s="51">
        <f>F248</f>
        <v>1986422.21</v>
      </c>
      <c r="L248" s="51">
        <f>L247+913</f>
        <v>273856</v>
      </c>
      <c r="M248" s="52"/>
      <c r="N248" s="53"/>
    </row>
    <row r="249" spans="1:14">
      <c r="A249" s="191"/>
      <c r="B249" s="184"/>
      <c r="C249" s="79" t="s">
        <v>48</v>
      </c>
      <c r="D249" s="80">
        <v>2078.0500000000002</v>
      </c>
      <c r="E249" s="80">
        <v>293.24</v>
      </c>
      <c r="F249" s="80">
        <f t="shared" si="87"/>
        <v>2371.29</v>
      </c>
      <c r="G249" s="80">
        <v>0</v>
      </c>
      <c r="H249" s="80">
        <v>0</v>
      </c>
      <c r="I249" s="80"/>
      <c r="J249" s="80"/>
      <c r="K249" s="80">
        <f>F249</f>
        <v>2371.29</v>
      </c>
      <c r="L249" s="80">
        <f>913</f>
        <v>913</v>
      </c>
      <c r="M249" s="52"/>
      <c r="N249" s="53"/>
    </row>
    <row r="250" spans="1:14">
      <c r="A250" s="191"/>
      <c r="B250" s="184"/>
      <c r="C250" s="79" t="s">
        <v>26</v>
      </c>
      <c r="D250" s="80">
        <f>D247+D249</f>
        <v>53777.270000000004</v>
      </c>
      <c r="E250" s="80">
        <f>E247+E249</f>
        <v>1769410.16</v>
      </c>
      <c r="F250" s="80">
        <f t="shared" si="87"/>
        <v>1823187.43</v>
      </c>
      <c r="G250" s="80">
        <v>0</v>
      </c>
      <c r="H250" s="80">
        <v>0</v>
      </c>
      <c r="I250" s="80"/>
      <c r="J250" s="80"/>
      <c r="K250" s="80">
        <f>F250</f>
        <v>1823187.43</v>
      </c>
      <c r="L250" s="80">
        <f>L247+L249</f>
        <v>273856</v>
      </c>
      <c r="M250" s="52"/>
      <c r="N250" s="53"/>
    </row>
    <row r="251" spans="1:14">
      <c r="A251" s="192"/>
      <c r="B251" s="182" t="s">
        <v>28</v>
      </c>
      <c r="C251" s="49" t="s">
        <v>16</v>
      </c>
      <c r="D251" s="22">
        <f>11439.1+6863.46</f>
        <v>18302.560000000001</v>
      </c>
      <c r="E251" s="22">
        <v>589808.27</v>
      </c>
      <c r="F251" s="22">
        <f t="shared" si="87"/>
        <v>608110.83000000007</v>
      </c>
      <c r="G251" s="22">
        <v>0</v>
      </c>
      <c r="H251" s="22">
        <v>0</v>
      </c>
      <c r="I251" s="22">
        <v>0</v>
      </c>
      <c r="J251" s="22">
        <v>0</v>
      </c>
      <c r="K251" s="22">
        <f t="shared" ref="K251:K261" si="88">J251+I251+H251+G251+E251+D251</f>
        <v>608110.83000000007</v>
      </c>
      <c r="L251" s="22">
        <f>103665.57-12431.57</f>
        <v>91234</v>
      </c>
      <c r="N251" s="121"/>
    </row>
    <row r="252" spans="1:14">
      <c r="A252" s="192"/>
      <c r="B252" s="183"/>
      <c r="C252" s="49" t="s">
        <v>17</v>
      </c>
      <c r="D252" s="22">
        <v>22414.9</v>
      </c>
      <c r="E252" s="22">
        <v>643515.18000000005</v>
      </c>
      <c r="F252" s="22">
        <f t="shared" si="87"/>
        <v>665930.08000000007</v>
      </c>
      <c r="G252" s="22">
        <v>0</v>
      </c>
      <c r="H252" s="22">
        <v>0</v>
      </c>
      <c r="I252" s="22">
        <v>0</v>
      </c>
      <c r="J252" s="22">
        <v>0</v>
      </c>
      <c r="K252" s="22">
        <f t="shared" si="88"/>
        <v>665930.08000000007</v>
      </c>
      <c r="L252" s="22">
        <v>91234</v>
      </c>
      <c r="N252" s="24"/>
    </row>
    <row r="253" spans="1:14">
      <c r="A253" s="192"/>
      <c r="B253" s="183"/>
      <c r="C253" s="107" t="s">
        <v>18</v>
      </c>
      <c r="D253" s="22">
        <v>16954.59</v>
      </c>
      <c r="E253" s="22">
        <v>589705.64</v>
      </c>
      <c r="F253" s="22">
        <f t="shared" si="87"/>
        <v>606660.23</v>
      </c>
      <c r="G253" s="22">
        <v>0</v>
      </c>
      <c r="H253" s="22">
        <v>0</v>
      </c>
      <c r="I253" s="22">
        <v>0</v>
      </c>
      <c r="J253" s="22">
        <v>0</v>
      </c>
      <c r="K253" s="22">
        <f t="shared" si="88"/>
        <v>606660.23</v>
      </c>
      <c r="L253" s="22">
        <v>91234</v>
      </c>
      <c r="N253" s="24"/>
    </row>
    <row r="254" spans="1:14">
      <c r="A254" s="192"/>
      <c r="B254" s="182" t="s">
        <v>29</v>
      </c>
      <c r="C254" s="49" t="s">
        <v>16</v>
      </c>
      <c r="D254" s="22">
        <f>11439.1+6863.46</f>
        <v>18302.560000000001</v>
      </c>
      <c r="E254" s="22">
        <v>589808.27</v>
      </c>
      <c r="F254" s="22">
        <f t="shared" si="87"/>
        <v>608110.83000000007</v>
      </c>
      <c r="G254" s="22">
        <v>0</v>
      </c>
      <c r="H254" s="22">
        <v>0</v>
      </c>
      <c r="I254" s="22">
        <v>0</v>
      </c>
      <c r="J254" s="22">
        <v>0</v>
      </c>
      <c r="K254" s="22">
        <f t="shared" si="88"/>
        <v>608110.83000000007</v>
      </c>
      <c r="L254" s="22">
        <f>104418.28-12249.28</f>
        <v>92169</v>
      </c>
      <c r="N254" s="24"/>
    </row>
    <row r="255" spans="1:14">
      <c r="A255" s="192"/>
      <c r="B255" s="183"/>
      <c r="C255" s="49" t="s">
        <v>17</v>
      </c>
      <c r="D255" s="22">
        <v>34368.83</v>
      </c>
      <c r="E255" s="22">
        <v>657150.84</v>
      </c>
      <c r="F255" s="22">
        <f t="shared" si="87"/>
        <v>691519.66999999993</v>
      </c>
      <c r="G255" s="122">
        <v>0</v>
      </c>
      <c r="H255" s="22">
        <v>0</v>
      </c>
      <c r="I255" s="22">
        <v>0</v>
      </c>
      <c r="J255" s="22">
        <v>0</v>
      </c>
      <c r="K255" s="22">
        <f t="shared" si="88"/>
        <v>691519.66999999993</v>
      </c>
      <c r="L255" s="85">
        <v>92169</v>
      </c>
      <c r="N255" s="24"/>
    </row>
    <row r="256" spans="1:14">
      <c r="A256" s="192"/>
      <c r="B256" s="183"/>
      <c r="C256" s="107" t="s">
        <v>18</v>
      </c>
      <c r="D256" s="22">
        <v>18228.66</v>
      </c>
      <c r="E256" s="22">
        <v>589705.64</v>
      </c>
      <c r="F256" s="22">
        <f t="shared" si="87"/>
        <v>607934.30000000005</v>
      </c>
      <c r="G256" s="22">
        <v>0</v>
      </c>
      <c r="H256" s="22">
        <v>0</v>
      </c>
      <c r="I256" s="22">
        <v>0</v>
      </c>
      <c r="J256" s="22">
        <v>0</v>
      </c>
      <c r="K256" s="22">
        <f t="shared" si="88"/>
        <v>607934.30000000005</v>
      </c>
      <c r="L256" s="22">
        <v>92169</v>
      </c>
      <c r="N256" s="24"/>
    </row>
    <row r="257" spans="1:14">
      <c r="A257" s="192"/>
      <c r="B257" s="179" t="s">
        <v>30</v>
      </c>
      <c r="C257" s="108" t="s">
        <v>16</v>
      </c>
      <c r="D257" s="22">
        <f>11439.1+6863.46-113.16-60</f>
        <v>18129.400000000001</v>
      </c>
      <c r="E257" s="22">
        <f>589808.27-14.64-0.01</f>
        <v>589793.62</v>
      </c>
      <c r="F257" s="22">
        <f t="shared" si="87"/>
        <v>607923.02</v>
      </c>
      <c r="G257" s="27">
        <v>0</v>
      </c>
      <c r="H257" s="27">
        <v>0</v>
      </c>
      <c r="I257" s="27">
        <v>0</v>
      </c>
      <c r="J257" s="27">
        <v>0</v>
      </c>
      <c r="K257" s="27">
        <f t="shared" si="88"/>
        <v>607923.02</v>
      </c>
      <c r="L257" s="27">
        <f>91498</f>
        <v>91498</v>
      </c>
      <c r="N257" s="24"/>
    </row>
    <row r="258" spans="1:14">
      <c r="A258" s="192"/>
      <c r="B258" s="178"/>
      <c r="C258" s="108" t="s">
        <v>17</v>
      </c>
      <c r="D258" s="27">
        <v>32875.870000000003</v>
      </c>
      <c r="E258" s="27">
        <v>632665.30000000005</v>
      </c>
      <c r="F258" s="27">
        <f>SUM(D258:E258)</f>
        <v>665541.17000000004</v>
      </c>
      <c r="G258" s="27">
        <v>0</v>
      </c>
      <c r="H258" s="27">
        <v>0</v>
      </c>
      <c r="I258" s="27">
        <v>0</v>
      </c>
      <c r="J258" s="27">
        <v>0</v>
      </c>
      <c r="K258" s="27">
        <f t="shared" si="88"/>
        <v>665541.17000000004</v>
      </c>
      <c r="L258" s="27">
        <f>91498</f>
        <v>91498</v>
      </c>
      <c r="N258" s="24"/>
    </row>
    <row r="259" spans="1:14">
      <c r="A259" s="192"/>
      <c r="B259" s="178"/>
      <c r="C259" s="107" t="s">
        <v>18</v>
      </c>
      <c r="D259" s="27">
        <v>18197.169999999998</v>
      </c>
      <c r="E259" s="27">
        <v>589705.64</v>
      </c>
      <c r="F259" s="27">
        <f>SUM(D259:E259)</f>
        <v>607902.81000000006</v>
      </c>
      <c r="G259" s="27">
        <v>0</v>
      </c>
      <c r="H259" s="27">
        <v>0</v>
      </c>
      <c r="I259" s="27">
        <v>0</v>
      </c>
      <c r="J259" s="27">
        <v>0</v>
      </c>
      <c r="K259" s="27">
        <f t="shared" si="88"/>
        <v>607902.81000000006</v>
      </c>
      <c r="L259" s="27">
        <f>91498</f>
        <v>91498</v>
      </c>
      <c r="N259" s="24"/>
    </row>
    <row r="260" spans="1:14">
      <c r="A260" s="192"/>
      <c r="B260" s="184" t="s">
        <v>31</v>
      </c>
      <c r="C260" s="49" t="s">
        <v>16</v>
      </c>
      <c r="D260" s="22">
        <f t="shared" ref="D260:J260" si="89">D257+D254+D251</f>
        <v>54734.520000000004</v>
      </c>
      <c r="E260" s="22">
        <f t="shared" si="89"/>
        <v>1769410.1600000001</v>
      </c>
      <c r="F260" s="22">
        <f t="shared" si="89"/>
        <v>1824144.6800000002</v>
      </c>
      <c r="G260" s="22">
        <f t="shared" si="89"/>
        <v>0</v>
      </c>
      <c r="H260" s="22">
        <f t="shared" si="89"/>
        <v>0</v>
      </c>
      <c r="I260" s="22">
        <f t="shared" si="89"/>
        <v>0</v>
      </c>
      <c r="J260" s="22">
        <f t="shared" si="89"/>
        <v>0</v>
      </c>
      <c r="K260" s="22">
        <f t="shared" si="88"/>
        <v>1824144.6800000002</v>
      </c>
      <c r="L260" s="22">
        <f>L257+L254+L251</f>
        <v>274901</v>
      </c>
      <c r="N260" s="24"/>
    </row>
    <row r="261" spans="1:14">
      <c r="A261" s="192"/>
      <c r="B261" s="184"/>
      <c r="C261" s="49" t="s">
        <v>17</v>
      </c>
      <c r="D261" s="22">
        <f>D258+D255+D252</f>
        <v>89659.6</v>
      </c>
      <c r="E261" s="22">
        <f>E258+E255+E252</f>
        <v>1933331.3200000003</v>
      </c>
      <c r="F261" s="22">
        <f>D261+E261</f>
        <v>2022990.9200000004</v>
      </c>
      <c r="G261" s="22">
        <f>G258+G255+G252</f>
        <v>0</v>
      </c>
      <c r="H261" s="22">
        <v>0</v>
      </c>
      <c r="I261" s="22">
        <f>I258+I255+I252</f>
        <v>0</v>
      </c>
      <c r="J261" s="22">
        <f>J258+J255+J252</f>
        <v>0</v>
      </c>
      <c r="K261" s="22">
        <f t="shared" si="88"/>
        <v>2022990.9200000004</v>
      </c>
      <c r="L261" s="22">
        <f>L258+L255+L252</f>
        <v>274901</v>
      </c>
      <c r="N261" s="24"/>
    </row>
    <row r="262" spans="1:14">
      <c r="A262" s="192"/>
      <c r="B262" s="184"/>
      <c r="C262" s="107" t="s">
        <v>18</v>
      </c>
      <c r="D262" s="22">
        <f>D259+D256+D253</f>
        <v>53380.42</v>
      </c>
      <c r="E262" s="22">
        <f>E259+E256+E253</f>
        <v>1769116.92</v>
      </c>
      <c r="F262" s="22">
        <f>F259+F256+F253</f>
        <v>1822497.34</v>
      </c>
      <c r="G262" s="22">
        <f>G259+G256+G253</f>
        <v>0</v>
      </c>
      <c r="H262" s="22">
        <f>H259+H256+H253</f>
        <v>0</v>
      </c>
      <c r="I262" s="22">
        <f>I259+I256+I253</f>
        <v>0</v>
      </c>
      <c r="J262" s="22">
        <f>J259+J256+J253</f>
        <v>0</v>
      </c>
      <c r="K262" s="22">
        <f>K259+K256+K253</f>
        <v>1822497.34</v>
      </c>
      <c r="L262" s="22">
        <f>L259+L256+L253</f>
        <v>274901</v>
      </c>
      <c r="N262" s="24"/>
    </row>
    <row r="263" spans="1:14">
      <c r="A263" s="192"/>
      <c r="B263" s="180" t="s">
        <v>32</v>
      </c>
      <c r="C263" s="50" t="s">
        <v>16</v>
      </c>
      <c r="D263" s="51">
        <f>D245+D260</f>
        <v>109642.20000000001</v>
      </c>
      <c r="E263" s="51">
        <f>E245+E260</f>
        <v>3538820.3200000003</v>
      </c>
      <c r="F263" s="51">
        <f t="shared" ref="F263:F269" si="90">D263+E263</f>
        <v>3648462.5200000005</v>
      </c>
      <c r="G263" s="51">
        <f>G245+G260</f>
        <v>0</v>
      </c>
      <c r="H263" s="51">
        <f>H245+H260</f>
        <v>0</v>
      </c>
      <c r="I263" s="51">
        <f>I245+I260</f>
        <v>0</v>
      </c>
      <c r="J263" s="51">
        <f>J245+J260</f>
        <v>0</v>
      </c>
      <c r="K263" s="51">
        <f>J263+I263+H263+G263+E263+D263</f>
        <v>3648462.5200000005</v>
      </c>
      <c r="L263" s="51">
        <f>L245+L260-858</f>
        <v>547899</v>
      </c>
      <c r="M263" s="52"/>
      <c r="N263" s="53"/>
    </row>
    <row r="264" spans="1:14">
      <c r="A264" s="192"/>
      <c r="B264" s="181"/>
      <c r="C264" s="49" t="s">
        <v>17</v>
      </c>
      <c r="D264" s="22">
        <f>D246+D261</f>
        <v>175153.51</v>
      </c>
      <c r="E264" s="22">
        <f>E246+E261</f>
        <v>3834259.62</v>
      </c>
      <c r="F264" s="22">
        <f t="shared" si="90"/>
        <v>4009413.13</v>
      </c>
      <c r="G264" s="22">
        <f t="shared" ref="G264:J265" si="91">G261+G246</f>
        <v>0</v>
      </c>
      <c r="H264" s="22">
        <f t="shared" si="91"/>
        <v>0</v>
      </c>
      <c r="I264" s="22">
        <f t="shared" si="91"/>
        <v>0</v>
      </c>
      <c r="J264" s="22">
        <f t="shared" si="91"/>
        <v>0</v>
      </c>
      <c r="K264" s="22">
        <f>J264+I264+H264+G264+E264+D264</f>
        <v>4009413.13</v>
      </c>
      <c r="L264" s="22">
        <f>L248+L261</f>
        <v>548757</v>
      </c>
      <c r="N264" s="24"/>
    </row>
    <row r="265" spans="1:14">
      <c r="A265" s="192"/>
      <c r="B265" s="181"/>
      <c r="C265" s="107" t="s">
        <v>18</v>
      </c>
      <c r="D265" s="22">
        <f>D250+D262</f>
        <v>107157.69</v>
      </c>
      <c r="E265" s="22">
        <f>E250+E262</f>
        <v>3538527.08</v>
      </c>
      <c r="F265" s="22">
        <f t="shared" si="90"/>
        <v>3645684.77</v>
      </c>
      <c r="G265" s="22">
        <f t="shared" si="91"/>
        <v>0</v>
      </c>
      <c r="H265" s="22">
        <f t="shared" si="91"/>
        <v>0</v>
      </c>
      <c r="I265" s="22">
        <f t="shared" si="91"/>
        <v>0</v>
      </c>
      <c r="J265" s="22">
        <f t="shared" si="91"/>
        <v>0</v>
      </c>
      <c r="K265" s="22">
        <f>J265+I265+H265+G265+E265+D265</f>
        <v>3645684.77</v>
      </c>
      <c r="L265" s="22">
        <f>L262+L250</f>
        <v>548757</v>
      </c>
      <c r="N265" s="24"/>
    </row>
    <row r="266" spans="1:14">
      <c r="A266" s="192"/>
      <c r="B266" s="178"/>
      <c r="C266" s="79" t="s">
        <v>54</v>
      </c>
      <c r="D266" s="51">
        <v>175153.52</v>
      </c>
      <c r="E266" s="51">
        <v>3834259.62</v>
      </c>
      <c r="F266" s="51">
        <f t="shared" si="90"/>
        <v>4009413.14</v>
      </c>
      <c r="G266" s="51">
        <v>0</v>
      </c>
      <c r="H266" s="51">
        <v>0</v>
      </c>
      <c r="I266" s="51"/>
      <c r="J266" s="51"/>
      <c r="K266" s="51">
        <f>F266</f>
        <v>4009413.14</v>
      </c>
      <c r="L266" s="51">
        <v>547899</v>
      </c>
      <c r="M266" s="52"/>
      <c r="N266" s="53"/>
    </row>
    <row r="267" spans="1:14">
      <c r="A267" s="192"/>
      <c r="B267" s="178"/>
      <c r="C267" s="79" t="s">
        <v>48</v>
      </c>
      <c r="D267" s="51">
        <v>2484.5100000000002</v>
      </c>
      <c r="E267" s="51">
        <v>293.24</v>
      </c>
      <c r="F267" s="51">
        <f t="shared" si="90"/>
        <v>2777.75</v>
      </c>
      <c r="G267" s="51">
        <v>0</v>
      </c>
      <c r="H267" s="51">
        <v>0</v>
      </c>
      <c r="I267" s="51"/>
      <c r="J267" s="51"/>
      <c r="K267" s="51">
        <f>F267</f>
        <v>2777.75</v>
      </c>
      <c r="L267" s="51">
        <v>-858</v>
      </c>
      <c r="M267" s="52"/>
      <c r="N267" s="53"/>
    </row>
    <row r="268" spans="1:14">
      <c r="A268" s="192"/>
      <c r="B268" s="178"/>
      <c r="C268" s="79" t="s">
        <v>26</v>
      </c>
      <c r="D268" s="51">
        <f>D265+D267</f>
        <v>109642.2</v>
      </c>
      <c r="E268" s="51">
        <f>E265+E267</f>
        <v>3538820.3200000003</v>
      </c>
      <c r="F268" s="51">
        <f t="shared" si="90"/>
        <v>3648462.5200000005</v>
      </c>
      <c r="G268" s="51">
        <f>G265+G267</f>
        <v>0</v>
      </c>
      <c r="H268" s="51">
        <f>H265+H267</f>
        <v>0</v>
      </c>
      <c r="I268" s="51">
        <f>I265+I267</f>
        <v>0</v>
      </c>
      <c r="J268" s="51">
        <f>J265+J267</f>
        <v>0</v>
      </c>
      <c r="K268" s="51">
        <f>F268</f>
        <v>3648462.5200000005</v>
      </c>
      <c r="L268" s="51">
        <f>L265+L267</f>
        <v>547899</v>
      </c>
      <c r="M268" s="52"/>
      <c r="N268" s="53"/>
    </row>
    <row r="269" spans="1:14">
      <c r="A269" s="192"/>
      <c r="B269" s="197"/>
      <c r="C269" s="149" t="s">
        <v>19</v>
      </c>
      <c r="D269" s="51">
        <f>D263-D268</f>
        <v>0</v>
      </c>
      <c r="E269" s="51">
        <f>E263-E268</f>
        <v>0</v>
      </c>
      <c r="F269" s="51">
        <f t="shared" si="90"/>
        <v>0</v>
      </c>
      <c r="G269" s="51">
        <f>E269+F269</f>
        <v>0</v>
      </c>
      <c r="H269" s="51">
        <f>F269+G269</f>
        <v>0</v>
      </c>
      <c r="I269" s="51">
        <f>G269+H269</f>
        <v>0</v>
      </c>
      <c r="J269" s="51">
        <f>H269+I269</f>
        <v>0</v>
      </c>
      <c r="K269" s="51">
        <f>I269+J269</f>
        <v>0</v>
      </c>
      <c r="L269" s="51">
        <f>L263-L268</f>
        <v>0</v>
      </c>
      <c r="M269" s="52"/>
      <c r="N269" s="53"/>
    </row>
    <row r="270" spans="1:14">
      <c r="A270" s="192"/>
      <c r="B270" s="171" t="s">
        <v>33</v>
      </c>
      <c r="C270" s="20" t="s">
        <v>16</v>
      </c>
      <c r="D270" s="21">
        <v>38519.279999999999</v>
      </c>
      <c r="E270" s="21">
        <v>589848.5</v>
      </c>
      <c r="F270" s="21">
        <f t="shared" ref="F270:F278" si="92">SUM(D270:E270)</f>
        <v>628367.78</v>
      </c>
      <c r="G270" s="21">
        <v>0</v>
      </c>
      <c r="H270" s="49">
        <v>0</v>
      </c>
      <c r="I270" s="49">
        <v>0</v>
      </c>
      <c r="J270" s="49">
        <v>0</v>
      </c>
      <c r="K270" s="21">
        <f>D270+E270+G270+H270+I270+J270</f>
        <v>628367.78</v>
      </c>
      <c r="L270" s="23">
        <v>92312</v>
      </c>
      <c r="N270" s="24"/>
    </row>
    <row r="271" spans="1:14">
      <c r="A271" s="192"/>
      <c r="B271" s="172"/>
      <c r="C271" s="20" t="s">
        <v>17</v>
      </c>
      <c r="D271" s="21">
        <v>47836.76</v>
      </c>
      <c r="E271" s="21">
        <v>653236.65</v>
      </c>
      <c r="F271" s="21">
        <f t="shared" si="92"/>
        <v>701073.41</v>
      </c>
      <c r="G271" s="21">
        <v>0</v>
      </c>
      <c r="H271" s="49">
        <v>0</v>
      </c>
      <c r="I271" s="49">
        <v>0</v>
      </c>
      <c r="J271" s="49">
        <v>0</v>
      </c>
      <c r="K271" s="21">
        <f>D271+E271+G271+H271+I271+J271</f>
        <v>701073.41</v>
      </c>
      <c r="L271" s="23">
        <v>92312</v>
      </c>
      <c r="N271" s="24"/>
    </row>
    <row r="272" spans="1:14">
      <c r="A272" s="192"/>
      <c r="B272" s="172"/>
      <c r="C272" s="20" t="s">
        <v>18</v>
      </c>
      <c r="D272" s="21">
        <v>37260.959999999999</v>
      </c>
      <c r="E272" s="21">
        <v>589745.86</v>
      </c>
      <c r="F272" s="21">
        <f t="shared" si="92"/>
        <v>627006.81999999995</v>
      </c>
      <c r="G272" s="21">
        <v>0</v>
      </c>
      <c r="H272" s="49">
        <v>0</v>
      </c>
      <c r="I272" s="49">
        <v>0</v>
      </c>
      <c r="J272" s="49">
        <v>0</v>
      </c>
      <c r="K272" s="21">
        <f>D272+E272+G272+H272+I272+J272</f>
        <v>627006.81999999995</v>
      </c>
      <c r="L272" s="23">
        <v>92312</v>
      </c>
      <c r="N272" s="24"/>
    </row>
    <row r="273" spans="1:14">
      <c r="A273" s="192"/>
      <c r="B273" s="171" t="s">
        <v>34</v>
      </c>
      <c r="C273" s="20" t="s">
        <v>16</v>
      </c>
      <c r="D273" s="21">
        <v>62593.83</v>
      </c>
      <c r="E273" s="21">
        <v>589848.5</v>
      </c>
      <c r="F273" s="21">
        <f t="shared" si="92"/>
        <v>652442.32999999996</v>
      </c>
      <c r="G273" s="21">
        <v>0</v>
      </c>
      <c r="H273" s="49">
        <v>0</v>
      </c>
      <c r="I273" s="49">
        <v>0</v>
      </c>
      <c r="J273" s="49">
        <v>0</v>
      </c>
      <c r="K273" s="21">
        <f t="shared" ref="K273:K278" si="93">J273+I273+H273+G273+E273+D273</f>
        <v>652442.32999999996</v>
      </c>
      <c r="L273" s="23">
        <v>94336</v>
      </c>
      <c r="N273" s="24"/>
    </row>
    <row r="274" spans="1:14">
      <c r="A274" s="192"/>
      <c r="B274" s="172"/>
      <c r="C274" s="20" t="s">
        <v>17</v>
      </c>
      <c r="D274" s="21">
        <v>55624.99</v>
      </c>
      <c r="E274" s="21">
        <v>640773.1</v>
      </c>
      <c r="F274" s="21">
        <f t="shared" si="92"/>
        <v>696398.09</v>
      </c>
      <c r="G274" s="21">
        <v>0</v>
      </c>
      <c r="H274" s="49">
        <v>0</v>
      </c>
      <c r="I274" s="49">
        <v>0</v>
      </c>
      <c r="J274" s="49">
        <v>0</v>
      </c>
      <c r="K274" s="21">
        <f t="shared" si="93"/>
        <v>696398.09</v>
      </c>
      <c r="L274" s="23">
        <v>94336</v>
      </c>
      <c r="N274" s="24"/>
    </row>
    <row r="275" spans="1:14">
      <c r="A275" s="192"/>
      <c r="B275" s="172"/>
      <c r="C275" s="20" t="s">
        <v>18</v>
      </c>
      <c r="D275" s="21">
        <v>55624.99</v>
      </c>
      <c r="E275" s="21">
        <v>589745.86</v>
      </c>
      <c r="F275" s="21">
        <f t="shared" si="92"/>
        <v>645370.85</v>
      </c>
      <c r="G275" s="21">
        <v>0</v>
      </c>
      <c r="H275" s="49">
        <v>0</v>
      </c>
      <c r="I275" s="49">
        <v>0</v>
      </c>
      <c r="J275" s="49">
        <v>0</v>
      </c>
      <c r="K275" s="21">
        <f t="shared" si="93"/>
        <v>645370.85</v>
      </c>
      <c r="L275" s="23">
        <v>94336</v>
      </c>
      <c r="N275" s="24"/>
    </row>
    <row r="276" spans="1:14">
      <c r="A276" s="192"/>
      <c r="B276" s="171" t="s">
        <v>35</v>
      </c>
      <c r="C276" s="20" t="s">
        <v>16</v>
      </c>
      <c r="D276" s="21">
        <f>38519.28+24074.55-287.47</f>
        <v>62306.36</v>
      </c>
      <c r="E276" s="21">
        <f>589848.5-14.66</f>
        <v>589833.84</v>
      </c>
      <c r="F276" s="21">
        <f t="shared" si="92"/>
        <v>652140.19999999995</v>
      </c>
      <c r="G276" s="21">
        <v>0</v>
      </c>
      <c r="H276" s="49">
        <v>0</v>
      </c>
      <c r="I276" s="49">
        <v>0</v>
      </c>
      <c r="J276" s="49">
        <v>0</v>
      </c>
      <c r="K276" s="21">
        <f t="shared" si="93"/>
        <v>652140.19999999995</v>
      </c>
      <c r="L276" s="23">
        <f>123615.1-29653.1+44</f>
        <v>94006</v>
      </c>
      <c r="N276" s="24"/>
    </row>
    <row r="277" spans="1:14">
      <c r="A277" s="192"/>
      <c r="B277" s="172"/>
      <c r="C277" s="20" t="s">
        <v>17</v>
      </c>
      <c r="D277" s="21">
        <v>59957.72</v>
      </c>
      <c r="E277" s="21">
        <v>630655.63</v>
      </c>
      <c r="F277" s="21">
        <f t="shared" si="92"/>
        <v>690613.35</v>
      </c>
      <c r="G277" s="21">
        <v>0</v>
      </c>
      <c r="H277" s="49">
        <v>0</v>
      </c>
      <c r="I277" s="49">
        <v>0</v>
      </c>
      <c r="J277" s="49">
        <v>0</v>
      </c>
      <c r="K277" s="21">
        <f t="shared" si="93"/>
        <v>690613.35</v>
      </c>
      <c r="L277" s="23">
        <v>93962</v>
      </c>
      <c r="N277" s="24"/>
    </row>
    <row r="278" spans="1:14">
      <c r="A278" s="192"/>
      <c r="B278" s="172"/>
      <c r="C278" s="20" t="s">
        <v>18</v>
      </c>
      <c r="D278" s="21">
        <v>59957.72</v>
      </c>
      <c r="E278" s="21">
        <v>589745.86</v>
      </c>
      <c r="F278" s="21">
        <f t="shared" si="92"/>
        <v>649703.57999999996</v>
      </c>
      <c r="G278" s="21">
        <v>0</v>
      </c>
      <c r="H278" s="49">
        <v>0</v>
      </c>
      <c r="I278" s="49">
        <v>0</v>
      </c>
      <c r="J278" s="49">
        <v>0</v>
      </c>
      <c r="K278" s="21">
        <f t="shared" si="93"/>
        <v>649703.57999999996</v>
      </c>
      <c r="L278" s="23">
        <v>93962</v>
      </c>
      <c r="N278" s="24"/>
    </row>
    <row r="279" spans="1:14">
      <c r="A279" s="192"/>
      <c r="B279" s="171" t="s">
        <v>36</v>
      </c>
      <c r="C279" s="50" t="s">
        <v>16</v>
      </c>
      <c r="D279" s="51">
        <f t="shared" ref="D279:L281" si="94">D270+D273+D276</f>
        <v>163419.47</v>
      </c>
      <c r="E279" s="51">
        <f t="shared" si="94"/>
        <v>1769530.8399999999</v>
      </c>
      <c r="F279" s="51">
        <f t="shared" si="94"/>
        <v>1932950.3099999998</v>
      </c>
      <c r="G279" s="51">
        <f t="shared" si="94"/>
        <v>0</v>
      </c>
      <c r="H279" s="51">
        <f t="shared" si="94"/>
        <v>0</v>
      </c>
      <c r="I279" s="51">
        <f t="shared" si="94"/>
        <v>0</v>
      </c>
      <c r="J279" s="51">
        <f t="shared" si="94"/>
        <v>0</v>
      </c>
      <c r="K279" s="51">
        <f t="shared" si="94"/>
        <v>1932950.3099999998</v>
      </c>
      <c r="L279" s="51">
        <f t="shared" si="94"/>
        <v>280654</v>
      </c>
      <c r="M279" s="52"/>
      <c r="N279" s="53"/>
    </row>
    <row r="280" spans="1:14">
      <c r="A280" s="192"/>
      <c r="B280" s="172"/>
      <c r="C280" s="50" t="s">
        <v>17</v>
      </c>
      <c r="D280" s="51">
        <f t="shared" si="94"/>
        <v>163419.47</v>
      </c>
      <c r="E280" s="51">
        <f t="shared" si="94"/>
        <v>1924665.38</v>
      </c>
      <c r="F280" s="51">
        <f t="shared" si="94"/>
        <v>2088084.85</v>
      </c>
      <c r="G280" s="51">
        <f t="shared" si="94"/>
        <v>0</v>
      </c>
      <c r="H280" s="51">
        <f t="shared" si="94"/>
        <v>0</v>
      </c>
      <c r="I280" s="51">
        <f t="shared" si="94"/>
        <v>0</v>
      </c>
      <c r="J280" s="51">
        <f t="shared" si="94"/>
        <v>0</v>
      </c>
      <c r="K280" s="51">
        <f t="shared" si="94"/>
        <v>2088084.85</v>
      </c>
      <c r="L280" s="51">
        <f t="shared" si="94"/>
        <v>280610</v>
      </c>
      <c r="M280" s="52"/>
      <c r="N280" s="53"/>
    </row>
    <row r="281" spans="1:14">
      <c r="A281" s="192"/>
      <c r="B281" s="172"/>
      <c r="C281" s="50" t="s">
        <v>18</v>
      </c>
      <c r="D281" s="51">
        <f t="shared" si="94"/>
        <v>152843.66999999998</v>
      </c>
      <c r="E281" s="51">
        <f t="shared" si="94"/>
        <v>1769237.58</v>
      </c>
      <c r="F281" s="51">
        <f t="shared" si="94"/>
        <v>1922081.25</v>
      </c>
      <c r="G281" s="51">
        <f t="shared" si="94"/>
        <v>0</v>
      </c>
      <c r="H281" s="51">
        <f t="shared" si="94"/>
        <v>0</v>
      </c>
      <c r="I281" s="51">
        <f t="shared" si="94"/>
        <v>0</v>
      </c>
      <c r="J281" s="51">
        <f t="shared" si="94"/>
        <v>0</v>
      </c>
      <c r="K281" s="51">
        <f t="shared" si="94"/>
        <v>1922081.25</v>
      </c>
      <c r="L281" s="51">
        <f t="shared" si="94"/>
        <v>280610</v>
      </c>
      <c r="M281" s="52"/>
      <c r="N281" s="53"/>
    </row>
    <row r="282" spans="1:14">
      <c r="A282" s="192"/>
      <c r="B282" s="172"/>
      <c r="C282" s="20" t="s">
        <v>37</v>
      </c>
      <c r="D282" s="21">
        <f t="shared" ref="D282:L282" si="95">D272+D275+D278</f>
        <v>152843.66999999998</v>
      </c>
      <c r="E282" s="21">
        <f t="shared" si="95"/>
        <v>1769237.58</v>
      </c>
      <c r="F282" s="21">
        <f t="shared" si="95"/>
        <v>1922081.25</v>
      </c>
      <c r="G282" s="21">
        <f t="shared" si="95"/>
        <v>0</v>
      </c>
      <c r="H282" s="21">
        <f t="shared" si="95"/>
        <v>0</v>
      </c>
      <c r="I282" s="21">
        <f t="shared" si="95"/>
        <v>0</v>
      </c>
      <c r="J282" s="21">
        <f t="shared" si="95"/>
        <v>0</v>
      </c>
      <c r="K282" s="21">
        <f t="shared" si="95"/>
        <v>1922081.25</v>
      </c>
      <c r="L282" s="21">
        <f t="shared" si="95"/>
        <v>280610</v>
      </c>
      <c r="N282" s="24"/>
    </row>
    <row r="283" spans="1:14">
      <c r="A283" s="192"/>
      <c r="B283" s="173"/>
      <c r="C283" s="147" t="s">
        <v>54</v>
      </c>
      <c r="D283" s="51">
        <v>163419.47</v>
      </c>
      <c r="E283" s="51">
        <v>1924665.38</v>
      </c>
      <c r="F283" s="51">
        <f>D283+E283</f>
        <v>2088084.8499999999</v>
      </c>
      <c r="G283" s="51">
        <v>0</v>
      </c>
      <c r="H283" s="51"/>
      <c r="I283" s="51"/>
      <c r="J283" s="51"/>
      <c r="K283" s="51">
        <f>F283+G283</f>
        <v>2088084.8499999999</v>
      </c>
      <c r="L283" s="51">
        <v>280654</v>
      </c>
      <c r="M283" s="52"/>
      <c r="N283" s="53"/>
    </row>
    <row r="284" spans="1:14">
      <c r="A284" s="192"/>
      <c r="B284" s="173"/>
      <c r="C284" s="79" t="s">
        <v>48</v>
      </c>
      <c r="D284" s="51">
        <v>10575.8</v>
      </c>
      <c r="E284" s="51">
        <v>293.26</v>
      </c>
      <c r="F284" s="51">
        <f>D284+E284</f>
        <v>10869.06</v>
      </c>
      <c r="G284" s="51">
        <v>0</v>
      </c>
      <c r="H284" s="51"/>
      <c r="I284" s="51"/>
      <c r="J284" s="51"/>
      <c r="K284" s="51">
        <f>F284+G284</f>
        <v>10869.06</v>
      </c>
      <c r="L284" s="51">
        <v>44</v>
      </c>
      <c r="M284" s="52"/>
      <c r="N284" s="53"/>
    </row>
    <row r="285" spans="1:14">
      <c r="A285" s="192"/>
      <c r="B285" s="173"/>
      <c r="C285" s="79" t="s">
        <v>26</v>
      </c>
      <c r="D285" s="51">
        <f t="shared" ref="D285:L285" si="96">D282+D284</f>
        <v>163419.46999999997</v>
      </c>
      <c r="E285" s="51">
        <f t="shared" si="96"/>
        <v>1769530.84</v>
      </c>
      <c r="F285" s="51">
        <f t="shared" si="96"/>
        <v>1932950.31</v>
      </c>
      <c r="G285" s="51">
        <f t="shared" si="96"/>
        <v>0</v>
      </c>
      <c r="H285" s="51">
        <f t="shared" si="96"/>
        <v>0</v>
      </c>
      <c r="I285" s="51">
        <f t="shared" si="96"/>
        <v>0</v>
      </c>
      <c r="J285" s="51">
        <f t="shared" si="96"/>
        <v>0</v>
      </c>
      <c r="K285" s="51">
        <f t="shared" si="96"/>
        <v>1932950.31</v>
      </c>
      <c r="L285" s="51">
        <f t="shared" si="96"/>
        <v>280654</v>
      </c>
      <c r="M285" s="52"/>
      <c r="N285" s="53"/>
    </row>
    <row r="286" spans="1:14">
      <c r="A286" s="192"/>
      <c r="B286" s="171" t="s">
        <v>38</v>
      </c>
      <c r="C286" s="20" t="s">
        <v>16</v>
      </c>
      <c r="D286" s="21">
        <f>38519.28+24074.55</f>
        <v>62593.83</v>
      </c>
      <c r="E286" s="21">
        <v>589848.5</v>
      </c>
      <c r="F286" s="21">
        <f t="shared" ref="F286:F291" si="97">SUM(D286:E286)</f>
        <v>652442.32999999996</v>
      </c>
      <c r="G286" s="21">
        <v>0</v>
      </c>
      <c r="H286" s="49">
        <v>0</v>
      </c>
      <c r="I286" s="49">
        <v>0</v>
      </c>
      <c r="J286" s="49">
        <v>0</v>
      </c>
      <c r="K286" s="21">
        <f t="shared" ref="K286:K291" si="98">D286+E286+G286+H286+I286+J286</f>
        <v>652442.32999999996</v>
      </c>
      <c r="L286" s="23">
        <v>94479</v>
      </c>
      <c r="N286" s="24"/>
    </row>
    <row r="287" spans="1:14">
      <c r="A287" s="192"/>
      <c r="B287" s="172"/>
      <c r="C287" s="20" t="s">
        <v>17</v>
      </c>
      <c r="D287" s="21">
        <v>64227.47</v>
      </c>
      <c r="E287" s="21">
        <v>617752.18999999994</v>
      </c>
      <c r="F287" s="21">
        <f t="shared" si="97"/>
        <v>681979.65999999992</v>
      </c>
      <c r="G287" s="21">
        <v>0</v>
      </c>
      <c r="H287" s="49">
        <v>0</v>
      </c>
      <c r="I287" s="49">
        <v>0</v>
      </c>
      <c r="J287" s="49">
        <v>0</v>
      </c>
      <c r="K287" s="21">
        <f t="shared" si="98"/>
        <v>681979.65999999992</v>
      </c>
      <c r="L287" s="23">
        <v>94479</v>
      </c>
      <c r="N287" s="24"/>
    </row>
    <row r="288" spans="1:14">
      <c r="A288" s="192"/>
      <c r="B288" s="172"/>
      <c r="C288" s="20" t="s">
        <v>18</v>
      </c>
      <c r="D288" s="21">
        <v>61742.64</v>
      </c>
      <c r="E288" s="21">
        <v>589745.86</v>
      </c>
      <c r="F288" s="21">
        <f t="shared" si="97"/>
        <v>651488.5</v>
      </c>
      <c r="G288" s="21">
        <v>0</v>
      </c>
      <c r="H288" s="49">
        <v>0</v>
      </c>
      <c r="I288" s="49">
        <v>0</v>
      </c>
      <c r="J288" s="49">
        <v>0</v>
      </c>
      <c r="K288" s="21">
        <f t="shared" si="98"/>
        <v>651488.5</v>
      </c>
      <c r="L288" s="23">
        <v>94479</v>
      </c>
      <c r="N288" s="24"/>
    </row>
    <row r="289" spans="1:14">
      <c r="A289" s="192"/>
      <c r="B289" s="171" t="s">
        <v>39</v>
      </c>
      <c r="C289" s="20" t="s">
        <v>16</v>
      </c>
      <c r="D289" s="21">
        <v>62593.83</v>
      </c>
      <c r="E289" s="21">
        <v>589848.5</v>
      </c>
      <c r="F289" s="21">
        <f t="shared" si="97"/>
        <v>652442.32999999996</v>
      </c>
      <c r="G289" s="21">
        <v>0</v>
      </c>
      <c r="H289" s="49">
        <v>0</v>
      </c>
      <c r="I289" s="49">
        <v>0</v>
      </c>
      <c r="J289" s="49">
        <v>0</v>
      </c>
      <c r="K289" s="21">
        <f t="shared" si="98"/>
        <v>652442.32999999996</v>
      </c>
      <c r="L289" s="23">
        <f>7200.34+84660.66+2046</f>
        <v>93907</v>
      </c>
      <c r="N289" s="24"/>
    </row>
    <row r="290" spans="1:14">
      <c r="A290" s="192"/>
      <c r="B290" s="172"/>
      <c r="C290" s="20" t="s">
        <v>17</v>
      </c>
      <c r="D290" s="21">
        <v>86433.59</v>
      </c>
      <c r="E290" s="21">
        <v>580068.28</v>
      </c>
      <c r="F290" s="21">
        <f t="shared" si="97"/>
        <v>666501.87</v>
      </c>
      <c r="G290" s="21">
        <v>0</v>
      </c>
      <c r="H290" s="49">
        <v>0</v>
      </c>
      <c r="I290" s="49">
        <v>0</v>
      </c>
      <c r="J290" s="49">
        <v>0</v>
      </c>
      <c r="K290" s="21">
        <f t="shared" si="98"/>
        <v>666501.87</v>
      </c>
      <c r="L290" s="23">
        <v>91861</v>
      </c>
      <c r="N290" s="24"/>
    </row>
    <row r="291" spans="1:14">
      <c r="A291" s="192"/>
      <c r="B291" s="172"/>
      <c r="C291" s="20" t="s">
        <v>18</v>
      </c>
      <c r="D291" s="21">
        <v>62233.61</v>
      </c>
      <c r="E291" s="21">
        <v>580068.28</v>
      </c>
      <c r="F291" s="21">
        <f t="shared" si="97"/>
        <v>642301.89</v>
      </c>
      <c r="G291" s="21">
        <v>0</v>
      </c>
      <c r="H291" s="49">
        <v>0</v>
      </c>
      <c r="I291" s="49">
        <v>0</v>
      </c>
      <c r="J291" s="49">
        <v>0</v>
      </c>
      <c r="K291" s="21">
        <f t="shared" si="98"/>
        <v>642301.89</v>
      </c>
      <c r="L291" s="23">
        <v>91861</v>
      </c>
      <c r="N291" s="24"/>
    </row>
    <row r="292" spans="1:14">
      <c r="A292" s="192"/>
      <c r="B292" s="204" t="s">
        <v>55</v>
      </c>
      <c r="C292" s="57" t="s">
        <v>16</v>
      </c>
      <c r="D292" s="58">
        <f t="shared" ref="D292:N292" si="99">D279+D286+D289</f>
        <v>288607.13</v>
      </c>
      <c r="E292" s="58">
        <f t="shared" si="99"/>
        <v>2949227.84</v>
      </c>
      <c r="F292" s="58">
        <f t="shared" si="99"/>
        <v>3237834.9699999997</v>
      </c>
      <c r="G292" s="58">
        <f t="shared" si="99"/>
        <v>0</v>
      </c>
      <c r="H292" s="58">
        <f t="shared" si="99"/>
        <v>0</v>
      </c>
      <c r="I292" s="58">
        <f t="shared" si="99"/>
        <v>0</v>
      </c>
      <c r="J292" s="58">
        <f t="shared" si="99"/>
        <v>0</v>
      </c>
      <c r="K292" s="58">
        <f t="shared" si="99"/>
        <v>3237834.9699999997</v>
      </c>
      <c r="L292" s="58">
        <f t="shared" si="99"/>
        <v>469040</v>
      </c>
      <c r="M292" s="58">
        <f t="shared" si="99"/>
        <v>0</v>
      </c>
      <c r="N292" s="58">
        <f t="shared" si="99"/>
        <v>0</v>
      </c>
    </row>
    <row r="293" spans="1:14">
      <c r="A293" s="192"/>
      <c r="B293" s="205"/>
      <c r="C293" s="57" t="s">
        <v>17</v>
      </c>
      <c r="D293" s="58">
        <v>314080.53999999998</v>
      </c>
      <c r="E293" s="58">
        <v>3122485.85</v>
      </c>
      <c r="F293" s="58">
        <f>D293+E293</f>
        <v>3436566.39</v>
      </c>
      <c r="G293" s="58"/>
      <c r="H293" s="58"/>
      <c r="I293" s="58"/>
      <c r="J293" s="58"/>
      <c r="K293" s="58">
        <f>F293+G293</f>
        <v>3436566.39</v>
      </c>
      <c r="L293" s="58">
        <v>469040</v>
      </c>
      <c r="M293" s="116"/>
      <c r="N293" s="60"/>
    </row>
    <row r="294" spans="1:14">
      <c r="A294" s="192"/>
      <c r="B294" s="205"/>
      <c r="C294" s="57" t="s">
        <v>49</v>
      </c>
      <c r="D294" s="58">
        <f t="shared" ref="D294:N294" si="100">D285+D288+D291</f>
        <v>287395.71999999997</v>
      </c>
      <c r="E294" s="58">
        <f t="shared" si="100"/>
        <v>2939344.9800000004</v>
      </c>
      <c r="F294" s="58">
        <f t="shared" si="100"/>
        <v>3226740.7</v>
      </c>
      <c r="G294" s="58">
        <f t="shared" si="100"/>
        <v>0</v>
      </c>
      <c r="H294" s="58">
        <f t="shared" si="100"/>
        <v>0</v>
      </c>
      <c r="I294" s="58">
        <f t="shared" si="100"/>
        <v>0</v>
      </c>
      <c r="J294" s="58">
        <f t="shared" si="100"/>
        <v>0</v>
      </c>
      <c r="K294" s="58">
        <f t="shared" si="100"/>
        <v>3226740.7</v>
      </c>
      <c r="L294" s="58">
        <f t="shared" si="100"/>
        <v>466994</v>
      </c>
      <c r="M294" s="58">
        <f t="shared" si="100"/>
        <v>0</v>
      </c>
      <c r="N294" s="58">
        <f t="shared" si="100"/>
        <v>0</v>
      </c>
    </row>
    <row r="295" spans="1:14">
      <c r="A295" s="192"/>
      <c r="B295" s="205"/>
      <c r="C295" s="57" t="s">
        <v>48</v>
      </c>
      <c r="D295" s="58">
        <v>302.89</v>
      </c>
      <c r="E295" s="58">
        <v>9824.2099999999991</v>
      </c>
      <c r="F295" s="58">
        <f>D295+E295</f>
        <v>10127.099999999999</v>
      </c>
      <c r="G295" s="58">
        <v>0</v>
      </c>
      <c r="H295" s="58">
        <v>0</v>
      </c>
      <c r="I295" s="58"/>
      <c r="J295" s="58"/>
      <c r="K295" s="58">
        <f>F295+G295</f>
        <v>10127.099999999999</v>
      </c>
      <c r="L295" s="58">
        <v>2046</v>
      </c>
      <c r="M295" s="116"/>
      <c r="N295" s="60"/>
    </row>
    <row r="296" spans="1:14">
      <c r="A296" s="192"/>
      <c r="B296" s="205"/>
      <c r="C296" s="57" t="s">
        <v>26</v>
      </c>
      <c r="D296" s="58">
        <f>D294+D295</f>
        <v>287698.61</v>
      </c>
      <c r="E296" s="58">
        <f t="shared" ref="E296:N296" si="101">E294+E295</f>
        <v>2949169.1900000004</v>
      </c>
      <c r="F296" s="58">
        <f t="shared" si="101"/>
        <v>3236867.8000000003</v>
      </c>
      <c r="G296" s="58">
        <f t="shared" si="101"/>
        <v>0</v>
      </c>
      <c r="H296" s="58">
        <f t="shared" si="101"/>
        <v>0</v>
      </c>
      <c r="I296" s="58">
        <f t="shared" si="101"/>
        <v>0</v>
      </c>
      <c r="J296" s="58">
        <f t="shared" si="101"/>
        <v>0</v>
      </c>
      <c r="K296" s="58">
        <f t="shared" si="101"/>
        <v>3236867.8000000003</v>
      </c>
      <c r="L296" s="58">
        <f t="shared" si="101"/>
        <v>469040</v>
      </c>
      <c r="M296" s="58">
        <f t="shared" si="101"/>
        <v>0</v>
      </c>
      <c r="N296" s="58">
        <f t="shared" si="101"/>
        <v>0</v>
      </c>
    </row>
    <row r="297" spans="1:14">
      <c r="A297" s="192"/>
      <c r="B297" s="171" t="s">
        <v>43</v>
      </c>
      <c r="C297" s="20" t="s">
        <v>16</v>
      </c>
      <c r="D297" s="21">
        <f>62593.84-475.88</f>
        <v>62117.96</v>
      </c>
      <c r="E297" s="21">
        <f>630000-136.17</f>
        <v>629863.82999999996</v>
      </c>
      <c r="F297" s="21">
        <f>SUM(D297:E297)</f>
        <v>691981.78999999992</v>
      </c>
      <c r="G297" s="21">
        <v>0</v>
      </c>
      <c r="H297" s="49">
        <v>0</v>
      </c>
      <c r="I297" s="49">
        <v>0</v>
      </c>
      <c r="J297" s="49">
        <v>0</v>
      </c>
      <c r="K297" s="21">
        <f>D297+E297+G297+H297+I297+J297</f>
        <v>691981.78999999992</v>
      </c>
      <c r="L297" s="23">
        <v>0</v>
      </c>
      <c r="N297" s="24"/>
    </row>
    <row r="298" spans="1:14">
      <c r="A298" s="192"/>
      <c r="B298" s="172"/>
      <c r="C298" s="20" t="s">
        <v>17</v>
      </c>
      <c r="D298" s="21">
        <v>86265.57</v>
      </c>
      <c r="E298" s="21">
        <v>582267.73</v>
      </c>
      <c r="F298" s="21">
        <f>SUM(D298:E298)</f>
        <v>668533.30000000005</v>
      </c>
      <c r="G298" s="21">
        <v>0</v>
      </c>
      <c r="H298" s="49">
        <v>0</v>
      </c>
      <c r="I298" s="49">
        <v>0</v>
      </c>
      <c r="J298" s="49">
        <v>0</v>
      </c>
      <c r="K298" s="21">
        <f>D298+E298+G298+H298+I298+J298</f>
        <v>668533.30000000005</v>
      </c>
      <c r="L298" s="23">
        <v>87450</v>
      </c>
      <c r="N298" s="24"/>
    </row>
    <row r="299" spans="1:14">
      <c r="A299" s="192"/>
      <c r="B299" s="172"/>
      <c r="C299" s="20" t="s">
        <v>18</v>
      </c>
      <c r="D299" s="21">
        <v>60739.99</v>
      </c>
      <c r="E299" s="21">
        <v>582267.73</v>
      </c>
      <c r="F299" s="21">
        <f>SUM(D299:E299)</f>
        <v>643007.72</v>
      </c>
      <c r="G299" s="21">
        <v>0</v>
      </c>
      <c r="H299" s="49">
        <v>0</v>
      </c>
      <c r="I299" s="49">
        <v>0</v>
      </c>
      <c r="J299" s="49">
        <v>0</v>
      </c>
      <c r="K299" s="21">
        <f>D299+E299+G299+H299+I299+J299</f>
        <v>643007.72</v>
      </c>
      <c r="L299" s="23">
        <v>0</v>
      </c>
      <c r="N299" s="24"/>
    </row>
    <row r="300" spans="1:14">
      <c r="A300" s="192"/>
      <c r="B300" s="187" t="s">
        <v>44</v>
      </c>
      <c r="C300" s="20" t="s">
        <v>16</v>
      </c>
      <c r="D300" s="21">
        <f t="shared" ref="D300:L300" si="102">D286+D289+D297</f>
        <v>187305.62</v>
      </c>
      <c r="E300" s="21">
        <f t="shared" si="102"/>
        <v>1809560.83</v>
      </c>
      <c r="F300" s="21">
        <f t="shared" si="102"/>
        <v>1996866.4499999997</v>
      </c>
      <c r="G300" s="21">
        <f t="shared" si="102"/>
        <v>0</v>
      </c>
      <c r="H300" s="21">
        <f t="shared" si="102"/>
        <v>0</v>
      </c>
      <c r="I300" s="21">
        <f t="shared" si="102"/>
        <v>0</v>
      </c>
      <c r="J300" s="21">
        <f t="shared" si="102"/>
        <v>0</v>
      </c>
      <c r="K300" s="21">
        <f t="shared" si="102"/>
        <v>1996866.4499999997</v>
      </c>
      <c r="L300" s="21">
        <f t="shared" si="102"/>
        <v>188386</v>
      </c>
      <c r="N300" s="24"/>
    </row>
    <row r="301" spans="1:14">
      <c r="A301" s="192"/>
      <c r="B301" s="188"/>
      <c r="C301" s="20" t="s">
        <v>17</v>
      </c>
      <c r="D301" s="21">
        <f>D298+D290+D287</f>
        <v>236926.63</v>
      </c>
      <c r="E301" s="21">
        <f>E298+E290+E287</f>
        <v>1780088.2</v>
      </c>
      <c r="F301" s="21">
        <f t="shared" ref="F301:L301" si="103">F287+F290+F298</f>
        <v>2017014.8299999998</v>
      </c>
      <c r="G301" s="21">
        <f t="shared" si="103"/>
        <v>0</v>
      </c>
      <c r="H301" s="21">
        <f t="shared" si="103"/>
        <v>0</v>
      </c>
      <c r="I301" s="21">
        <f t="shared" si="103"/>
        <v>0</v>
      </c>
      <c r="J301" s="21">
        <f t="shared" si="103"/>
        <v>0</v>
      </c>
      <c r="K301" s="21">
        <f t="shared" si="103"/>
        <v>2017014.8299999998</v>
      </c>
      <c r="L301" s="21">
        <f t="shared" si="103"/>
        <v>273790</v>
      </c>
      <c r="N301" s="24"/>
    </row>
    <row r="302" spans="1:14">
      <c r="A302" s="192"/>
      <c r="B302" s="188"/>
      <c r="C302" s="20" t="s">
        <v>18</v>
      </c>
      <c r="D302" s="21">
        <f>D299+D291+D288</f>
        <v>184716.24</v>
      </c>
      <c r="E302" s="21">
        <f>E299+E291+E288</f>
        <v>1752081.87</v>
      </c>
      <c r="F302" s="21">
        <f>F288+F291+F299</f>
        <v>1936798.11</v>
      </c>
      <c r="G302" s="21">
        <f>G288+G291+G299</f>
        <v>0</v>
      </c>
      <c r="H302" s="21">
        <f>H288+H291+H299</f>
        <v>0</v>
      </c>
      <c r="I302" s="21">
        <f>I288+I291+I299</f>
        <v>0</v>
      </c>
      <c r="J302" s="21">
        <f>J288+J291+J299</f>
        <v>0</v>
      </c>
      <c r="K302" s="21">
        <f>K296</f>
        <v>3236867.8000000003</v>
      </c>
      <c r="L302" s="21">
        <f>L288+L291+L299</f>
        <v>186340</v>
      </c>
      <c r="N302" s="24"/>
    </row>
    <row r="303" spans="1:14">
      <c r="A303" s="192"/>
      <c r="B303" s="212" t="s">
        <v>45</v>
      </c>
      <c r="C303" s="40" t="s">
        <v>16</v>
      </c>
      <c r="D303" s="41">
        <f t="shared" ref="D303:L303" si="104">D279+D300</f>
        <v>350725.08999999997</v>
      </c>
      <c r="E303" s="41">
        <f t="shared" si="104"/>
        <v>3579091.67</v>
      </c>
      <c r="F303" s="41">
        <f t="shared" si="104"/>
        <v>3929816.76</v>
      </c>
      <c r="G303" s="41">
        <f t="shared" si="104"/>
        <v>0</v>
      </c>
      <c r="H303" s="41">
        <f t="shared" si="104"/>
        <v>0</v>
      </c>
      <c r="I303" s="41">
        <f t="shared" si="104"/>
        <v>0</v>
      </c>
      <c r="J303" s="41">
        <f t="shared" si="104"/>
        <v>0</v>
      </c>
      <c r="K303" s="41">
        <f t="shared" si="104"/>
        <v>3929816.76</v>
      </c>
      <c r="L303" s="41">
        <f t="shared" si="104"/>
        <v>469040</v>
      </c>
      <c r="M303" s="42"/>
      <c r="N303" s="43"/>
    </row>
    <row r="304" spans="1:14">
      <c r="A304" s="192"/>
      <c r="B304" s="213"/>
      <c r="C304" s="40" t="s">
        <v>17</v>
      </c>
      <c r="D304" s="41">
        <f t="shared" ref="D304:M304" si="105">D293+D298</f>
        <v>400346.11</v>
      </c>
      <c r="E304" s="41">
        <f t="shared" si="105"/>
        <v>3704753.58</v>
      </c>
      <c r="F304" s="41">
        <f t="shared" si="105"/>
        <v>4105099.6900000004</v>
      </c>
      <c r="G304" s="41">
        <f t="shared" si="105"/>
        <v>0</v>
      </c>
      <c r="H304" s="41">
        <f t="shared" si="105"/>
        <v>0</v>
      </c>
      <c r="I304" s="41">
        <f t="shared" si="105"/>
        <v>0</v>
      </c>
      <c r="J304" s="41">
        <f t="shared" si="105"/>
        <v>0</v>
      </c>
      <c r="K304" s="41">
        <f t="shared" si="105"/>
        <v>4105099.6900000004</v>
      </c>
      <c r="L304" s="41">
        <f t="shared" si="105"/>
        <v>556490</v>
      </c>
      <c r="M304" s="41">
        <f t="shared" si="105"/>
        <v>0</v>
      </c>
      <c r="N304" s="43"/>
    </row>
    <row r="305" spans="1:15">
      <c r="A305" s="192"/>
      <c r="B305" s="213"/>
      <c r="C305" s="40" t="s">
        <v>18</v>
      </c>
      <c r="D305" s="41">
        <f>D296+D299</f>
        <v>348438.6</v>
      </c>
      <c r="E305" s="41">
        <f>E296+E299</f>
        <v>3531436.9200000004</v>
      </c>
      <c r="F305" s="41">
        <f>D305+E305</f>
        <v>3879875.5200000005</v>
      </c>
      <c r="G305" s="41">
        <v>0</v>
      </c>
      <c r="H305" s="41">
        <v>0</v>
      </c>
      <c r="I305" s="41"/>
      <c r="J305" s="41"/>
      <c r="K305" s="41">
        <f>F305+G305</f>
        <v>3879875.5200000005</v>
      </c>
      <c r="L305" s="41">
        <f>L296+L299</f>
        <v>469040</v>
      </c>
      <c r="M305" s="41"/>
      <c r="N305" s="43"/>
    </row>
    <row r="306" spans="1:15">
      <c r="A306" s="192"/>
      <c r="B306" s="213"/>
      <c r="C306" s="40" t="s">
        <v>41</v>
      </c>
      <c r="D306" s="41">
        <v>400346.11</v>
      </c>
      <c r="E306" s="41">
        <v>3704753.58</v>
      </c>
      <c r="F306" s="41">
        <f>D306+E306</f>
        <v>4105099.69</v>
      </c>
      <c r="G306" s="41">
        <v>0</v>
      </c>
      <c r="H306" s="41">
        <v>0</v>
      </c>
      <c r="I306" s="41"/>
      <c r="J306" s="41"/>
      <c r="K306" s="41">
        <f t="shared" ref="K306:K308" si="106">F306+G306</f>
        <v>4105099.69</v>
      </c>
      <c r="L306" s="41">
        <v>566687</v>
      </c>
      <c r="M306" s="41"/>
      <c r="N306" s="43"/>
    </row>
    <row r="307" spans="1:15">
      <c r="A307" s="192"/>
      <c r="B307" s="213"/>
      <c r="C307" s="40" t="s">
        <v>48</v>
      </c>
      <c r="D307" s="41">
        <v>2286.4899999999998</v>
      </c>
      <c r="E307" s="41">
        <v>47654.75</v>
      </c>
      <c r="F307" s="41">
        <f>D307+E307</f>
        <v>49941.24</v>
      </c>
      <c r="G307" s="41">
        <v>0</v>
      </c>
      <c r="H307" s="41">
        <v>0</v>
      </c>
      <c r="I307" s="41"/>
      <c r="J307" s="41"/>
      <c r="K307" s="41">
        <f t="shared" si="106"/>
        <v>49941.24</v>
      </c>
      <c r="L307" s="41">
        <v>0</v>
      </c>
      <c r="M307" s="41"/>
      <c r="N307" s="43"/>
    </row>
    <row r="308" spans="1:15">
      <c r="A308" s="192"/>
      <c r="B308" s="213"/>
      <c r="C308" s="40" t="s">
        <v>26</v>
      </c>
      <c r="D308" s="41">
        <f>D305+D307</f>
        <v>350725.08999999997</v>
      </c>
      <c r="E308" s="41">
        <f>E305+E307</f>
        <v>3579091.6700000004</v>
      </c>
      <c r="F308" s="41">
        <f>D308+E308</f>
        <v>3929816.7600000002</v>
      </c>
      <c r="G308" s="41">
        <v>0</v>
      </c>
      <c r="H308" s="41">
        <v>0</v>
      </c>
      <c r="I308" s="41"/>
      <c r="J308" s="41"/>
      <c r="K308" s="41">
        <f t="shared" si="106"/>
        <v>3929816.7600000002</v>
      </c>
      <c r="L308" s="41">
        <f>L305+L307</f>
        <v>469040</v>
      </c>
      <c r="M308" s="41"/>
      <c r="N308" s="43"/>
    </row>
    <row r="309" spans="1:15">
      <c r="A309" s="210"/>
      <c r="B309" s="214" t="s">
        <v>46</v>
      </c>
      <c r="C309" s="150" t="s">
        <v>16</v>
      </c>
      <c r="D309" s="151">
        <f t="shared" ref="D309:L309" si="107">D263+D303</f>
        <v>460367.29</v>
      </c>
      <c r="E309" s="151">
        <f t="shared" si="107"/>
        <v>7117911.9900000002</v>
      </c>
      <c r="F309" s="151">
        <f t="shared" si="107"/>
        <v>7578279.2800000003</v>
      </c>
      <c r="G309" s="151">
        <f t="shared" si="107"/>
        <v>0</v>
      </c>
      <c r="H309" s="151">
        <f t="shared" si="107"/>
        <v>0</v>
      </c>
      <c r="I309" s="151">
        <f t="shared" si="107"/>
        <v>0</v>
      </c>
      <c r="J309" s="151">
        <f t="shared" si="107"/>
        <v>0</v>
      </c>
      <c r="K309" s="151">
        <f t="shared" si="107"/>
        <v>7578279.2800000003</v>
      </c>
      <c r="L309" s="151">
        <f t="shared" si="107"/>
        <v>1016939</v>
      </c>
      <c r="M309" s="152"/>
      <c r="N309" s="153"/>
    </row>
    <row r="310" spans="1:15">
      <c r="A310" s="210"/>
      <c r="B310" s="214"/>
      <c r="C310" s="150" t="s">
        <v>17</v>
      </c>
      <c r="D310" s="151">
        <f>D306+D266</f>
        <v>575499.63</v>
      </c>
      <c r="E310" s="151">
        <f>E306+E266</f>
        <v>7539013.2000000002</v>
      </c>
      <c r="F310" s="151">
        <f t="shared" ref="F310:K310" si="108">F266+F304</f>
        <v>8114512.8300000001</v>
      </c>
      <c r="G310" s="151">
        <f t="shared" si="108"/>
        <v>0</v>
      </c>
      <c r="H310" s="151">
        <f t="shared" si="108"/>
        <v>0</v>
      </c>
      <c r="I310" s="151">
        <f t="shared" si="108"/>
        <v>0</v>
      </c>
      <c r="J310" s="151">
        <f t="shared" si="108"/>
        <v>0</v>
      </c>
      <c r="K310" s="151">
        <f t="shared" si="108"/>
        <v>8114512.8300000001</v>
      </c>
      <c r="L310" s="151">
        <f>L306+L266</f>
        <v>1114586</v>
      </c>
      <c r="M310" s="152"/>
      <c r="N310" s="153"/>
    </row>
    <row r="311" spans="1:15">
      <c r="A311" s="210"/>
      <c r="B311" s="214"/>
      <c r="C311" s="150" t="s">
        <v>56</v>
      </c>
      <c r="D311" s="151">
        <f>D304+D266</f>
        <v>575499.63</v>
      </c>
      <c r="E311" s="151">
        <f>E266+E283+E301</f>
        <v>7539013.2000000002</v>
      </c>
      <c r="F311" s="151">
        <f>D311+E311</f>
        <v>8114512.8300000001</v>
      </c>
      <c r="G311" s="151">
        <f>G266+G283+G301</f>
        <v>0</v>
      </c>
      <c r="H311" s="151">
        <f>H266+H283+H301</f>
        <v>0</v>
      </c>
      <c r="I311" s="151">
        <f>I266+I283+I301</f>
        <v>0</v>
      </c>
      <c r="J311" s="151">
        <f>J266+J283+J301</f>
        <v>0</v>
      </c>
      <c r="K311" s="151">
        <f>F311</f>
        <v>8114512.8300000001</v>
      </c>
      <c r="L311" s="151">
        <f>L310</f>
        <v>1114586</v>
      </c>
      <c r="M311" s="152"/>
      <c r="N311" s="153"/>
    </row>
    <row r="312" spans="1:15">
      <c r="A312" s="210"/>
      <c r="B312" s="214"/>
      <c r="C312" s="154" t="s">
        <v>18</v>
      </c>
      <c r="D312" s="151">
        <f>D308+D268</f>
        <v>460367.29</v>
      </c>
      <c r="E312" s="151">
        <f>E308+E268</f>
        <v>7117911.9900000002</v>
      </c>
      <c r="F312" s="151">
        <f t="shared" ref="F312:F321" si="109">D312+E312</f>
        <v>7578279.2800000003</v>
      </c>
      <c r="G312" s="151">
        <v>0</v>
      </c>
      <c r="H312" s="151">
        <v>0</v>
      </c>
      <c r="I312" s="151" t="e">
        <f>#REF!+I268</f>
        <v>#REF!</v>
      </c>
      <c r="J312" s="151" t="e">
        <f>#REF!+J268</f>
        <v>#REF!</v>
      </c>
      <c r="K312" s="151">
        <f>F312</f>
        <v>7578279.2800000003</v>
      </c>
      <c r="L312" s="151">
        <f>L308+L268</f>
        <v>1016939</v>
      </c>
      <c r="M312" s="155"/>
      <c r="N312" s="153"/>
      <c r="O312" s="18"/>
    </row>
    <row r="313" spans="1:15">
      <c r="A313" s="190" t="s">
        <v>57</v>
      </c>
      <c r="B313" s="178" t="s">
        <v>15</v>
      </c>
      <c r="C313" s="123" t="s">
        <v>16</v>
      </c>
      <c r="D313" s="15">
        <v>0</v>
      </c>
      <c r="E313" s="15">
        <v>0</v>
      </c>
      <c r="F313" s="15">
        <f t="shared" si="109"/>
        <v>0</v>
      </c>
      <c r="G313" s="15">
        <f>100248.07-10664.27</f>
        <v>89583.8</v>
      </c>
      <c r="H313" s="15">
        <v>0</v>
      </c>
      <c r="I313" s="15">
        <v>0</v>
      </c>
      <c r="J313" s="15">
        <v>0</v>
      </c>
      <c r="K313" s="15">
        <f t="shared" ref="K313:K321" si="110">J313+I313+H313+G313+E313+D313</f>
        <v>89583.8</v>
      </c>
      <c r="L313" s="15">
        <v>0</v>
      </c>
      <c r="N313" s="24"/>
    </row>
    <row r="314" spans="1:15">
      <c r="A314" s="191"/>
      <c r="B314" s="178"/>
      <c r="C314" s="49" t="s">
        <v>17</v>
      </c>
      <c r="D314" s="22">
        <v>0</v>
      </c>
      <c r="E314" s="22">
        <v>0</v>
      </c>
      <c r="F314" s="22">
        <f t="shared" si="109"/>
        <v>0</v>
      </c>
      <c r="G314" s="22">
        <v>87931.85</v>
      </c>
      <c r="H314" s="22">
        <v>0</v>
      </c>
      <c r="I314" s="22">
        <v>0</v>
      </c>
      <c r="J314" s="22">
        <v>0</v>
      </c>
      <c r="K314" s="22">
        <f t="shared" si="110"/>
        <v>87931.85</v>
      </c>
      <c r="L314" s="22">
        <v>0</v>
      </c>
      <c r="N314" s="24"/>
    </row>
    <row r="315" spans="1:15">
      <c r="A315" s="191"/>
      <c r="B315" s="178"/>
      <c r="C315" s="83" t="s">
        <v>18</v>
      </c>
      <c r="D315" s="22">
        <v>0</v>
      </c>
      <c r="E315" s="22">
        <v>0</v>
      </c>
      <c r="F315" s="22">
        <f t="shared" si="109"/>
        <v>0</v>
      </c>
      <c r="G315" s="22">
        <v>87931.85</v>
      </c>
      <c r="H315" s="22">
        <v>0</v>
      </c>
      <c r="I315" s="22">
        <v>0</v>
      </c>
      <c r="J315" s="22">
        <v>0</v>
      </c>
      <c r="K315" s="22">
        <f t="shared" si="110"/>
        <v>87931.85</v>
      </c>
      <c r="L315" s="22">
        <v>0</v>
      </c>
      <c r="N315" s="24"/>
    </row>
    <row r="316" spans="1:15">
      <c r="A316" s="191"/>
      <c r="B316" s="179" t="s">
        <v>20</v>
      </c>
      <c r="C316" s="49" t="s">
        <v>16</v>
      </c>
      <c r="D316" s="22">
        <v>0</v>
      </c>
      <c r="E316" s="22">
        <v>0</v>
      </c>
      <c r="F316" s="22">
        <f t="shared" si="109"/>
        <v>0</v>
      </c>
      <c r="G316" s="22">
        <v>100248.07</v>
      </c>
      <c r="H316" s="22">
        <v>0</v>
      </c>
      <c r="I316" s="22">
        <v>0</v>
      </c>
      <c r="J316" s="22">
        <v>0</v>
      </c>
      <c r="K316" s="22">
        <f t="shared" si="110"/>
        <v>100248.07</v>
      </c>
      <c r="L316" s="22">
        <v>0</v>
      </c>
      <c r="N316" s="24"/>
    </row>
    <row r="317" spans="1:15">
      <c r="A317" s="191"/>
      <c r="B317" s="178"/>
      <c r="C317" s="49" t="s">
        <v>17</v>
      </c>
      <c r="D317" s="22">
        <v>0</v>
      </c>
      <c r="E317" s="22">
        <v>0</v>
      </c>
      <c r="F317" s="22">
        <f t="shared" si="109"/>
        <v>0</v>
      </c>
      <c r="G317" s="22">
        <v>96904.24</v>
      </c>
      <c r="H317" s="22">
        <v>0</v>
      </c>
      <c r="I317" s="22">
        <v>0</v>
      </c>
      <c r="J317" s="22">
        <v>0</v>
      </c>
      <c r="K317" s="22">
        <f t="shared" si="110"/>
        <v>96904.24</v>
      </c>
      <c r="L317" s="22">
        <v>0</v>
      </c>
      <c r="N317" s="24"/>
    </row>
    <row r="318" spans="1:15">
      <c r="A318" s="191"/>
      <c r="B318" s="178"/>
      <c r="C318" s="83" t="s">
        <v>18</v>
      </c>
      <c r="D318" s="22">
        <v>0</v>
      </c>
      <c r="E318" s="22">
        <v>0</v>
      </c>
      <c r="F318" s="22">
        <f t="shared" si="109"/>
        <v>0</v>
      </c>
      <c r="G318" s="22">
        <v>96904.24</v>
      </c>
      <c r="H318" s="22">
        <v>0</v>
      </c>
      <c r="I318" s="22">
        <v>0</v>
      </c>
      <c r="J318" s="22">
        <v>0</v>
      </c>
      <c r="K318" s="22">
        <f t="shared" si="110"/>
        <v>96904.24</v>
      </c>
      <c r="L318" s="22">
        <v>0</v>
      </c>
      <c r="N318" s="24"/>
    </row>
    <row r="319" spans="1:15">
      <c r="A319" s="191"/>
      <c r="B319" s="179" t="s">
        <v>22</v>
      </c>
      <c r="C319" s="49" t="s">
        <v>16</v>
      </c>
      <c r="D319" s="22">
        <v>0</v>
      </c>
      <c r="E319" s="22">
        <v>0</v>
      </c>
      <c r="F319" s="22">
        <f t="shared" si="109"/>
        <v>0</v>
      </c>
      <c r="G319" s="15">
        <v>100248.07</v>
      </c>
      <c r="H319" s="22">
        <v>0</v>
      </c>
      <c r="I319" s="22">
        <v>0</v>
      </c>
      <c r="J319" s="22">
        <v>0</v>
      </c>
      <c r="K319" s="22">
        <f t="shared" si="110"/>
        <v>100248.07</v>
      </c>
      <c r="L319" s="22">
        <v>0</v>
      </c>
      <c r="N319" s="24"/>
    </row>
    <row r="320" spans="1:15">
      <c r="A320" s="191"/>
      <c r="B320" s="178"/>
      <c r="C320" s="49" t="s">
        <v>17</v>
      </c>
      <c r="D320" s="22">
        <v>0</v>
      </c>
      <c r="E320" s="22">
        <v>0</v>
      </c>
      <c r="F320" s="22">
        <f t="shared" si="109"/>
        <v>0</v>
      </c>
      <c r="G320" s="22">
        <v>103984.63</v>
      </c>
      <c r="H320" s="22">
        <v>0</v>
      </c>
      <c r="I320" s="22">
        <v>0</v>
      </c>
      <c r="J320" s="22">
        <v>0</v>
      </c>
      <c r="K320" s="22">
        <f t="shared" si="110"/>
        <v>103984.63</v>
      </c>
      <c r="L320" s="22">
        <v>0</v>
      </c>
      <c r="N320" s="24"/>
    </row>
    <row r="321" spans="1:14">
      <c r="A321" s="191"/>
      <c r="B321" s="178"/>
      <c r="C321" s="83" t="s">
        <v>18</v>
      </c>
      <c r="D321" s="22">
        <v>0</v>
      </c>
      <c r="E321" s="22">
        <v>0</v>
      </c>
      <c r="F321" s="22">
        <f t="shared" si="109"/>
        <v>0</v>
      </c>
      <c r="G321" s="22">
        <v>99990.83</v>
      </c>
      <c r="H321" s="22">
        <v>0</v>
      </c>
      <c r="I321" s="22">
        <v>0</v>
      </c>
      <c r="J321" s="22">
        <v>0</v>
      </c>
      <c r="K321" s="22">
        <f t="shared" si="110"/>
        <v>99990.83</v>
      </c>
      <c r="L321" s="22">
        <v>0</v>
      </c>
      <c r="N321" s="24"/>
    </row>
    <row r="322" spans="1:14">
      <c r="A322" s="191"/>
      <c r="B322" s="178"/>
      <c r="C322" s="49" t="s">
        <v>21</v>
      </c>
      <c r="D322" s="22">
        <f>D319-D321</f>
        <v>0</v>
      </c>
      <c r="E322" s="22">
        <f t="shared" ref="E322:J322" si="111">E319-E321</f>
        <v>0</v>
      </c>
      <c r="F322" s="22">
        <f t="shared" si="111"/>
        <v>0</v>
      </c>
      <c r="G322" s="22">
        <f t="shared" si="111"/>
        <v>257.24000000000524</v>
      </c>
      <c r="H322" s="22">
        <f t="shared" si="111"/>
        <v>0</v>
      </c>
      <c r="I322" s="22">
        <f t="shared" si="111"/>
        <v>0</v>
      </c>
      <c r="J322" s="22">
        <f t="shared" si="111"/>
        <v>0</v>
      </c>
      <c r="K322" s="22">
        <f>K319-K321</f>
        <v>257.24000000000524</v>
      </c>
      <c r="L322" s="22">
        <f>L319-L321</f>
        <v>0</v>
      </c>
      <c r="N322" s="24"/>
    </row>
    <row r="323" spans="1:14">
      <c r="A323" s="191"/>
      <c r="B323" s="184" t="s">
        <v>23</v>
      </c>
      <c r="C323" s="50" t="s">
        <v>16</v>
      </c>
      <c r="D323" s="51">
        <f t="shared" ref="D323:L325" si="112">D319+D316+D313</f>
        <v>0</v>
      </c>
      <c r="E323" s="51">
        <f t="shared" si="112"/>
        <v>0</v>
      </c>
      <c r="F323" s="51">
        <f t="shared" si="112"/>
        <v>0</v>
      </c>
      <c r="G323" s="51">
        <f t="shared" si="112"/>
        <v>290079.94</v>
      </c>
      <c r="H323" s="51">
        <f t="shared" si="112"/>
        <v>0</v>
      </c>
      <c r="I323" s="51">
        <f t="shared" si="112"/>
        <v>0</v>
      </c>
      <c r="J323" s="51">
        <f t="shared" si="112"/>
        <v>0</v>
      </c>
      <c r="K323" s="51">
        <f t="shared" si="112"/>
        <v>290079.94</v>
      </c>
      <c r="L323" s="51">
        <f t="shared" si="112"/>
        <v>0</v>
      </c>
      <c r="M323" s="52"/>
      <c r="N323" s="53"/>
    </row>
    <row r="324" spans="1:14">
      <c r="A324" s="191"/>
      <c r="B324" s="184"/>
      <c r="C324" s="49" t="s">
        <v>17</v>
      </c>
      <c r="D324" s="22">
        <f t="shared" si="112"/>
        <v>0</v>
      </c>
      <c r="E324" s="22">
        <f t="shared" si="112"/>
        <v>0</v>
      </c>
      <c r="F324" s="22">
        <f t="shared" si="112"/>
        <v>0</v>
      </c>
      <c r="G324" s="22">
        <f t="shared" si="112"/>
        <v>288820.71999999997</v>
      </c>
      <c r="H324" s="22">
        <f t="shared" si="112"/>
        <v>0</v>
      </c>
      <c r="I324" s="22">
        <f t="shared" si="112"/>
        <v>0</v>
      </c>
      <c r="J324" s="22">
        <f t="shared" si="112"/>
        <v>0</v>
      </c>
      <c r="K324" s="22">
        <f t="shared" si="112"/>
        <v>288820.71999999997</v>
      </c>
      <c r="L324" s="22">
        <f t="shared" si="112"/>
        <v>0</v>
      </c>
      <c r="N324" s="24"/>
    </row>
    <row r="325" spans="1:14">
      <c r="A325" s="191"/>
      <c r="B325" s="184"/>
      <c r="C325" s="83" t="s">
        <v>18</v>
      </c>
      <c r="D325" s="22">
        <f t="shared" si="112"/>
        <v>0</v>
      </c>
      <c r="E325" s="22">
        <f t="shared" si="112"/>
        <v>0</v>
      </c>
      <c r="F325" s="22">
        <f t="shared" si="112"/>
        <v>0</v>
      </c>
      <c r="G325" s="22">
        <f t="shared" si="112"/>
        <v>284826.92000000004</v>
      </c>
      <c r="H325" s="22">
        <f t="shared" si="112"/>
        <v>0</v>
      </c>
      <c r="I325" s="22">
        <f t="shared" si="112"/>
        <v>0</v>
      </c>
      <c r="J325" s="22">
        <f t="shared" si="112"/>
        <v>0</v>
      </c>
      <c r="K325" s="22">
        <f t="shared" si="112"/>
        <v>284826.92000000004</v>
      </c>
      <c r="L325" s="22">
        <f t="shared" si="112"/>
        <v>0</v>
      </c>
      <c r="N325" s="24"/>
    </row>
    <row r="326" spans="1:14">
      <c r="A326" s="191"/>
      <c r="B326" s="184"/>
      <c r="C326" s="145" t="s">
        <v>56</v>
      </c>
      <c r="D326" s="51">
        <v>0</v>
      </c>
      <c r="E326" s="51">
        <v>0</v>
      </c>
      <c r="F326" s="51">
        <v>0</v>
      </c>
      <c r="G326" s="51">
        <v>290079.94</v>
      </c>
      <c r="H326" s="51">
        <v>0</v>
      </c>
      <c r="I326" s="51"/>
      <c r="J326" s="51"/>
      <c r="K326" s="51">
        <f>G326</f>
        <v>290079.94</v>
      </c>
      <c r="L326" s="51">
        <v>0</v>
      </c>
      <c r="M326" s="52"/>
      <c r="N326" s="53"/>
    </row>
    <row r="327" spans="1:14">
      <c r="A327" s="191"/>
      <c r="B327" s="184"/>
      <c r="C327" s="145" t="s">
        <v>48</v>
      </c>
      <c r="D327" s="51">
        <v>0</v>
      </c>
      <c r="E327" s="51">
        <v>0</v>
      </c>
      <c r="F327" s="51">
        <v>0</v>
      </c>
      <c r="G327" s="51">
        <v>5253.02</v>
      </c>
      <c r="H327" s="51">
        <v>0</v>
      </c>
      <c r="I327" s="51"/>
      <c r="J327" s="51"/>
      <c r="K327" s="51">
        <f>G327</f>
        <v>5253.02</v>
      </c>
      <c r="L327" s="51">
        <v>0</v>
      </c>
      <c r="M327" s="52"/>
      <c r="N327" s="53"/>
    </row>
    <row r="328" spans="1:14">
      <c r="A328" s="191"/>
      <c r="B328" s="184"/>
      <c r="C328" s="145" t="s">
        <v>26</v>
      </c>
      <c r="D328" s="51">
        <v>0</v>
      </c>
      <c r="E328" s="51">
        <v>0</v>
      </c>
      <c r="F328" s="51">
        <v>0</v>
      </c>
      <c r="G328" s="51">
        <f>G325+G327</f>
        <v>290079.94000000006</v>
      </c>
      <c r="H328" s="51">
        <v>0</v>
      </c>
      <c r="I328" s="51"/>
      <c r="J328" s="51"/>
      <c r="K328" s="51">
        <f>G328</f>
        <v>290079.94000000006</v>
      </c>
      <c r="L328" s="51">
        <v>0</v>
      </c>
      <c r="M328" s="52"/>
      <c r="N328" s="53"/>
    </row>
    <row r="329" spans="1:14">
      <c r="A329" s="192"/>
      <c r="B329" s="182" t="s">
        <v>28</v>
      </c>
      <c r="C329" s="49" t="s">
        <v>16</v>
      </c>
      <c r="D329" s="22">
        <v>0</v>
      </c>
      <c r="E329" s="22">
        <v>0</v>
      </c>
      <c r="F329" s="22">
        <f t="shared" ref="F329:F334" si="113">D329+E329</f>
        <v>0</v>
      </c>
      <c r="G329" s="15">
        <f>100248.07-42993.86</f>
        <v>57254.210000000006</v>
      </c>
      <c r="H329" s="22">
        <v>0</v>
      </c>
      <c r="I329" s="22">
        <v>0</v>
      </c>
      <c r="J329" s="22">
        <v>0</v>
      </c>
      <c r="K329" s="22">
        <f t="shared" ref="K329:K343" si="114">J329+I329+H329+G329+E329+D329</f>
        <v>57254.210000000006</v>
      </c>
      <c r="L329" s="22">
        <v>0</v>
      </c>
      <c r="N329" s="24"/>
    </row>
    <row r="330" spans="1:14">
      <c r="A330" s="192"/>
      <c r="B330" s="183"/>
      <c r="C330" s="49" t="s">
        <v>17</v>
      </c>
      <c r="D330" s="22">
        <v>0</v>
      </c>
      <c r="E330" s="22">
        <v>0</v>
      </c>
      <c r="F330" s="22">
        <f t="shared" si="113"/>
        <v>0</v>
      </c>
      <c r="G330" s="22">
        <v>57254.21</v>
      </c>
      <c r="H330" s="22">
        <v>0</v>
      </c>
      <c r="I330" s="22">
        <v>0</v>
      </c>
      <c r="J330" s="22">
        <v>0</v>
      </c>
      <c r="K330" s="22">
        <f t="shared" si="114"/>
        <v>57254.21</v>
      </c>
      <c r="L330" s="22">
        <v>0</v>
      </c>
      <c r="N330" s="24"/>
    </row>
    <row r="331" spans="1:14">
      <c r="A331" s="192"/>
      <c r="B331" s="183"/>
      <c r="C331" s="83" t="s">
        <v>18</v>
      </c>
      <c r="D331" s="22">
        <v>0</v>
      </c>
      <c r="E331" s="22">
        <v>0</v>
      </c>
      <c r="F331" s="22">
        <f t="shared" si="113"/>
        <v>0</v>
      </c>
      <c r="G331" s="22">
        <v>57254.21</v>
      </c>
      <c r="H331" s="22">
        <v>0</v>
      </c>
      <c r="I331" s="22">
        <v>0</v>
      </c>
      <c r="J331" s="22">
        <v>0</v>
      </c>
      <c r="K331" s="22">
        <f t="shared" si="114"/>
        <v>57254.21</v>
      </c>
      <c r="L331" s="22">
        <v>0</v>
      </c>
      <c r="N331" s="24"/>
    </row>
    <row r="332" spans="1:14">
      <c r="A332" s="192"/>
      <c r="B332" s="182" t="s">
        <v>29</v>
      </c>
      <c r="C332" s="49" t="s">
        <v>16</v>
      </c>
      <c r="D332" s="22">
        <v>0</v>
      </c>
      <c r="E332" s="22">
        <v>0</v>
      </c>
      <c r="F332" s="22">
        <f t="shared" si="113"/>
        <v>0</v>
      </c>
      <c r="G332" s="15">
        <f>100248.07</f>
        <v>100248.07</v>
      </c>
      <c r="H332" s="22">
        <v>0</v>
      </c>
      <c r="I332" s="22">
        <v>0</v>
      </c>
      <c r="J332" s="22">
        <v>0</v>
      </c>
      <c r="K332" s="22">
        <f t="shared" si="114"/>
        <v>100248.07</v>
      </c>
      <c r="L332" s="22">
        <v>0</v>
      </c>
      <c r="N332" s="24"/>
    </row>
    <row r="333" spans="1:14">
      <c r="A333" s="192"/>
      <c r="B333" s="183"/>
      <c r="C333" s="49" t="s">
        <v>17</v>
      </c>
      <c r="D333" s="22">
        <v>0</v>
      </c>
      <c r="E333" s="22">
        <v>0</v>
      </c>
      <c r="F333" s="22">
        <f t="shared" si="113"/>
        <v>0</v>
      </c>
      <c r="G333" s="84">
        <v>99271.26</v>
      </c>
      <c r="H333" s="22">
        <v>0</v>
      </c>
      <c r="I333" s="22">
        <v>0</v>
      </c>
      <c r="J333" s="22">
        <v>0</v>
      </c>
      <c r="K333" s="22">
        <f t="shared" si="114"/>
        <v>99271.26</v>
      </c>
      <c r="L333" s="22">
        <v>0</v>
      </c>
      <c r="N333" s="24"/>
    </row>
    <row r="334" spans="1:14">
      <c r="A334" s="192"/>
      <c r="B334" s="183"/>
      <c r="C334" s="83" t="s">
        <v>18</v>
      </c>
      <c r="D334" s="22">
        <v>0</v>
      </c>
      <c r="E334" s="22">
        <v>0</v>
      </c>
      <c r="F334" s="22">
        <f t="shared" si="113"/>
        <v>0</v>
      </c>
      <c r="G334" s="22">
        <v>99271.26</v>
      </c>
      <c r="H334" s="22">
        <v>0</v>
      </c>
      <c r="I334" s="22">
        <v>0</v>
      </c>
      <c r="J334" s="22">
        <v>0</v>
      </c>
      <c r="K334" s="22">
        <f t="shared" si="114"/>
        <v>99271.26</v>
      </c>
      <c r="L334" s="22">
        <v>0</v>
      </c>
      <c r="N334" s="24"/>
    </row>
    <row r="335" spans="1:14">
      <c r="A335" s="192"/>
      <c r="B335" s="179" t="s">
        <v>30</v>
      </c>
      <c r="C335" s="49" t="s">
        <v>16</v>
      </c>
      <c r="D335" s="22">
        <v>0</v>
      </c>
      <c r="E335" s="22">
        <v>0</v>
      </c>
      <c r="F335" s="22">
        <f>SUM(D335:E335)</f>
        <v>0</v>
      </c>
      <c r="G335" s="15">
        <f>100248.07-5683.15</f>
        <v>94564.920000000013</v>
      </c>
      <c r="H335" s="22">
        <v>0</v>
      </c>
      <c r="I335" s="22">
        <v>0</v>
      </c>
      <c r="J335" s="22">
        <v>0</v>
      </c>
      <c r="K335" s="22">
        <f t="shared" si="114"/>
        <v>94564.920000000013</v>
      </c>
      <c r="L335" s="22">
        <v>0</v>
      </c>
      <c r="N335" s="24"/>
    </row>
    <row r="336" spans="1:14">
      <c r="A336" s="192"/>
      <c r="B336" s="178"/>
      <c r="C336" s="49" t="s">
        <v>17</v>
      </c>
      <c r="D336" s="22">
        <v>0</v>
      </c>
      <c r="E336" s="22">
        <v>0</v>
      </c>
      <c r="F336" s="22">
        <f>SUM(D336:E336)</f>
        <v>0</v>
      </c>
      <c r="G336" s="22">
        <f>95965.26</f>
        <v>95965.26</v>
      </c>
      <c r="H336" s="22">
        <v>0</v>
      </c>
      <c r="I336" s="22">
        <v>0</v>
      </c>
      <c r="J336" s="22">
        <v>0</v>
      </c>
      <c r="K336" s="22">
        <f t="shared" si="114"/>
        <v>95965.26</v>
      </c>
      <c r="L336" s="22">
        <v>0</v>
      </c>
      <c r="N336" s="24"/>
    </row>
    <row r="337" spans="1:14">
      <c r="A337" s="192"/>
      <c r="B337" s="178"/>
      <c r="C337" s="83" t="s">
        <v>18</v>
      </c>
      <c r="D337" s="22">
        <v>0</v>
      </c>
      <c r="E337" s="22">
        <v>0</v>
      </c>
      <c r="F337" s="22">
        <f>SUM(D337:E337)</f>
        <v>0</v>
      </c>
      <c r="G337" s="22">
        <v>95965.26</v>
      </c>
      <c r="H337" s="22">
        <v>0</v>
      </c>
      <c r="I337" s="22">
        <v>0</v>
      </c>
      <c r="J337" s="22">
        <v>0</v>
      </c>
      <c r="K337" s="22">
        <f t="shared" si="114"/>
        <v>95965.26</v>
      </c>
      <c r="L337" s="22">
        <v>0</v>
      </c>
      <c r="N337" s="24"/>
    </row>
    <row r="338" spans="1:14">
      <c r="A338" s="192"/>
      <c r="B338" s="184" t="s">
        <v>31</v>
      </c>
      <c r="C338" s="49" t="s">
        <v>16</v>
      </c>
      <c r="D338" s="22">
        <f t="shared" ref="D338:J338" si="115">D335+D332+D329</f>
        <v>0</v>
      </c>
      <c r="E338" s="22">
        <f t="shared" si="115"/>
        <v>0</v>
      </c>
      <c r="F338" s="22">
        <f t="shared" si="115"/>
        <v>0</v>
      </c>
      <c r="G338" s="22">
        <f t="shared" si="115"/>
        <v>252067.20000000001</v>
      </c>
      <c r="H338" s="22">
        <f t="shared" si="115"/>
        <v>0</v>
      </c>
      <c r="I338" s="22">
        <f t="shared" si="115"/>
        <v>0</v>
      </c>
      <c r="J338" s="22">
        <f t="shared" si="115"/>
        <v>0</v>
      </c>
      <c r="K338" s="22">
        <f t="shared" si="114"/>
        <v>252067.20000000001</v>
      </c>
      <c r="L338" s="22">
        <f>L335+L332+L329</f>
        <v>0</v>
      </c>
      <c r="N338" s="24"/>
    </row>
    <row r="339" spans="1:14">
      <c r="A339" s="192"/>
      <c r="B339" s="184"/>
      <c r="C339" s="49" t="s">
        <v>17</v>
      </c>
      <c r="D339" s="22">
        <f>D336+D333+D330</f>
        <v>0</v>
      </c>
      <c r="E339" s="22">
        <f>E336+E333+E330</f>
        <v>0</v>
      </c>
      <c r="F339" s="22">
        <f>D339+E339</f>
        <v>0</v>
      </c>
      <c r="G339" s="22">
        <f>G336+G333+G330</f>
        <v>252490.72999999998</v>
      </c>
      <c r="H339" s="22">
        <v>0</v>
      </c>
      <c r="I339" s="22">
        <f>I336+I333+I330</f>
        <v>0</v>
      </c>
      <c r="J339" s="22">
        <f>J336+J333+J330</f>
        <v>0</v>
      </c>
      <c r="K339" s="22">
        <f t="shared" si="114"/>
        <v>252490.72999999998</v>
      </c>
      <c r="L339" s="22">
        <f>L336+L333+L330</f>
        <v>0</v>
      </c>
      <c r="N339" s="24"/>
    </row>
    <row r="340" spans="1:14">
      <c r="A340" s="192"/>
      <c r="B340" s="184"/>
      <c r="C340" s="83" t="s">
        <v>18</v>
      </c>
      <c r="D340" s="22">
        <f>D337+D334+D331</f>
        <v>0</v>
      </c>
      <c r="E340" s="22">
        <f>E337+E334+E331</f>
        <v>0</v>
      </c>
      <c r="F340" s="22">
        <f>D340+E340</f>
        <v>0</v>
      </c>
      <c r="G340" s="22">
        <f>G337+G334+G331</f>
        <v>252490.72999999998</v>
      </c>
      <c r="H340" s="22">
        <f>H337+H334+H331</f>
        <v>0</v>
      </c>
      <c r="I340" s="22">
        <f>I337+I334+I331</f>
        <v>0</v>
      </c>
      <c r="J340" s="22">
        <f>J337+J334+J331</f>
        <v>0</v>
      </c>
      <c r="K340" s="22">
        <f t="shared" si="114"/>
        <v>252490.72999999998</v>
      </c>
      <c r="L340" s="22">
        <f>L337+L334+L331</f>
        <v>0</v>
      </c>
      <c r="N340" s="24"/>
    </row>
    <row r="341" spans="1:14">
      <c r="A341" s="192"/>
      <c r="B341" s="180" t="s">
        <v>32</v>
      </c>
      <c r="C341" s="50" t="s">
        <v>16</v>
      </c>
      <c r="D341" s="51">
        <f t="shared" ref="D341:E343" si="116">D323+D338</f>
        <v>0</v>
      </c>
      <c r="E341" s="51">
        <f t="shared" si="116"/>
        <v>0</v>
      </c>
      <c r="F341" s="51">
        <f>D341+E341</f>
        <v>0</v>
      </c>
      <c r="G341" s="51">
        <f>G323+G338</f>
        <v>542147.14</v>
      </c>
      <c r="H341" s="51">
        <f>H323+H338</f>
        <v>0</v>
      </c>
      <c r="I341" s="51">
        <f>I323+I338</f>
        <v>0</v>
      </c>
      <c r="J341" s="51">
        <f>J323+J338</f>
        <v>0</v>
      </c>
      <c r="K341" s="51">
        <f t="shared" si="114"/>
        <v>542147.14</v>
      </c>
      <c r="L341" s="51">
        <f>L323+L338</f>
        <v>0</v>
      </c>
      <c r="M341" s="52"/>
      <c r="N341" s="53"/>
    </row>
    <row r="342" spans="1:14">
      <c r="A342" s="192"/>
      <c r="B342" s="181"/>
      <c r="C342" s="20" t="s">
        <v>17</v>
      </c>
      <c r="D342" s="21">
        <f t="shared" si="116"/>
        <v>0</v>
      </c>
      <c r="E342" s="21">
        <f t="shared" si="116"/>
        <v>0</v>
      </c>
      <c r="F342" s="21">
        <f>D342+E342</f>
        <v>0</v>
      </c>
      <c r="G342" s="21">
        <f>G326+G339</f>
        <v>542570.66999999993</v>
      </c>
      <c r="H342" s="21">
        <f t="shared" ref="H342:J343" si="117">H339+H324</f>
        <v>0</v>
      </c>
      <c r="I342" s="21">
        <f t="shared" si="117"/>
        <v>0</v>
      </c>
      <c r="J342" s="21">
        <f t="shared" si="117"/>
        <v>0</v>
      </c>
      <c r="K342" s="21">
        <f t="shared" si="114"/>
        <v>542570.66999999993</v>
      </c>
      <c r="L342" s="23">
        <f>L339+L324</f>
        <v>0</v>
      </c>
      <c r="N342" s="24"/>
    </row>
    <row r="343" spans="1:14">
      <c r="A343" s="192"/>
      <c r="B343" s="181"/>
      <c r="C343" s="31" t="s">
        <v>18</v>
      </c>
      <c r="D343" s="21">
        <f t="shared" si="116"/>
        <v>0</v>
      </c>
      <c r="E343" s="21">
        <f t="shared" si="116"/>
        <v>0</v>
      </c>
      <c r="F343" s="21">
        <f>D343+E343</f>
        <v>0</v>
      </c>
      <c r="G343" s="33">
        <f>G328+G340</f>
        <v>542570.67000000004</v>
      </c>
      <c r="H343" s="33">
        <f t="shared" si="117"/>
        <v>0</v>
      </c>
      <c r="I343" s="33">
        <f t="shared" si="117"/>
        <v>0</v>
      </c>
      <c r="J343" s="33">
        <f t="shared" si="117"/>
        <v>0</v>
      </c>
      <c r="K343" s="21">
        <f t="shared" si="114"/>
        <v>542570.67000000004</v>
      </c>
      <c r="L343" s="34">
        <f>L340+L325</f>
        <v>0</v>
      </c>
      <c r="N343" s="24"/>
    </row>
    <row r="344" spans="1:14">
      <c r="A344" s="192"/>
      <c r="B344" s="178"/>
      <c r="C344" s="145" t="s">
        <v>56</v>
      </c>
      <c r="D344" s="51"/>
      <c r="E344" s="51"/>
      <c r="F344" s="51"/>
      <c r="G344" s="51">
        <v>542147.14</v>
      </c>
      <c r="H344" s="51"/>
      <c r="I344" s="51"/>
      <c r="J344" s="51"/>
      <c r="K344" s="51">
        <f>G344</f>
        <v>542147.14</v>
      </c>
      <c r="L344" s="51"/>
      <c r="M344" s="52"/>
      <c r="N344" s="53"/>
    </row>
    <row r="345" spans="1:14">
      <c r="A345" s="192"/>
      <c r="B345" s="178"/>
      <c r="C345" s="145" t="s">
        <v>48</v>
      </c>
      <c r="D345" s="51"/>
      <c r="E345" s="51"/>
      <c r="F345" s="51"/>
      <c r="G345" s="51">
        <v>-423.53</v>
      </c>
      <c r="H345" s="51"/>
      <c r="I345" s="51"/>
      <c r="J345" s="51"/>
      <c r="K345" s="51">
        <f>G345</f>
        <v>-423.53</v>
      </c>
      <c r="L345" s="51"/>
      <c r="M345" s="52"/>
      <c r="N345" s="53"/>
    </row>
    <row r="346" spans="1:14">
      <c r="A346" s="192"/>
      <c r="B346" s="178"/>
      <c r="C346" s="145" t="s">
        <v>26</v>
      </c>
      <c r="D346" s="51"/>
      <c r="E346" s="51"/>
      <c r="F346" s="51"/>
      <c r="G346" s="51">
        <f>G345+G343</f>
        <v>542147.14</v>
      </c>
      <c r="H346" s="51"/>
      <c r="I346" s="51"/>
      <c r="J346" s="51"/>
      <c r="K346" s="51">
        <f>G346</f>
        <v>542147.14</v>
      </c>
      <c r="L346" s="51"/>
      <c r="M346" s="52"/>
      <c r="N346" s="53"/>
    </row>
    <row r="347" spans="1:14">
      <c r="A347" s="192"/>
      <c r="B347" s="171" t="s">
        <v>33</v>
      </c>
      <c r="C347" s="20" t="s">
        <v>16</v>
      </c>
      <c r="D347" s="21">
        <v>0</v>
      </c>
      <c r="E347" s="21">
        <v>0</v>
      </c>
      <c r="F347" s="21">
        <f t="shared" ref="F347:F355" si="118">SUM(D347:E347)</f>
        <v>0</v>
      </c>
      <c r="G347" s="21">
        <f>109533-16463</f>
        <v>93070</v>
      </c>
      <c r="H347" s="49">
        <v>0</v>
      </c>
      <c r="I347" s="49">
        <v>0</v>
      </c>
      <c r="J347" s="49">
        <v>0</v>
      </c>
      <c r="K347" s="21">
        <f>D347+E347+G347+H347+I347+J347</f>
        <v>93070</v>
      </c>
      <c r="L347" s="23">
        <v>0</v>
      </c>
      <c r="N347" s="24"/>
    </row>
    <row r="348" spans="1:14">
      <c r="A348" s="192"/>
      <c r="B348" s="172"/>
      <c r="C348" s="20" t="s">
        <v>17</v>
      </c>
      <c r="D348" s="21">
        <v>0</v>
      </c>
      <c r="E348" s="21">
        <v>0</v>
      </c>
      <c r="F348" s="21">
        <f t="shared" si="118"/>
        <v>0</v>
      </c>
      <c r="G348" s="21">
        <v>93070</v>
      </c>
      <c r="H348" s="49">
        <v>0</v>
      </c>
      <c r="I348" s="49">
        <v>0</v>
      </c>
      <c r="J348" s="49">
        <v>0</v>
      </c>
      <c r="K348" s="21">
        <f>D348+E348+G348+H348+I348+J348</f>
        <v>93070</v>
      </c>
      <c r="L348" s="23">
        <v>0</v>
      </c>
      <c r="N348" s="24"/>
    </row>
    <row r="349" spans="1:14">
      <c r="A349" s="192"/>
      <c r="B349" s="172"/>
      <c r="C349" s="20" t="s">
        <v>18</v>
      </c>
      <c r="D349" s="21">
        <v>0</v>
      </c>
      <c r="E349" s="21">
        <f>E331+E343</f>
        <v>0</v>
      </c>
      <c r="F349" s="21">
        <f t="shared" si="118"/>
        <v>0</v>
      </c>
      <c r="G349" s="21">
        <v>93070</v>
      </c>
      <c r="H349" s="49">
        <v>0</v>
      </c>
      <c r="I349" s="49">
        <v>0</v>
      </c>
      <c r="J349" s="49">
        <v>0</v>
      </c>
      <c r="K349" s="21">
        <f>D349+E349+G349+H349+I349+J349</f>
        <v>93070</v>
      </c>
      <c r="L349" s="23">
        <v>0</v>
      </c>
      <c r="N349" s="24"/>
    </row>
    <row r="350" spans="1:14">
      <c r="A350" s="192"/>
      <c r="B350" s="171" t="s">
        <v>34</v>
      </c>
      <c r="C350" s="20" t="s">
        <v>16</v>
      </c>
      <c r="D350" s="21">
        <v>0</v>
      </c>
      <c r="E350" s="21">
        <f>E334+E349</f>
        <v>0</v>
      </c>
      <c r="F350" s="21">
        <f t="shared" si="118"/>
        <v>0</v>
      </c>
      <c r="G350" s="21">
        <f>109533-21094</f>
        <v>88439</v>
      </c>
      <c r="H350" s="49">
        <v>0</v>
      </c>
      <c r="I350" s="49">
        <v>0</v>
      </c>
      <c r="J350" s="49">
        <v>0</v>
      </c>
      <c r="K350" s="21">
        <f t="shared" ref="K350:K355" si="119">J350+I350+H350+G350+E350+D350</f>
        <v>88439</v>
      </c>
      <c r="L350" s="23">
        <v>0</v>
      </c>
      <c r="N350" s="24"/>
    </row>
    <row r="351" spans="1:14">
      <c r="A351" s="192"/>
      <c r="B351" s="172"/>
      <c r="C351" s="20" t="s">
        <v>17</v>
      </c>
      <c r="D351" s="21">
        <v>0</v>
      </c>
      <c r="E351" s="21">
        <v>0</v>
      </c>
      <c r="F351" s="21">
        <f t="shared" si="118"/>
        <v>0</v>
      </c>
      <c r="G351" s="21">
        <v>88439</v>
      </c>
      <c r="H351" s="49">
        <v>0</v>
      </c>
      <c r="I351" s="49">
        <v>0</v>
      </c>
      <c r="J351" s="49">
        <v>0</v>
      </c>
      <c r="K351" s="21">
        <f t="shared" si="119"/>
        <v>88439</v>
      </c>
      <c r="L351" s="23">
        <v>0</v>
      </c>
      <c r="N351" s="24"/>
    </row>
    <row r="352" spans="1:14">
      <c r="A352" s="192"/>
      <c r="B352" s="172"/>
      <c r="C352" s="20" t="s">
        <v>18</v>
      </c>
      <c r="D352" s="21">
        <v>0</v>
      </c>
      <c r="E352" s="21">
        <v>0</v>
      </c>
      <c r="F352" s="21">
        <f t="shared" si="118"/>
        <v>0</v>
      </c>
      <c r="G352" s="21">
        <v>88439</v>
      </c>
      <c r="H352" s="49">
        <v>0</v>
      </c>
      <c r="I352" s="49">
        <v>0</v>
      </c>
      <c r="J352" s="49">
        <v>0</v>
      </c>
      <c r="K352" s="21">
        <f t="shared" si="119"/>
        <v>88439</v>
      </c>
      <c r="L352" s="23">
        <v>0</v>
      </c>
      <c r="N352" s="24"/>
    </row>
    <row r="353" spans="1:14">
      <c r="A353" s="192"/>
      <c r="B353" s="171" t="s">
        <v>35</v>
      </c>
      <c r="C353" s="20" t="s">
        <v>16</v>
      </c>
      <c r="D353" s="21">
        <v>0</v>
      </c>
      <c r="E353" s="21">
        <f>E338+E352</f>
        <v>0</v>
      </c>
      <c r="F353" s="21">
        <f t="shared" si="118"/>
        <v>0</v>
      </c>
      <c r="G353" s="21">
        <f>109533-14147</f>
        <v>95386</v>
      </c>
      <c r="H353" s="49">
        <v>0</v>
      </c>
      <c r="I353" s="49">
        <v>0</v>
      </c>
      <c r="J353" s="49">
        <v>0</v>
      </c>
      <c r="K353" s="21">
        <f t="shared" si="119"/>
        <v>95386</v>
      </c>
      <c r="L353" s="23">
        <v>0</v>
      </c>
      <c r="N353" s="24"/>
    </row>
    <row r="354" spans="1:14">
      <c r="A354" s="192"/>
      <c r="B354" s="172"/>
      <c r="C354" s="20" t="s">
        <v>17</v>
      </c>
      <c r="D354" s="21">
        <v>0</v>
      </c>
      <c r="E354" s="21">
        <v>0</v>
      </c>
      <c r="F354" s="21">
        <f t="shared" si="118"/>
        <v>0</v>
      </c>
      <c r="G354" s="21">
        <v>91834</v>
      </c>
      <c r="H354" s="49">
        <v>0</v>
      </c>
      <c r="I354" s="49">
        <v>0</v>
      </c>
      <c r="J354" s="49">
        <v>0</v>
      </c>
      <c r="K354" s="21">
        <f t="shared" si="119"/>
        <v>91834</v>
      </c>
      <c r="L354" s="23">
        <v>0</v>
      </c>
      <c r="N354" s="24"/>
    </row>
    <row r="355" spans="1:14">
      <c r="A355" s="192"/>
      <c r="B355" s="172"/>
      <c r="C355" s="20" t="s">
        <v>18</v>
      </c>
      <c r="D355" s="21">
        <v>0</v>
      </c>
      <c r="E355" s="21">
        <v>0</v>
      </c>
      <c r="F355" s="21">
        <f t="shared" si="118"/>
        <v>0</v>
      </c>
      <c r="G355" s="21">
        <v>91834</v>
      </c>
      <c r="H355" s="49">
        <v>0</v>
      </c>
      <c r="I355" s="49">
        <v>0</v>
      </c>
      <c r="J355" s="49">
        <v>0</v>
      </c>
      <c r="K355" s="21">
        <f t="shared" si="119"/>
        <v>91834</v>
      </c>
      <c r="L355" s="23">
        <v>0</v>
      </c>
      <c r="N355" s="24"/>
    </row>
    <row r="356" spans="1:14">
      <c r="A356" s="192"/>
      <c r="B356" s="171" t="s">
        <v>36</v>
      </c>
      <c r="C356" s="50" t="s">
        <v>16</v>
      </c>
      <c r="D356" s="51">
        <f t="shared" ref="D356:L358" si="120">D347+D350+D353</f>
        <v>0</v>
      </c>
      <c r="E356" s="51">
        <f t="shared" si="120"/>
        <v>0</v>
      </c>
      <c r="F356" s="51">
        <f t="shared" si="120"/>
        <v>0</v>
      </c>
      <c r="G356" s="51">
        <f t="shared" si="120"/>
        <v>276895</v>
      </c>
      <c r="H356" s="51">
        <f t="shared" si="120"/>
        <v>0</v>
      </c>
      <c r="I356" s="51">
        <f t="shared" si="120"/>
        <v>0</v>
      </c>
      <c r="J356" s="51">
        <f t="shared" si="120"/>
        <v>0</v>
      </c>
      <c r="K356" s="51">
        <f t="shared" si="120"/>
        <v>276895</v>
      </c>
      <c r="L356" s="51">
        <f t="shared" si="120"/>
        <v>0</v>
      </c>
      <c r="M356" s="52"/>
      <c r="N356" s="53"/>
    </row>
    <row r="357" spans="1:14">
      <c r="A357" s="192"/>
      <c r="B357" s="172"/>
      <c r="C357" s="20" t="s">
        <v>17</v>
      </c>
      <c r="D357" s="21">
        <f t="shared" si="120"/>
        <v>0</v>
      </c>
      <c r="E357" s="21">
        <f t="shared" si="120"/>
        <v>0</v>
      </c>
      <c r="F357" s="21">
        <f t="shared" si="120"/>
        <v>0</v>
      </c>
      <c r="G357" s="21">
        <f t="shared" si="120"/>
        <v>273343</v>
      </c>
      <c r="H357" s="21">
        <f t="shared" si="120"/>
        <v>0</v>
      </c>
      <c r="I357" s="21">
        <f t="shared" si="120"/>
        <v>0</v>
      </c>
      <c r="J357" s="21">
        <f t="shared" si="120"/>
        <v>0</v>
      </c>
      <c r="K357" s="21">
        <f t="shared" si="120"/>
        <v>273343</v>
      </c>
      <c r="L357" s="21">
        <f t="shared" si="120"/>
        <v>0</v>
      </c>
      <c r="N357" s="24"/>
    </row>
    <row r="358" spans="1:14">
      <c r="A358" s="192"/>
      <c r="B358" s="172"/>
      <c r="C358" s="20" t="s">
        <v>18</v>
      </c>
      <c r="D358" s="21">
        <f t="shared" si="120"/>
        <v>0</v>
      </c>
      <c r="E358" s="21">
        <f t="shared" si="120"/>
        <v>0</v>
      </c>
      <c r="F358" s="21">
        <f t="shared" si="120"/>
        <v>0</v>
      </c>
      <c r="G358" s="21">
        <f t="shared" si="120"/>
        <v>273343</v>
      </c>
      <c r="H358" s="21">
        <f t="shared" si="120"/>
        <v>0</v>
      </c>
      <c r="I358" s="21">
        <f t="shared" si="120"/>
        <v>0</v>
      </c>
      <c r="J358" s="21">
        <f t="shared" si="120"/>
        <v>0</v>
      </c>
      <c r="K358" s="21">
        <f t="shared" si="120"/>
        <v>273343</v>
      </c>
      <c r="L358" s="21">
        <f t="shared" si="120"/>
        <v>0</v>
      </c>
      <c r="N358" s="24"/>
    </row>
    <row r="359" spans="1:14">
      <c r="A359" s="192"/>
      <c r="B359" s="173"/>
      <c r="C359" s="145" t="s">
        <v>56</v>
      </c>
      <c r="D359" s="51">
        <v>0</v>
      </c>
      <c r="E359" s="51">
        <v>0</v>
      </c>
      <c r="F359" s="51">
        <v>0</v>
      </c>
      <c r="G359" s="51">
        <v>276895</v>
      </c>
      <c r="H359" s="51"/>
      <c r="I359" s="51"/>
      <c r="J359" s="51"/>
      <c r="K359" s="51">
        <f>G359</f>
        <v>276895</v>
      </c>
      <c r="L359" s="51">
        <v>0</v>
      </c>
      <c r="M359" s="52"/>
      <c r="N359" s="53"/>
    </row>
    <row r="360" spans="1:14">
      <c r="A360" s="192"/>
      <c r="B360" s="173"/>
      <c r="C360" s="145" t="s">
        <v>48</v>
      </c>
      <c r="D360" s="51">
        <v>0</v>
      </c>
      <c r="E360" s="51">
        <v>0</v>
      </c>
      <c r="F360" s="51"/>
      <c r="G360" s="51">
        <v>3552</v>
      </c>
      <c r="H360" s="51"/>
      <c r="I360" s="51"/>
      <c r="J360" s="51"/>
      <c r="K360" s="51">
        <f>G360</f>
        <v>3552</v>
      </c>
      <c r="L360" s="51">
        <v>0</v>
      </c>
      <c r="M360" s="52"/>
      <c r="N360" s="53"/>
    </row>
    <row r="361" spans="1:14">
      <c r="A361" s="192"/>
      <c r="B361" s="173"/>
      <c r="C361" s="145" t="s">
        <v>26</v>
      </c>
      <c r="D361" s="51">
        <v>0</v>
      </c>
      <c r="E361" s="51">
        <v>0</v>
      </c>
      <c r="F361" s="51"/>
      <c r="G361" s="51">
        <f>G360+G358</f>
        <v>276895</v>
      </c>
      <c r="H361" s="51"/>
      <c r="I361" s="51"/>
      <c r="J361" s="51"/>
      <c r="K361" s="51">
        <f>G361</f>
        <v>276895</v>
      </c>
      <c r="L361" s="51">
        <v>0</v>
      </c>
      <c r="M361" s="52"/>
      <c r="N361" s="53"/>
    </row>
    <row r="362" spans="1:14">
      <c r="A362" s="192"/>
      <c r="B362" s="171" t="s">
        <v>38</v>
      </c>
      <c r="C362" s="20" t="s">
        <v>16</v>
      </c>
      <c r="D362" s="21">
        <v>0</v>
      </c>
      <c r="E362" s="21">
        <v>0</v>
      </c>
      <c r="F362" s="21">
        <f t="shared" ref="F362:F367" si="121">SUM(D362:E362)</f>
        <v>0</v>
      </c>
      <c r="G362" s="21">
        <f>109533-21321</f>
        <v>88212</v>
      </c>
      <c r="H362" s="49">
        <v>0</v>
      </c>
      <c r="I362" s="49">
        <v>0</v>
      </c>
      <c r="J362" s="49">
        <v>0</v>
      </c>
      <c r="K362" s="21">
        <f t="shared" ref="K362:K367" si="122">D362+E362+G362+H362+I362+J362</f>
        <v>88212</v>
      </c>
      <c r="L362" s="23">
        <v>0</v>
      </c>
      <c r="N362" s="24"/>
    </row>
    <row r="363" spans="1:14">
      <c r="A363" s="192"/>
      <c r="B363" s="172"/>
      <c r="C363" s="20" t="s">
        <v>17</v>
      </c>
      <c r="D363" s="21">
        <v>0</v>
      </c>
      <c r="E363" s="21">
        <v>0</v>
      </c>
      <c r="F363" s="21">
        <f t="shared" si="121"/>
        <v>0</v>
      </c>
      <c r="G363" s="21">
        <v>88212</v>
      </c>
      <c r="H363" s="49">
        <v>0</v>
      </c>
      <c r="I363" s="49">
        <v>0</v>
      </c>
      <c r="J363" s="49">
        <v>0</v>
      </c>
      <c r="K363" s="21">
        <f t="shared" si="122"/>
        <v>88212</v>
      </c>
      <c r="L363" s="23">
        <v>0</v>
      </c>
      <c r="N363" s="24"/>
    </row>
    <row r="364" spans="1:14">
      <c r="A364" s="192"/>
      <c r="B364" s="172"/>
      <c r="C364" s="20" t="s">
        <v>18</v>
      </c>
      <c r="D364" s="21">
        <v>0</v>
      </c>
      <c r="E364" s="21">
        <v>0</v>
      </c>
      <c r="F364" s="21">
        <f t="shared" si="121"/>
        <v>0</v>
      </c>
      <c r="G364" s="21">
        <v>88212</v>
      </c>
      <c r="H364" s="49">
        <v>0</v>
      </c>
      <c r="I364" s="49">
        <v>0</v>
      </c>
      <c r="J364" s="49">
        <v>0</v>
      </c>
      <c r="K364" s="21">
        <f t="shared" si="122"/>
        <v>88212</v>
      </c>
      <c r="L364" s="23">
        <v>0</v>
      </c>
      <c r="N364" s="24"/>
    </row>
    <row r="365" spans="1:14">
      <c r="A365" s="192"/>
      <c r="B365" s="171" t="s">
        <v>39</v>
      </c>
      <c r="C365" s="20" t="s">
        <v>16</v>
      </c>
      <c r="D365" s="21">
        <v>0</v>
      </c>
      <c r="E365" s="21">
        <v>0</v>
      </c>
      <c r="F365" s="21">
        <f t="shared" si="121"/>
        <v>0</v>
      </c>
      <c r="G365" s="21">
        <f>109533-35243</f>
        <v>74290</v>
      </c>
      <c r="H365" s="49">
        <v>0</v>
      </c>
      <c r="I365" s="49">
        <v>0</v>
      </c>
      <c r="J365" s="49">
        <v>0</v>
      </c>
      <c r="K365" s="21">
        <f t="shared" si="122"/>
        <v>74290</v>
      </c>
      <c r="L365" s="23">
        <v>0</v>
      </c>
      <c r="N365" s="24"/>
    </row>
    <row r="366" spans="1:14">
      <c r="A366" s="192"/>
      <c r="B366" s="172"/>
      <c r="C366" s="20" t="s">
        <v>17</v>
      </c>
      <c r="D366" s="21">
        <v>0</v>
      </c>
      <c r="E366" s="21">
        <v>0</v>
      </c>
      <c r="F366" s="21">
        <f t="shared" si="121"/>
        <v>0</v>
      </c>
      <c r="G366" s="21">
        <v>74216</v>
      </c>
      <c r="H366" s="49">
        <v>0</v>
      </c>
      <c r="I366" s="49">
        <v>0</v>
      </c>
      <c r="J366" s="49">
        <v>0</v>
      </c>
      <c r="K366" s="21">
        <f t="shared" si="122"/>
        <v>74216</v>
      </c>
      <c r="L366" s="23">
        <v>0</v>
      </c>
      <c r="N366" s="24"/>
    </row>
    <row r="367" spans="1:14">
      <c r="A367" s="192"/>
      <c r="B367" s="172"/>
      <c r="C367" s="20" t="s">
        <v>18</v>
      </c>
      <c r="D367" s="21">
        <v>0</v>
      </c>
      <c r="E367" s="21">
        <v>0</v>
      </c>
      <c r="F367" s="21">
        <f t="shared" si="121"/>
        <v>0</v>
      </c>
      <c r="G367" s="21">
        <v>74216</v>
      </c>
      <c r="H367" s="49">
        <v>0</v>
      </c>
      <c r="I367" s="49">
        <v>0</v>
      </c>
      <c r="J367" s="49">
        <v>0</v>
      </c>
      <c r="K367" s="21">
        <f t="shared" si="122"/>
        <v>74216</v>
      </c>
      <c r="L367" s="23">
        <v>0</v>
      </c>
      <c r="N367" s="24"/>
    </row>
    <row r="368" spans="1:14">
      <c r="A368" s="192"/>
      <c r="B368" s="204" t="s">
        <v>55</v>
      </c>
      <c r="C368" s="124" t="s">
        <v>16</v>
      </c>
      <c r="D368" s="58">
        <f t="shared" ref="D368:N368" si="123">D356+D362+D365</f>
        <v>0</v>
      </c>
      <c r="E368" s="58">
        <f t="shared" si="123"/>
        <v>0</v>
      </c>
      <c r="F368" s="58">
        <f t="shared" si="123"/>
        <v>0</v>
      </c>
      <c r="G368" s="58">
        <f t="shared" si="123"/>
        <v>439397</v>
      </c>
      <c r="H368" s="58">
        <f t="shared" si="123"/>
        <v>0</v>
      </c>
      <c r="I368" s="58">
        <f t="shared" si="123"/>
        <v>0</v>
      </c>
      <c r="J368" s="58">
        <f t="shared" si="123"/>
        <v>0</v>
      </c>
      <c r="K368" s="58">
        <f t="shared" si="123"/>
        <v>439397</v>
      </c>
      <c r="L368" s="58">
        <f t="shared" si="123"/>
        <v>0</v>
      </c>
      <c r="M368" s="58">
        <f t="shared" si="123"/>
        <v>0</v>
      </c>
      <c r="N368" s="58">
        <f t="shared" si="123"/>
        <v>0</v>
      </c>
    </row>
    <row r="369" spans="1:14">
      <c r="A369" s="192"/>
      <c r="B369" s="205"/>
      <c r="C369" s="124" t="s">
        <v>17</v>
      </c>
      <c r="D369" s="58">
        <v>0</v>
      </c>
      <c r="E369" s="58">
        <v>0</v>
      </c>
      <c r="F369" s="58">
        <v>0</v>
      </c>
      <c r="G369" s="58">
        <v>439397</v>
      </c>
      <c r="H369" s="58">
        <v>0</v>
      </c>
      <c r="I369" s="58"/>
      <c r="J369" s="58"/>
      <c r="K369" s="58">
        <f>G369</f>
        <v>439397</v>
      </c>
      <c r="L369" s="58">
        <v>0</v>
      </c>
      <c r="M369" s="59"/>
      <c r="N369" s="60"/>
    </row>
    <row r="370" spans="1:14">
      <c r="A370" s="192"/>
      <c r="B370" s="205"/>
      <c r="C370" s="124" t="s">
        <v>18</v>
      </c>
      <c r="D370" s="58">
        <v>0</v>
      </c>
      <c r="E370" s="58">
        <v>0</v>
      </c>
      <c r="F370" s="58">
        <v>0</v>
      </c>
      <c r="G370" s="58">
        <f>G361+G364+G367</f>
        <v>439323</v>
      </c>
      <c r="H370" s="58">
        <v>0</v>
      </c>
      <c r="I370" s="58"/>
      <c r="J370" s="58"/>
      <c r="K370" s="58">
        <f>G370</f>
        <v>439323</v>
      </c>
      <c r="L370" s="58">
        <v>0</v>
      </c>
      <c r="M370" s="59"/>
      <c r="N370" s="60"/>
    </row>
    <row r="371" spans="1:14">
      <c r="A371" s="192"/>
      <c r="B371" s="205"/>
      <c r="C371" s="124" t="s">
        <v>48</v>
      </c>
      <c r="D371" s="58">
        <v>0</v>
      </c>
      <c r="E371" s="58">
        <v>0</v>
      </c>
      <c r="F371" s="58">
        <v>0</v>
      </c>
      <c r="G371" s="58">
        <v>74</v>
      </c>
      <c r="H371" s="58">
        <v>0</v>
      </c>
      <c r="I371" s="58"/>
      <c r="J371" s="58"/>
      <c r="K371" s="58">
        <f>G371</f>
        <v>74</v>
      </c>
      <c r="L371" s="58">
        <v>0</v>
      </c>
      <c r="M371" s="59"/>
      <c r="N371" s="60"/>
    </row>
    <row r="372" spans="1:14">
      <c r="A372" s="192"/>
      <c r="B372" s="205"/>
      <c r="C372" s="124" t="s">
        <v>26</v>
      </c>
      <c r="D372" s="58">
        <v>0</v>
      </c>
      <c r="E372" s="58">
        <v>0</v>
      </c>
      <c r="F372" s="58">
        <v>0</v>
      </c>
      <c r="G372" s="58">
        <f>G370+G371</f>
        <v>439397</v>
      </c>
      <c r="H372" s="58">
        <v>0</v>
      </c>
      <c r="I372" s="58"/>
      <c r="J372" s="58"/>
      <c r="K372" s="58">
        <f>G372</f>
        <v>439397</v>
      </c>
      <c r="L372" s="58">
        <v>0</v>
      </c>
      <c r="M372" s="59"/>
      <c r="N372" s="60"/>
    </row>
    <row r="373" spans="1:14">
      <c r="A373" s="192"/>
      <c r="B373" s="171" t="s">
        <v>43</v>
      </c>
      <c r="C373" s="20" t="s">
        <v>16</v>
      </c>
      <c r="D373" s="21">
        <v>0</v>
      </c>
      <c r="E373" s="21">
        <v>0</v>
      </c>
      <c r="F373" s="21">
        <f>SUM(D373:E373)</f>
        <v>0</v>
      </c>
      <c r="G373" s="21">
        <f>452+84449-31610</f>
        <v>53291</v>
      </c>
      <c r="H373" s="49">
        <v>0</v>
      </c>
      <c r="I373" s="49">
        <v>0</v>
      </c>
      <c r="J373" s="49">
        <v>0</v>
      </c>
      <c r="K373" s="21">
        <f>D373+E373+G373+H373+I373+J373</f>
        <v>53291</v>
      </c>
      <c r="L373" s="23">
        <v>0</v>
      </c>
      <c r="N373" s="24"/>
    </row>
    <row r="374" spans="1:14">
      <c r="A374" s="192"/>
      <c r="B374" s="172"/>
      <c r="C374" s="20" t="s">
        <v>17</v>
      </c>
      <c r="D374" s="21">
        <v>0</v>
      </c>
      <c r="E374" s="21">
        <v>0</v>
      </c>
      <c r="F374" s="21">
        <f>SUM(D374:E374)</f>
        <v>0</v>
      </c>
      <c r="G374" s="21">
        <v>53021</v>
      </c>
      <c r="H374" s="49">
        <v>0</v>
      </c>
      <c r="I374" s="49">
        <v>0</v>
      </c>
      <c r="J374" s="49">
        <v>0</v>
      </c>
      <c r="K374" s="21">
        <f>D374+E374+G374+H374+I374+J374</f>
        <v>53021</v>
      </c>
      <c r="L374" s="23">
        <v>0</v>
      </c>
      <c r="N374" s="24"/>
    </row>
    <row r="375" spans="1:14">
      <c r="A375" s="192"/>
      <c r="B375" s="172"/>
      <c r="C375" s="20" t="s">
        <v>18</v>
      </c>
      <c r="D375" s="21">
        <v>0</v>
      </c>
      <c r="E375" s="21">
        <v>0</v>
      </c>
      <c r="F375" s="21">
        <f>SUM(D375:E375)</f>
        <v>0</v>
      </c>
      <c r="G375" s="21">
        <v>53021</v>
      </c>
      <c r="H375" s="49">
        <v>0</v>
      </c>
      <c r="I375" s="49">
        <v>0</v>
      </c>
      <c r="J375" s="49">
        <v>0</v>
      </c>
      <c r="K375" s="21">
        <f>D375+E375+G375+H375+I375+J375</f>
        <v>53021</v>
      </c>
      <c r="L375" s="23">
        <v>0</v>
      </c>
      <c r="N375" s="24"/>
    </row>
    <row r="376" spans="1:14">
      <c r="A376" s="192"/>
      <c r="B376" s="187" t="s">
        <v>44</v>
      </c>
      <c r="C376" s="20" t="s">
        <v>16</v>
      </c>
      <c r="D376" s="21">
        <f t="shared" ref="D376:F378" si="124">D362+D365+D373</f>
        <v>0</v>
      </c>
      <c r="E376" s="21">
        <f t="shared" si="124"/>
        <v>0</v>
      </c>
      <c r="F376" s="21">
        <f t="shared" si="124"/>
        <v>0</v>
      </c>
      <c r="G376" s="21">
        <f>G373+G365+G362</f>
        <v>215793</v>
      </c>
      <c r="H376" s="21">
        <f t="shared" ref="H376:L378" si="125">H362+H365+H373</f>
        <v>0</v>
      </c>
      <c r="I376" s="21">
        <f t="shared" si="125"/>
        <v>0</v>
      </c>
      <c r="J376" s="21">
        <f t="shared" si="125"/>
        <v>0</v>
      </c>
      <c r="K376" s="21">
        <f t="shared" si="125"/>
        <v>215793</v>
      </c>
      <c r="L376" s="23">
        <f t="shared" si="125"/>
        <v>0</v>
      </c>
      <c r="N376" s="24"/>
    </row>
    <row r="377" spans="1:14">
      <c r="A377" s="192"/>
      <c r="B377" s="188"/>
      <c r="C377" s="20" t="s">
        <v>17</v>
      </c>
      <c r="D377" s="21">
        <f t="shared" si="124"/>
        <v>0</v>
      </c>
      <c r="E377" s="21">
        <f t="shared" si="124"/>
        <v>0</v>
      </c>
      <c r="F377" s="21">
        <f t="shared" si="124"/>
        <v>0</v>
      </c>
      <c r="G377" s="21">
        <f>G369+G374</f>
        <v>492418</v>
      </c>
      <c r="H377" s="21">
        <f t="shared" si="125"/>
        <v>0</v>
      </c>
      <c r="I377" s="21">
        <f t="shared" si="125"/>
        <v>0</v>
      </c>
      <c r="J377" s="21">
        <f t="shared" si="125"/>
        <v>0</v>
      </c>
      <c r="K377" s="21">
        <f t="shared" si="125"/>
        <v>215449</v>
      </c>
      <c r="L377" s="21">
        <f t="shared" si="125"/>
        <v>0</v>
      </c>
      <c r="N377" s="24"/>
    </row>
    <row r="378" spans="1:14">
      <c r="A378" s="192"/>
      <c r="B378" s="188"/>
      <c r="C378" s="20" t="s">
        <v>18</v>
      </c>
      <c r="D378" s="21">
        <f t="shared" si="124"/>
        <v>0</v>
      </c>
      <c r="E378" s="21">
        <f t="shared" si="124"/>
        <v>0</v>
      </c>
      <c r="F378" s="21">
        <f t="shared" si="124"/>
        <v>0</v>
      </c>
      <c r="G378" s="21">
        <f>G372+G375</f>
        <v>492418</v>
      </c>
      <c r="H378" s="21">
        <f t="shared" si="125"/>
        <v>0</v>
      </c>
      <c r="I378" s="21">
        <f t="shared" si="125"/>
        <v>0</v>
      </c>
      <c r="J378" s="21">
        <f t="shared" si="125"/>
        <v>0</v>
      </c>
      <c r="K378" s="21">
        <f t="shared" si="125"/>
        <v>215449</v>
      </c>
      <c r="L378" s="21">
        <f t="shared" si="125"/>
        <v>0</v>
      </c>
      <c r="N378" s="24"/>
    </row>
    <row r="379" spans="1:14">
      <c r="A379" s="192"/>
      <c r="B379" s="212" t="s">
        <v>45</v>
      </c>
      <c r="C379" s="40" t="s">
        <v>16</v>
      </c>
      <c r="D379" s="41">
        <f t="shared" ref="D379:L380" si="126">D356+D376</f>
        <v>0</v>
      </c>
      <c r="E379" s="41">
        <f t="shared" si="126"/>
        <v>0</v>
      </c>
      <c r="F379" s="41">
        <f t="shared" si="126"/>
        <v>0</v>
      </c>
      <c r="G379" s="41">
        <f>G368+G373</f>
        <v>492688</v>
      </c>
      <c r="H379" s="41">
        <f t="shared" si="126"/>
        <v>0</v>
      </c>
      <c r="I379" s="41">
        <f t="shared" si="126"/>
        <v>0</v>
      </c>
      <c r="J379" s="41">
        <f t="shared" si="126"/>
        <v>0</v>
      </c>
      <c r="K379" s="41">
        <f t="shared" si="126"/>
        <v>492688</v>
      </c>
      <c r="L379" s="41">
        <f t="shared" si="126"/>
        <v>0</v>
      </c>
      <c r="M379" s="42"/>
      <c r="N379" s="43"/>
    </row>
    <row r="380" spans="1:14">
      <c r="A380" s="192"/>
      <c r="B380" s="213"/>
      <c r="C380" s="40" t="s">
        <v>17</v>
      </c>
      <c r="D380" s="41">
        <f t="shared" si="126"/>
        <v>0</v>
      </c>
      <c r="E380" s="41">
        <f t="shared" si="126"/>
        <v>0</v>
      </c>
      <c r="F380" s="41">
        <f t="shared" si="126"/>
        <v>0</v>
      </c>
      <c r="G380" s="41">
        <f>G369+G374</f>
        <v>492418</v>
      </c>
      <c r="H380" s="41">
        <f t="shared" si="126"/>
        <v>0</v>
      </c>
      <c r="I380" s="41">
        <f t="shared" si="126"/>
        <v>0</v>
      </c>
      <c r="J380" s="41">
        <f t="shared" si="126"/>
        <v>0</v>
      </c>
      <c r="K380" s="41">
        <f>G380</f>
        <v>492418</v>
      </c>
      <c r="L380" s="41">
        <f>L357+L377</f>
        <v>0</v>
      </c>
      <c r="M380" s="42"/>
      <c r="N380" s="43"/>
    </row>
    <row r="381" spans="1:14">
      <c r="A381" s="192"/>
      <c r="B381" s="213"/>
      <c r="C381" s="40" t="s">
        <v>65</v>
      </c>
      <c r="D381" s="41">
        <f t="shared" ref="D381:F381" si="127">D372+D375</f>
        <v>0</v>
      </c>
      <c r="E381" s="41">
        <f t="shared" si="127"/>
        <v>0</v>
      </c>
      <c r="F381" s="41">
        <f t="shared" si="127"/>
        <v>0</v>
      </c>
      <c r="G381" s="41">
        <f>G372+G375</f>
        <v>492418</v>
      </c>
      <c r="H381" s="41">
        <f t="shared" ref="H381:K381" si="128">H372+H375</f>
        <v>0</v>
      </c>
      <c r="I381" s="41">
        <f t="shared" si="128"/>
        <v>0</v>
      </c>
      <c r="J381" s="41">
        <f t="shared" si="128"/>
        <v>0</v>
      </c>
      <c r="K381" s="41">
        <f t="shared" si="128"/>
        <v>492418</v>
      </c>
      <c r="L381" s="41">
        <v>0</v>
      </c>
      <c r="M381" s="42"/>
      <c r="N381" s="43"/>
    </row>
    <row r="382" spans="1:14">
      <c r="A382" s="192"/>
      <c r="B382" s="213"/>
      <c r="C382" s="40" t="s">
        <v>41</v>
      </c>
      <c r="D382" s="41">
        <v>0</v>
      </c>
      <c r="E382" s="41">
        <v>0</v>
      </c>
      <c r="F382" s="41">
        <v>0</v>
      </c>
      <c r="G382" s="41">
        <v>492688</v>
      </c>
      <c r="H382" s="41"/>
      <c r="I382" s="41"/>
      <c r="J382" s="41"/>
      <c r="K382" s="41">
        <f>G382</f>
        <v>492688</v>
      </c>
      <c r="L382" s="41">
        <v>0</v>
      </c>
      <c r="M382" s="42"/>
      <c r="N382" s="43"/>
    </row>
    <row r="383" spans="1:14">
      <c r="A383" s="192"/>
      <c r="B383" s="213"/>
      <c r="C383" s="40" t="s">
        <v>25</v>
      </c>
      <c r="D383" s="41">
        <v>0</v>
      </c>
      <c r="E383" s="41">
        <v>0</v>
      </c>
      <c r="F383" s="41">
        <v>0</v>
      </c>
      <c r="G383" s="41">
        <v>270</v>
      </c>
      <c r="H383" s="41"/>
      <c r="I383" s="41"/>
      <c r="J383" s="41"/>
      <c r="K383" s="41">
        <f t="shared" ref="K383:K384" si="129">G383</f>
        <v>270</v>
      </c>
      <c r="L383" s="41">
        <v>0</v>
      </c>
      <c r="M383" s="42"/>
      <c r="N383" s="43"/>
    </row>
    <row r="384" spans="1:14">
      <c r="A384" s="192"/>
      <c r="B384" s="213"/>
      <c r="C384" s="40" t="s">
        <v>26</v>
      </c>
      <c r="D384" s="41">
        <v>0</v>
      </c>
      <c r="E384" s="41">
        <v>0</v>
      </c>
      <c r="F384" s="41">
        <v>0</v>
      </c>
      <c r="G384" s="41">
        <f>G380+G383</f>
        <v>492688</v>
      </c>
      <c r="H384" s="41"/>
      <c r="I384" s="41"/>
      <c r="J384" s="41"/>
      <c r="K384" s="41">
        <f t="shared" si="129"/>
        <v>492688</v>
      </c>
      <c r="L384" s="41">
        <v>0</v>
      </c>
      <c r="M384" s="42"/>
      <c r="N384" s="43"/>
    </row>
    <row r="385" spans="1:15">
      <c r="A385" s="193"/>
      <c r="B385" s="215" t="s">
        <v>46</v>
      </c>
      <c r="C385" s="125" t="s">
        <v>16</v>
      </c>
      <c r="D385" s="126">
        <f t="shared" ref="D385:L385" si="130">D341+D379</f>
        <v>0</v>
      </c>
      <c r="E385" s="126">
        <f t="shared" si="130"/>
        <v>0</v>
      </c>
      <c r="F385" s="126">
        <f t="shared" si="130"/>
        <v>0</v>
      </c>
      <c r="G385" s="126">
        <f t="shared" si="130"/>
        <v>1034835.14</v>
      </c>
      <c r="H385" s="126">
        <f t="shared" si="130"/>
        <v>0</v>
      </c>
      <c r="I385" s="126">
        <f t="shared" si="130"/>
        <v>0</v>
      </c>
      <c r="J385" s="126">
        <f t="shared" si="130"/>
        <v>0</v>
      </c>
      <c r="K385" s="126">
        <f t="shared" si="130"/>
        <v>1034835.14</v>
      </c>
      <c r="L385" s="126">
        <f t="shared" si="130"/>
        <v>0</v>
      </c>
      <c r="M385" s="127"/>
      <c r="N385" s="128"/>
    </row>
    <row r="386" spans="1:15">
      <c r="A386" s="193"/>
      <c r="B386" s="215"/>
      <c r="C386" s="125" t="s">
        <v>17</v>
      </c>
      <c r="D386" s="126">
        <f>D342+D380</f>
        <v>0</v>
      </c>
      <c r="E386" s="126">
        <f>E342+E380</f>
        <v>0</v>
      </c>
      <c r="F386" s="126">
        <f>F342+F380</f>
        <v>0</v>
      </c>
      <c r="G386" s="126">
        <f>G344+G382</f>
        <v>1034835.14</v>
      </c>
      <c r="H386" s="126">
        <f>H342+H380</f>
        <v>0</v>
      </c>
      <c r="I386" s="126">
        <f>I342+I380</f>
        <v>0</v>
      </c>
      <c r="J386" s="126">
        <f>J342+J380</f>
        <v>0</v>
      </c>
      <c r="K386" s="126">
        <f>K344+K380</f>
        <v>1034565.14</v>
      </c>
      <c r="L386" s="126">
        <f>L342+L380</f>
        <v>0</v>
      </c>
      <c r="M386" s="127"/>
      <c r="N386" s="128"/>
    </row>
    <row r="387" spans="1:15">
      <c r="A387" s="193"/>
      <c r="B387" s="215"/>
      <c r="C387" s="125" t="s">
        <v>58</v>
      </c>
      <c r="D387" s="126">
        <v>0</v>
      </c>
      <c r="E387" s="126">
        <v>0</v>
      </c>
      <c r="F387" s="126">
        <v>0</v>
      </c>
      <c r="G387" s="126">
        <f>G386</f>
        <v>1034835.14</v>
      </c>
      <c r="H387" s="126">
        <v>0</v>
      </c>
      <c r="I387" s="126"/>
      <c r="J387" s="126"/>
      <c r="K387" s="126">
        <f>G387</f>
        <v>1034835.14</v>
      </c>
      <c r="L387" s="126">
        <v>0</v>
      </c>
      <c r="M387" s="127"/>
      <c r="N387" s="128"/>
    </row>
    <row r="388" spans="1:15">
      <c r="A388" s="193"/>
      <c r="B388" s="215"/>
      <c r="C388" s="129" t="s">
        <v>18</v>
      </c>
      <c r="D388" s="126">
        <v>0</v>
      </c>
      <c r="E388" s="126">
        <v>0</v>
      </c>
      <c r="F388" s="126">
        <v>0</v>
      </c>
      <c r="G388" s="126">
        <f>G384+G346</f>
        <v>1034835.14</v>
      </c>
      <c r="H388" s="126">
        <f>H372+H346+H375</f>
        <v>0</v>
      </c>
      <c r="I388" s="126">
        <f>I372+I346+I375</f>
        <v>0</v>
      </c>
      <c r="J388" s="126">
        <f>J372+J346+J375</f>
        <v>0</v>
      </c>
      <c r="K388" s="126">
        <f>K372+K346+K375</f>
        <v>1034565.14</v>
      </c>
      <c r="L388" s="126">
        <f>L372+L346+L375</f>
        <v>0</v>
      </c>
      <c r="M388" s="127"/>
      <c r="N388" s="128"/>
      <c r="O388" s="18"/>
    </row>
    <row r="389" spans="1:15">
      <c r="A389" s="216" t="s">
        <v>59</v>
      </c>
      <c r="B389" s="178" t="s">
        <v>15</v>
      </c>
      <c r="C389" s="14" t="s">
        <v>16</v>
      </c>
      <c r="D389" s="15">
        <v>0</v>
      </c>
      <c r="E389" s="15">
        <v>225564.08</v>
      </c>
      <c r="F389" s="16">
        <f t="shared" ref="F389:F397" si="131">D389+E389</f>
        <v>225564.08</v>
      </c>
      <c r="G389" s="15">
        <v>0</v>
      </c>
      <c r="H389" s="15">
        <v>0</v>
      </c>
      <c r="I389" s="15">
        <v>0</v>
      </c>
      <c r="J389" s="15">
        <v>0</v>
      </c>
      <c r="K389" s="16">
        <f t="shared" ref="K389:K397" si="132">J389+I389+H389+G389+E389+D389</f>
        <v>225564.08</v>
      </c>
      <c r="L389" s="17">
        <v>0</v>
      </c>
      <c r="N389" s="24"/>
    </row>
    <row r="390" spans="1:15">
      <c r="A390" s="217"/>
      <c r="B390" s="178"/>
      <c r="C390" s="20" t="s">
        <v>17</v>
      </c>
      <c r="D390" s="21">
        <v>0</v>
      </c>
      <c r="E390" s="15">
        <v>290830.2</v>
      </c>
      <c r="F390" s="21">
        <f t="shared" si="131"/>
        <v>290830.2</v>
      </c>
      <c r="G390" s="21">
        <v>0</v>
      </c>
      <c r="H390" s="22">
        <v>0</v>
      </c>
      <c r="I390" s="22">
        <v>0</v>
      </c>
      <c r="J390" s="22">
        <v>0</v>
      </c>
      <c r="K390" s="21">
        <f t="shared" si="132"/>
        <v>290830.2</v>
      </c>
      <c r="L390" s="23">
        <v>0</v>
      </c>
      <c r="N390" s="24"/>
    </row>
    <row r="391" spans="1:15">
      <c r="A391" s="217"/>
      <c r="B391" s="178"/>
      <c r="C391" s="25" t="s">
        <v>18</v>
      </c>
      <c r="D391" s="26">
        <v>0</v>
      </c>
      <c r="E391" s="15">
        <v>225564.08</v>
      </c>
      <c r="F391" s="26">
        <f t="shared" si="131"/>
        <v>225564.08</v>
      </c>
      <c r="G391" s="26">
        <v>0</v>
      </c>
      <c r="H391" s="27">
        <v>0</v>
      </c>
      <c r="I391" s="27">
        <v>0</v>
      </c>
      <c r="J391" s="27">
        <v>0</v>
      </c>
      <c r="K391" s="26">
        <f t="shared" si="132"/>
        <v>225564.08</v>
      </c>
      <c r="L391" s="28">
        <v>0</v>
      </c>
      <c r="N391" s="24"/>
    </row>
    <row r="392" spans="1:15">
      <c r="A392" s="217"/>
      <c r="B392" s="179" t="s">
        <v>20</v>
      </c>
      <c r="C392" s="20" t="s">
        <v>16</v>
      </c>
      <c r="D392" s="22">
        <v>0</v>
      </c>
      <c r="E392" s="22">
        <v>225564.08</v>
      </c>
      <c r="F392" s="21">
        <f t="shared" si="131"/>
        <v>225564.08</v>
      </c>
      <c r="G392" s="22">
        <v>0</v>
      </c>
      <c r="H392" s="22">
        <v>0</v>
      </c>
      <c r="I392" s="22">
        <v>0</v>
      </c>
      <c r="J392" s="30">
        <v>0</v>
      </c>
      <c r="K392" s="21">
        <f t="shared" si="132"/>
        <v>225564.08</v>
      </c>
      <c r="L392" s="23">
        <v>0</v>
      </c>
      <c r="N392" s="24"/>
    </row>
    <row r="393" spans="1:15">
      <c r="A393" s="217"/>
      <c r="B393" s="178"/>
      <c r="C393" s="20" t="s">
        <v>17</v>
      </c>
      <c r="D393" s="21">
        <v>0</v>
      </c>
      <c r="E393" s="21">
        <v>267618.40000000002</v>
      </c>
      <c r="F393" s="21">
        <f t="shared" si="131"/>
        <v>267618.40000000002</v>
      </c>
      <c r="G393" s="21">
        <v>0</v>
      </c>
      <c r="H393" s="22">
        <v>0</v>
      </c>
      <c r="I393" s="22">
        <v>0</v>
      </c>
      <c r="J393" s="30">
        <v>0</v>
      </c>
      <c r="K393" s="21">
        <f t="shared" si="132"/>
        <v>267618.40000000002</v>
      </c>
      <c r="L393" s="23">
        <v>0</v>
      </c>
      <c r="N393" s="24"/>
    </row>
    <row r="394" spans="1:15">
      <c r="A394" s="217"/>
      <c r="B394" s="178"/>
      <c r="C394" s="25" t="s">
        <v>18</v>
      </c>
      <c r="D394" s="26">
        <v>0</v>
      </c>
      <c r="E394" s="26">
        <v>225564.08</v>
      </c>
      <c r="F394" s="26">
        <f t="shared" si="131"/>
        <v>225564.08</v>
      </c>
      <c r="G394" s="26">
        <v>0</v>
      </c>
      <c r="H394" s="27">
        <v>0</v>
      </c>
      <c r="I394" s="27">
        <v>0</v>
      </c>
      <c r="J394" s="27">
        <v>0</v>
      </c>
      <c r="K394" s="26">
        <f t="shared" si="132"/>
        <v>225564.08</v>
      </c>
      <c r="L394" s="28">
        <v>0</v>
      </c>
      <c r="N394" s="24"/>
    </row>
    <row r="395" spans="1:15">
      <c r="A395" s="217"/>
      <c r="B395" s="179" t="s">
        <v>22</v>
      </c>
      <c r="C395" s="20" t="s">
        <v>16</v>
      </c>
      <c r="D395" s="22">
        <v>0</v>
      </c>
      <c r="E395" s="22">
        <v>225564.08</v>
      </c>
      <c r="F395" s="21">
        <f t="shared" si="131"/>
        <v>225564.08</v>
      </c>
      <c r="G395" s="22">
        <v>0</v>
      </c>
      <c r="H395" s="22">
        <v>0</v>
      </c>
      <c r="I395" s="22">
        <v>0</v>
      </c>
      <c r="J395" s="30">
        <v>0</v>
      </c>
      <c r="K395" s="21">
        <f t="shared" si="132"/>
        <v>225564.08</v>
      </c>
      <c r="L395" s="23">
        <v>0</v>
      </c>
      <c r="N395" s="24"/>
    </row>
    <row r="396" spans="1:15">
      <c r="A396" s="217"/>
      <c r="B396" s="178"/>
      <c r="C396" s="20" t="s">
        <v>17</v>
      </c>
      <c r="D396" s="21">
        <v>0</v>
      </c>
      <c r="E396" s="21">
        <v>294107.15999999997</v>
      </c>
      <c r="F396" s="21">
        <f t="shared" si="131"/>
        <v>294107.15999999997</v>
      </c>
      <c r="G396" s="21">
        <v>0</v>
      </c>
      <c r="H396" s="22">
        <v>0</v>
      </c>
      <c r="I396" s="22">
        <v>0</v>
      </c>
      <c r="J396" s="30">
        <v>0</v>
      </c>
      <c r="K396" s="21">
        <f t="shared" si="132"/>
        <v>294107.15999999997</v>
      </c>
      <c r="L396" s="23">
        <v>0</v>
      </c>
      <c r="N396" s="24"/>
    </row>
    <row r="397" spans="1:15">
      <c r="A397" s="217"/>
      <c r="B397" s="178"/>
      <c r="C397" s="25" t="s">
        <v>18</v>
      </c>
      <c r="D397" s="26">
        <v>0</v>
      </c>
      <c r="E397" s="26">
        <v>225564.08</v>
      </c>
      <c r="F397" s="26">
        <f t="shared" si="131"/>
        <v>225564.08</v>
      </c>
      <c r="G397" s="26">
        <v>0</v>
      </c>
      <c r="H397" s="27">
        <v>0</v>
      </c>
      <c r="I397" s="27">
        <v>0</v>
      </c>
      <c r="J397" s="27">
        <v>0</v>
      </c>
      <c r="K397" s="26">
        <f t="shared" si="132"/>
        <v>225564.08</v>
      </c>
      <c r="L397" s="28">
        <v>0</v>
      </c>
      <c r="N397" s="24"/>
    </row>
    <row r="398" spans="1:15">
      <c r="A398" s="217"/>
      <c r="B398" s="184" t="s">
        <v>23</v>
      </c>
      <c r="C398" s="20" t="s">
        <v>16</v>
      </c>
      <c r="D398" s="21">
        <f t="shared" ref="D398:L400" si="133">D395+D392+D389</f>
        <v>0</v>
      </c>
      <c r="E398" s="21">
        <f t="shared" si="133"/>
        <v>676692.24</v>
      </c>
      <c r="F398" s="21">
        <f t="shared" si="133"/>
        <v>676692.24</v>
      </c>
      <c r="G398" s="21">
        <f t="shared" si="133"/>
        <v>0</v>
      </c>
      <c r="H398" s="21">
        <f t="shared" si="133"/>
        <v>0</v>
      </c>
      <c r="I398" s="21">
        <f t="shared" si="133"/>
        <v>0</v>
      </c>
      <c r="J398" s="21">
        <f t="shared" si="133"/>
        <v>0</v>
      </c>
      <c r="K398" s="21">
        <f t="shared" si="133"/>
        <v>676692.24</v>
      </c>
      <c r="L398" s="23">
        <f t="shared" si="133"/>
        <v>0</v>
      </c>
      <c r="N398" s="24"/>
    </row>
    <row r="399" spans="1:15">
      <c r="A399" s="217"/>
      <c r="B399" s="184"/>
      <c r="C399" s="20" t="s">
        <v>17</v>
      </c>
      <c r="D399" s="21">
        <f t="shared" si="133"/>
        <v>0</v>
      </c>
      <c r="E399" s="21">
        <f t="shared" si="133"/>
        <v>852555.76</v>
      </c>
      <c r="F399" s="21">
        <f t="shared" si="133"/>
        <v>852555.76</v>
      </c>
      <c r="G399" s="21">
        <f t="shared" si="133"/>
        <v>0</v>
      </c>
      <c r="H399" s="21">
        <f t="shared" si="133"/>
        <v>0</v>
      </c>
      <c r="I399" s="21">
        <f t="shared" si="133"/>
        <v>0</v>
      </c>
      <c r="J399" s="21">
        <f t="shared" si="133"/>
        <v>0</v>
      </c>
      <c r="K399" s="21">
        <f t="shared" si="133"/>
        <v>852555.76</v>
      </c>
      <c r="L399" s="23">
        <f t="shared" si="133"/>
        <v>0</v>
      </c>
      <c r="N399" s="24"/>
    </row>
    <row r="400" spans="1:15">
      <c r="A400" s="217"/>
      <c r="B400" s="184"/>
      <c r="C400" s="25" t="s">
        <v>18</v>
      </c>
      <c r="D400" s="21">
        <f t="shared" si="133"/>
        <v>0</v>
      </c>
      <c r="E400" s="21">
        <f t="shared" si="133"/>
        <v>676692.24</v>
      </c>
      <c r="F400" s="21">
        <f t="shared" si="133"/>
        <v>676692.24</v>
      </c>
      <c r="G400" s="21">
        <f t="shared" si="133"/>
        <v>0</v>
      </c>
      <c r="H400" s="21">
        <f t="shared" si="133"/>
        <v>0</v>
      </c>
      <c r="I400" s="21">
        <f t="shared" si="133"/>
        <v>0</v>
      </c>
      <c r="J400" s="21">
        <f t="shared" si="133"/>
        <v>0</v>
      </c>
      <c r="K400" s="21">
        <f t="shared" si="133"/>
        <v>676692.24</v>
      </c>
      <c r="L400" s="23">
        <f t="shared" si="133"/>
        <v>0</v>
      </c>
      <c r="N400" s="24"/>
    </row>
    <row r="401" spans="1:14">
      <c r="A401" s="217"/>
      <c r="B401" s="184"/>
      <c r="C401" s="75" t="s">
        <v>51</v>
      </c>
      <c r="D401" s="51">
        <v>0</v>
      </c>
      <c r="E401" s="51">
        <v>852555.76</v>
      </c>
      <c r="F401" s="51">
        <f t="shared" ref="F401:F409" si="134">D401+E401</f>
        <v>852555.76</v>
      </c>
      <c r="G401" s="51">
        <v>0</v>
      </c>
      <c r="H401" s="51">
        <v>0</v>
      </c>
      <c r="I401" s="51"/>
      <c r="J401" s="51"/>
      <c r="K401" s="51">
        <f>F401</f>
        <v>852555.76</v>
      </c>
      <c r="L401" s="51">
        <v>0</v>
      </c>
      <c r="M401" s="52"/>
      <c r="N401" s="53"/>
    </row>
    <row r="402" spans="1:14">
      <c r="A402" s="217"/>
      <c r="B402" s="184"/>
      <c r="C402" s="75" t="s">
        <v>48</v>
      </c>
      <c r="D402" s="51">
        <v>0</v>
      </c>
      <c r="E402" s="51">
        <v>0</v>
      </c>
      <c r="F402" s="51">
        <f t="shared" si="134"/>
        <v>0</v>
      </c>
      <c r="G402" s="51">
        <v>0</v>
      </c>
      <c r="H402" s="51">
        <v>0</v>
      </c>
      <c r="I402" s="51"/>
      <c r="J402" s="51"/>
      <c r="K402" s="51">
        <f>F402</f>
        <v>0</v>
      </c>
      <c r="L402" s="51">
        <v>0</v>
      </c>
      <c r="M402" s="52"/>
      <c r="N402" s="53"/>
    </row>
    <row r="403" spans="1:14">
      <c r="A403" s="217"/>
      <c r="B403" s="184"/>
      <c r="C403" s="75" t="s">
        <v>26</v>
      </c>
      <c r="D403" s="51">
        <v>0</v>
      </c>
      <c r="E403" s="51">
        <f>E400+E402</f>
        <v>676692.24</v>
      </c>
      <c r="F403" s="51">
        <f t="shared" si="134"/>
        <v>676692.24</v>
      </c>
      <c r="G403" s="51">
        <v>0</v>
      </c>
      <c r="H403" s="51">
        <v>0</v>
      </c>
      <c r="I403" s="51"/>
      <c r="J403" s="51"/>
      <c r="K403" s="51">
        <f>F403</f>
        <v>676692.24</v>
      </c>
      <c r="L403" s="51">
        <v>0</v>
      </c>
      <c r="M403" s="52"/>
      <c r="N403" s="53"/>
    </row>
    <row r="404" spans="1:14">
      <c r="A404" s="218"/>
      <c r="B404" s="182" t="s">
        <v>28</v>
      </c>
      <c r="C404" s="20" t="s">
        <v>16</v>
      </c>
      <c r="D404" s="21">
        <v>0</v>
      </c>
      <c r="E404" s="22">
        <v>225564.08</v>
      </c>
      <c r="F404" s="21">
        <f t="shared" si="134"/>
        <v>225564.08</v>
      </c>
      <c r="G404" s="21">
        <v>0</v>
      </c>
      <c r="H404" s="22">
        <v>0</v>
      </c>
      <c r="I404" s="22">
        <v>0</v>
      </c>
      <c r="J404" s="30">
        <v>0</v>
      </c>
      <c r="K404" s="21">
        <f t="shared" ref="K404:K418" si="135">J404+I404+H404+G404+E404+D404</f>
        <v>225564.08</v>
      </c>
      <c r="L404" s="23">
        <v>0</v>
      </c>
      <c r="N404" s="24"/>
    </row>
    <row r="405" spans="1:14">
      <c r="A405" s="218"/>
      <c r="B405" s="183"/>
      <c r="C405" s="20" t="s">
        <v>17</v>
      </c>
      <c r="D405" s="21">
        <v>0</v>
      </c>
      <c r="E405" s="21">
        <v>283183.96000000002</v>
      </c>
      <c r="F405" s="21">
        <f t="shared" si="134"/>
        <v>283183.96000000002</v>
      </c>
      <c r="G405" s="21">
        <v>0</v>
      </c>
      <c r="H405" s="22">
        <v>0</v>
      </c>
      <c r="I405" s="22">
        <v>0</v>
      </c>
      <c r="J405" s="30">
        <v>0</v>
      </c>
      <c r="K405" s="21">
        <f t="shared" si="135"/>
        <v>283183.96000000002</v>
      </c>
      <c r="L405" s="23">
        <v>0</v>
      </c>
      <c r="N405" s="24"/>
    </row>
    <row r="406" spans="1:14">
      <c r="A406" s="218"/>
      <c r="B406" s="183"/>
      <c r="C406" s="25" t="s">
        <v>18</v>
      </c>
      <c r="D406" s="26">
        <v>0</v>
      </c>
      <c r="E406" s="26">
        <v>225564.08</v>
      </c>
      <c r="F406" s="21">
        <f t="shared" si="134"/>
        <v>225564.08</v>
      </c>
      <c r="G406" s="21">
        <v>0</v>
      </c>
      <c r="H406" s="22">
        <v>0</v>
      </c>
      <c r="I406" s="22">
        <v>0</v>
      </c>
      <c r="J406" s="22">
        <v>0</v>
      </c>
      <c r="K406" s="21">
        <f t="shared" si="135"/>
        <v>225564.08</v>
      </c>
      <c r="L406" s="23">
        <v>0</v>
      </c>
      <c r="N406" s="24"/>
    </row>
    <row r="407" spans="1:14">
      <c r="A407" s="218"/>
      <c r="B407" s="182" t="s">
        <v>29</v>
      </c>
      <c r="C407" s="20" t="s">
        <v>16</v>
      </c>
      <c r="D407" s="21">
        <v>0</v>
      </c>
      <c r="E407" s="22">
        <v>225564.08</v>
      </c>
      <c r="F407" s="21">
        <f t="shared" si="134"/>
        <v>225564.08</v>
      </c>
      <c r="G407" s="21">
        <v>0</v>
      </c>
      <c r="H407" s="22">
        <v>0</v>
      </c>
      <c r="I407" s="22">
        <v>0</v>
      </c>
      <c r="J407" s="22">
        <v>0</v>
      </c>
      <c r="K407" s="21">
        <f t="shared" si="135"/>
        <v>225564.08</v>
      </c>
      <c r="L407" s="23">
        <v>0</v>
      </c>
      <c r="N407" s="24"/>
    </row>
    <row r="408" spans="1:14">
      <c r="A408" s="218"/>
      <c r="B408" s="183"/>
      <c r="C408" s="20" t="s">
        <v>17</v>
      </c>
      <c r="D408" s="21">
        <v>0</v>
      </c>
      <c r="E408" s="21">
        <v>295199.48</v>
      </c>
      <c r="F408" s="21">
        <f t="shared" si="134"/>
        <v>295199.48</v>
      </c>
      <c r="G408" s="130">
        <v>0</v>
      </c>
      <c r="H408" s="22">
        <v>0</v>
      </c>
      <c r="I408" s="22">
        <v>0</v>
      </c>
      <c r="J408" s="22">
        <v>0</v>
      </c>
      <c r="K408" s="21">
        <f t="shared" si="135"/>
        <v>295199.48</v>
      </c>
      <c r="L408" s="131">
        <v>0</v>
      </c>
      <c r="N408" s="24"/>
    </row>
    <row r="409" spans="1:14">
      <c r="A409" s="218"/>
      <c r="B409" s="183"/>
      <c r="C409" s="25" t="s">
        <v>18</v>
      </c>
      <c r="D409" s="26">
        <v>0</v>
      </c>
      <c r="E409" s="26">
        <v>225564.08</v>
      </c>
      <c r="F409" s="21">
        <f t="shared" si="134"/>
        <v>225564.08</v>
      </c>
      <c r="G409" s="21">
        <v>0</v>
      </c>
      <c r="H409" s="22">
        <v>0</v>
      </c>
      <c r="I409" s="22">
        <v>0</v>
      </c>
      <c r="J409" s="22">
        <v>0</v>
      </c>
      <c r="K409" s="21">
        <f t="shared" si="135"/>
        <v>225564.08</v>
      </c>
      <c r="L409" s="23">
        <v>0</v>
      </c>
      <c r="N409" s="24"/>
    </row>
    <row r="410" spans="1:14">
      <c r="A410" s="218"/>
      <c r="B410" s="179" t="s">
        <v>30</v>
      </c>
      <c r="C410" s="37" t="s">
        <v>16</v>
      </c>
      <c r="D410" s="26">
        <v>0</v>
      </c>
      <c r="E410" s="22">
        <v>225564.08</v>
      </c>
      <c r="F410" s="26">
        <f>SUM(D410:E410)</f>
        <v>225564.08</v>
      </c>
      <c r="G410" s="26">
        <v>0</v>
      </c>
      <c r="H410" s="26">
        <v>0</v>
      </c>
      <c r="I410" s="26">
        <v>0</v>
      </c>
      <c r="J410" s="26">
        <v>0</v>
      </c>
      <c r="K410" s="26">
        <f t="shared" si="135"/>
        <v>225564.08</v>
      </c>
      <c r="L410" s="28">
        <v>0</v>
      </c>
      <c r="N410" s="24"/>
    </row>
    <row r="411" spans="1:14">
      <c r="A411" s="218"/>
      <c r="B411" s="178"/>
      <c r="C411" s="37" t="s">
        <v>17</v>
      </c>
      <c r="D411" s="26">
        <v>0</v>
      </c>
      <c r="E411" s="26">
        <v>285641.68</v>
      </c>
      <c r="F411" s="26">
        <f>SUM(D411:E411)</f>
        <v>285641.68</v>
      </c>
      <c r="G411" s="26">
        <v>0</v>
      </c>
      <c r="H411" s="26">
        <v>0</v>
      </c>
      <c r="I411" s="26">
        <v>0</v>
      </c>
      <c r="J411" s="26">
        <v>0</v>
      </c>
      <c r="K411" s="26">
        <f t="shared" si="135"/>
        <v>285641.68</v>
      </c>
      <c r="L411" s="28">
        <v>0</v>
      </c>
      <c r="N411" s="24"/>
    </row>
    <row r="412" spans="1:14">
      <c r="A412" s="218"/>
      <c r="B412" s="178"/>
      <c r="C412" s="25" t="s">
        <v>18</v>
      </c>
      <c r="D412" s="26">
        <v>0</v>
      </c>
      <c r="E412" s="26">
        <v>225564.08</v>
      </c>
      <c r="F412" s="26">
        <f>SUM(D412:E412)</f>
        <v>225564.08</v>
      </c>
      <c r="G412" s="26">
        <v>0</v>
      </c>
      <c r="H412" s="26">
        <v>0</v>
      </c>
      <c r="I412" s="39">
        <v>0</v>
      </c>
      <c r="J412" s="39">
        <v>0</v>
      </c>
      <c r="K412" s="26">
        <f t="shared" si="135"/>
        <v>225564.08</v>
      </c>
      <c r="L412" s="28">
        <v>0</v>
      </c>
      <c r="N412" s="24"/>
    </row>
    <row r="413" spans="1:14">
      <c r="A413" s="218"/>
      <c r="B413" s="184" t="s">
        <v>31</v>
      </c>
      <c r="C413" s="20" t="s">
        <v>16</v>
      </c>
      <c r="D413" s="21">
        <f t="shared" ref="D413:J413" si="136">D410+D407+D404</f>
        <v>0</v>
      </c>
      <c r="E413" s="21">
        <f t="shared" si="136"/>
        <v>676692.24</v>
      </c>
      <c r="F413" s="21">
        <f t="shared" si="136"/>
        <v>676692.24</v>
      </c>
      <c r="G413" s="21">
        <f t="shared" si="136"/>
        <v>0</v>
      </c>
      <c r="H413" s="21">
        <f t="shared" si="136"/>
        <v>0</v>
      </c>
      <c r="I413" s="21">
        <f t="shared" si="136"/>
        <v>0</v>
      </c>
      <c r="J413" s="21">
        <f t="shared" si="136"/>
        <v>0</v>
      </c>
      <c r="K413" s="21">
        <f t="shared" si="135"/>
        <v>676692.24</v>
      </c>
      <c r="L413" s="23">
        <f>L410+L407+L404</f>
        <v>0</v>
      </c>
      <c r="N413" s="24"/>
    </row>
    <row r="414" spans="1:14">
      <c r="A414" s="218"/>
      <c r="B414" s="184"/>
      <c r="C414" s="20" t="s">
        <v>17</v>
      </c>
      <c r="D414" s="21">
        <f>D411+D408+D405</f>
        <v>0</v>
      </c>
      <c r="E414" s="21">
        <f>E411+E408+E405</f>
        <v>864025.11999999988</v>
      </c>
      <c r="F414" s="21">
        <f>D414+E414</f>
        <v>864025.11999999988</v>
      </c>
      <c r="G414" s="21">
        <f>G411+G408+G405</f>
        <v>0</v>
      </c>
      <c r="H414" s="21">
        <v>0</v>
      </c>
      <c r="I414" s="21">
        <f>I411+I408+I405</f>
        <v>0</v>
      </c>
      <c r="J414" s="21">
        <f>J411+J408+J405</f>
        <v>0</v>
      </c>
      <c r="K414" s="21">
        <f t="shared" si="135"/>
        <v>864025.11999999988</v>
      </c>
      <c r="L414" s="23">
        <f>L411+L408+L405</f>
        <v>0</v>
      </c>
      <c r="N414" s="24"/>
    </row>
    <row r="415" spans="1:14">
      <c r="A415" s="218"/>
      <c r="B415" s="184"/>
      <c r="C415" s="25" t="s">
        <v>18</v>
      </c>
      <c r="D415" s="26">
        <f>D412+D409+D406</f>
        <v>0</v>
      </c>
      <c r="E415" s="26">
        <f>E412+E409+E406</f>
        <v>676692.24</v>
      </c>
      <c r="F415" s="26">
        <f>D415+E415</f>
        <v>676692.24</v>
      </c>
      <c r="G415" s="26">
        <f>G412+G409+G406</f>
        <v>0</v>
      </c>
      <c r="H415" s="26">
        <f>H412+H409+H406</f>
        <v>0</v>
      </c>
      <c r="I415" s="33">
        <f>I412+I409+I406</f>
        <v>0</v>
      </c>
      <c r="J415" s="33">
        <f>J412+J409+J406</f>
        <v>0</v>
      </c>
      <c r="K415" s="21">
        <f t="shared" si="135"/>
        <v>676692.24</v>
      </c>
      <c r="L415" s="23">
        <f>L412+L409+L406</f>
        <v>0</v>
      </c>
      <c r="N415" s="24"/>
    </row>
    <row r="416" spans="1:14">
      <c r="A416" s="218"/>
      <c r="B416" s="180" t="s">
        <v>32</v>
      </c>
      <c r="C416" s="20" t="s">
        <v>16</v>
      </c>
      <c r="D416" s="21">
        <f>D398+D413</f>
        <v>0</v>
      </c>
      <c r="E416" s="21">
        <f>E398+E413</f>
        <v>1353384.48</v>
      </c>
      <c r="F416" s="21">
        <f>D416+E416</f>
        <v>1353384.48</v>
      </c>
      <c r="G416" s="21">
        <f>G398+G413</f>
        <v>0</v>
      </c>
      <c r="H416" s="21">
        <f>H398+H413</f>
        <v>0</v>
      </c>
      <c r="I416" s="21">
        <f>I398+I413</f>
        <v>0</v>
      </c>
      <c r="J416" s="21">
        <f>J398+J413</f>
        <v>0</v>
      </c>
      <c r="K416" s="21">
        <f t="shared" si="135"/>
        <v>1353384.48</v>
      </c>
      <c r="L416" s="23">
        <f>L398+L413</f>
        <v>0</v>
      </c>
      <c r="N416" s="24"/>
    </row>
    <row r="417" spans="1:14">
      <c r="A417" s="218"/>
      <c r="B417" s="181"/>
      <c r="C417" s="20" t="s">
        <v>17</v>
      </c>
      <c r="D417" s="21">
        <f>D399+D414</f>
        <v>0</v>
      </c>
      <c r="E417" s="21">
        <f>E401+E414</f>
        <v>1716580.88</v>
      </c>
      <c r="F417" s="21">
        <f>D417+E417</f>
        <v>1716580.88</v>
      </c>
      <c r="G417" s="21">
        <f t="shared" ref="G417:J418" si="137">G414+G399</f>
        <v>0</v>
      </c>
      <c r="H417" s="21">
        <f t="shared" si="137"/>
        <v>0</v>
      </c>
      <c r="I417" s="21">
        <f t="shared" si="137"/>
        <v>0</v>
      </c>
      <c r="J417" s="21">
        <f t="shared" si="137"/>
        <v>0</v>
      </c>
      <c r="K417" s="21">
        <f t="shared" si="135"/>
        <v>1716580.88</v>
      </c>
      <c r="L417" s="23">
        <f>L414+L399</f>
        <v>0</v>
      </c>
      <c r="N417" s="24"/>
    </row>
    <row r="418" spans="1:14">
      <c r="A418" s="218"/>
      <c r="B418" s="181"/>
      <c r="C418" s="25" t="s">
        <v>18</v>
      </c>
      <c r="D418" s="26">
        <f>D400+D415</f>
        <v>0</v>
      </c>
      <c r="E418" s="26">
        <f>E400+E415</f>
        <v>1353384.48</v>
      </c>
      <c r="F418" s="26">
        <f>D418+E418</f>
        <v>1353384.48</v>
      </c>
      <c r="G418" s="26">
        <f t="shared" si="137"/>
        <v>0</v>
      </c>
      <c r="H418" s="26">
        <f t="shared" si="137"/>
        <v>0</v>
      </c>
      <c r="I418" s="33">
        <f t="shared" si="137"/>
        <v>0</v>
      </c>
      <c r="J418" s="33">
        <f t="shared" si="137"/>
        <v>0</v>
      </c>
      <c r="K418" s="21">
        <f t="shared" si="135"/>
        <v>1353384.48</v>
      </c>
      <c r="L418" s="23">
        <f>L415+L400</f>
        <v>0</v>
      </c>
      <c r="N418" s="24"/>
    </row>
    <row r="419" spans="1:14">
      <c r="A419" s="218"/>
      <c r="B419" s="178"/>
      <c r="C419" s="75" t="s">
        <v>51</v>
      </c>
      <c r="D419" s="51">
        <v>0</v>
      </c>
      <c r="E419" s="51">
        <f>E401+864025.12</f>
        <v>1716580.88</v>
      </c>
      <c r="F419" s="51">
        <f t="shared" ref="F419:K419" si="138">F401+864025.12</f>
        <v>1716580.88</v>
      </c>
      <c r="G419" s="51">
        <v>0</v>
      </c>
      <c r="H419" s="51">
        <v>0</v>
      </c>
      <c r="I419" s="51">
        <f t="shared" si="138"/>
        <v>864025.12</v>
      </c>
      <c r="J419" s="51">
        <f t="shared" si="138"/>
        <v>864025.12</v>
      </c>
      <c r="K419" s="51">
        <f t="shared" si="138"/>
        <v>1716580.88</v>
      </c>
      <c r="L419" s="51">
        <v>0</v>
      </c>
      <c r="M419" s="52"/>
      <c r="N419" s="53"/>
    </row>
    <row r="420" spans="1:14">
      <c r="A420" s="218"/>
      <c r="B420" s="178"/>
      <c r="C420" s="75" t="s">
        <v>48</v>
      </c>
      <c r="D420" s="51">
        <v>0</v>
      </c>
      <c r="E420" s="51">
        <v>0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2"/>
      <c r="N420" s="53"/>
    </row>
    <row r="421" spans="1:14">
      <c r="A421" s="218"/>
      <c r="B421" s="178"/>
      <c r="C421" s="75" t="s">
        <v>26</v>
      </c>
      <c r="D421" s="51">
        <v>0</v>
      </c>
      <c r="E421" s="51">
        <f t="shared" ref="E421:L421" si="139">E420+E418</f>
        <v>1353384.48</v>
      </c>
      <c r="F421" s="51">
        <f t="shared" si="139"/>
        <v>1353384.48</v>
      </c>
      <c r="G421" s="51">
        <f t="shared" si="139"/>
        <v>0</v>
      </c>
      <c r="H421" s="51">
        <f t="shared" si="139"/>
        <v>0</v>
      </c>
      <c r="I421" s="51">
        <f t="shared" si="139"/>
        <v>0</v>
      </c>
      <c r="J421" s="51">
        <f t="shared" si="139"/>
        <v>0</v>
      </c>
      <c r="K421" s="51">
        <f t="shared" si="139"/>
        <v>1353384.48</v>
      </c>
      <c r="L421" s="51">
        <f t="shared" si="139"/>
        <v>0</v>
      </c>
      <c r="M421" s="52"/>
      <c r="N421" s="53"/>
    </row>
    <row r="422" spans="1:14">
      <c r="A422" s="218"/>
      <c r="B422" s="171" t="s">
        <v>33</v>
      </c>
      <c r="C422" s="20" t="s">
        <v>16</v>
      </c>
      <c r="D422" s="21">
        <v>0</v>
      </c>
      <c r="E422" s="21">
        <v>254783.64</v>
      </c>
      <c r="F422" s="21">
        <f t="shared" ref="F422:F430" si="140">SUM(D422:E422)</f>
        <v>254783.64</v>
      </c>
      <c r="G422" s="21">
        <v>0</v>
      </c>
      <c r="H422" s="49">
        <v>0</v>
      </c>
      <c r="I422" s="49">
        <v>0</v>
      </c>
      <c r="J422" s="49">
        <v>0</v>
      </c>
      <c r="K422" s="21">
        <f>D422+E422+G422+H422+I422+J422</f>
        <v>254783.64</v>
      </c>
      <c r="L422" s="23">
        <v>0</v>
      </c>
      <c r="N422" s="24"/>
    </row>
    <row r="423" spans="1:14">
      <c r="A423" s="218"/>
      <c r="B423" s="172"/>
      <c r="C423" s="20" t="s">
        <v>17</v>
      </c>
      <c r="D423" s="21">
        <v>0</v>
      </c>
      <c r="E423" s="21">
        <v>290010.96000000002</v>
      </c>
      <c r="F423" s="21">
        <f t="shared" si="140"/>
        <v>290010.96000000002</v>
      </c>
      <c r="G423" s="21">
        <v>0</v>
      </c>
      <c r="H423" s="49">
        <v>0</v>
      </c>
      <c r="I423" s="49">
        <v>0</v>
      </c>
      <c r="J423" s="49">
        <v>0</v>
      </c>
      <c r="K423" s="21">
        <f>D423+E423+G423+H423+I423+J423</f>
        <v>290010.96000000002</v>
      </c>
      <c r="L423" s="23">
        <v>0</v>
      </c>
      <c r="N423" s="24"/>
    </row>
    <row r="424" spans="1:14">
      <c r="A424" s="218"/>
      <c r="B424" s="172"/>
      <c r="C424" s="20" t="s">
        <v>18</v>
      </c>
      <c r="D424" s="21">
        <v>0</v>
      </c>
      <c r="E424" s="21">
        <v>254783.64</v>
      </c>
      <c r="F424" s="21">
        <f t="shared" si="140"/>
        <v>254783.64</v>
      </c>
      <c r="G424" s="21">
        <v>0</v>
      </c>
      <c r="H424" s="49">
        <v>0</v>
      </c>
      <c r="I424" s="49">
        <v>0</v>
      </c>
      <c r="J424" s="49">
        <v>0</v>
      </c>
      <c r="K424" s="21">
        <f>D424+E424+G424+H424+I424+J424</f>
        <v>254783.64</v>
      </c>
      <c r="L424" s="23">
        <v>0</v>
      </c>
      <c r="N424" s="24"/>
    </row>
    <row r="425" spans="1:14">
      <c r="A425" s="218"/>
      <c r="B425" s="171" t="s">
        <v>34</v>
      </c>
      <c r="C425" s="20" t="s">
        <v>16</v>
      </c>
      <c r="D425" s="21">
        <v>0</v>
      </c>
      <c r="E425" s="21">
        <v>254783.64</v>
      </c>
      <c r="F425" s="21">
        <f t="shared" si="140"/>
        <v>254783.64</v>
      </c>
      <c r="G425" s="21">
        <v>0</v>
      </c>
      <c r="H425" s="49">
        <v>0</v>
      </c>
      <c r="I425" s="49">
        <v>0</v>
      </c>
      <c r="J425" s="49">
        <v>0</v>
      </c>
      <c r="K425" s="21">
        <f t="shared" ref="K425:K430" si="141">J425+I425+H425+G425+E425+D425</f>
        <v>254783.64</v>
      </c>
      <c r="L425" s="23">
        <v>0</v>
      </c>
      <c r="N425" s="24"/>
    </row>
    <row r="426" spans="1:14">
      <c r="A426" s="218"/>
      <c r="B426" s="172"/>
      <c r="C426" s="20" t="s">
        <v>17</v>
      </c>
      <c r="D426" s="21">
        <v>0</v>
      </c>
      <c r="E426" s="21">
        <v>293561</v>
      </c>
      <c r="F426" s="21">
        <f t="shared" si="140"/>
        <v>293561</v>
      </c>
      <c r="G426" s="21">
        <v>0</v>
      </c>
      <c r="H426" s="49">
        <v>0</v>
      </c>
      <c r="I426" s="49">
        <v>0</v>
      </c>
      <c r="J426" s="49">
        <v>0</v>
      </c>
      <c r="K426" s="21">
        <f t="shared" si="141"/>
        <v>293561</v>
      </c>
      <c r="L426" s="23">
        <v>0</v>
      </c>
      <c r="N426" s="24"/>
    </row>
    <row r="427" spans="1:14">
      <c r="A427" s="218"/>
      <c r="B427" s="172"/>
      <c r="C427" s="20" t="s">
        <v>18</v>
      </c>
      <c r="D427" s="21">
        <v>0</v>
      </c>
      <c r="E427" s="21">
        <v>254783.64</v>
      </c>
      <c r="F427" s="21">
        <f t="shared" si="140"/>
        <v>254783.64</v>
      </c>
      <c r="G427" s="21">
        <v>0</v>
      </c>
      <c r="H427" s="49">
        <v>0</v>
      </c>
      <c r="I427" s="49">
        <v>0</v>
      </c>
      <c r="J427" s="49">
        <v>0</v>
      </c>
      <c r="K427" s="21">
        <f t="shared" si="141"/>
        <v>254783.64</v>
      </c>
      <c r="L427" s="23">
        <v>0</v>
      </c>
      <c r="N427" s="24"/>
    </row>
    <row r="428" spans="1:14">
      <c r="A428" s="218"/>
      <c r="B428" s="171" t="s">
        <v>35</v>
      </c>
      <c r="C428" s="20" t="s">
        <v>16</v>
      </c>
      <c r="D428" s="21">
        <v>0</v>
      </c>
      <c r="E428" s="21">
        <v>254783.64</v>
      </c>
      <c r="F428" s="21">
        <f t="shared" si="140"/>
        <v>254783.64</v>
      </c>
      <c r="G428" s="21">
        <v>0</v>
      </c>
      <c r="H428" s="49">
        <v>0</v>
      </c>
      <c r="I428" s="49">
        <v>0</v>
      </c>
      <c r="J428" s="49">
        <v>0</v>
      </c>
      <c r="K428" s="21">
        <f t="shared" si="141"/>
        <v>254783.64</v>
      </c>
      <c r="L428" s="23">
        <v>0</v>
      </c>
      <c r="N428" s="24"/>
    </row>
    <row r="429" spans="1:14">
      <c r="A429" s="218"/>
      <c r="B429" s="172"/>
      <c r="C429" s="20" t="s">
        <v>17</v>
      </c>
      <c r="D429" s="21">
        <v>0</v>
      </c>
      <c r="E429" s="21">
        <v>285641.68</v>
      </c>
      <c r="F429" s="21">
        <f t="shared" si="140"/>
        <v>285641.68</v>
      </c>
      <c r="G429" s="21">
        <v>0</v>
      </c>
      <c r="H429" s="49">
        <v>0</v>
      </c>
      <c r="I429" s="49">
        <v>0</v>
      </c>
      <c r="J429" s="49">
        <v>0</v>
      </c>
      <c r="K429" s="21">
        <f t="shared" si="141"/>
        <v>285641.68</v>
      </c>
      <c r="L429" s="23">
        <v>0</v>
      </c>
      <c r="N429" s="24"/>
    </row>
    <row r="430" spans="1:14">
      <c r="A430" s="218"/>
      <c r="B430" s="172"/>
      <c r="C430" s="20" t="s">
        <v>18</v>
      </c>
      <c r="D430" s="21">
        <v>0</v>
      </c>
      <c r="E430" s="21">
        <v>254783.64</v>
      </c>
      <c r="F430" s="21">
        <f t="shared" si="140"/>
        <v>254783.64</v>
      </c>
      <c r="G430" s="21">
        <v>0</v>
      </c>
      <c r="H430" s="49">
        <v>0</v>
      </c>
      <c r="I430" s="49">
        <v>0</v>
      </c>
      <c r="J430" s="49">
        <v>0</v>
      </c>
      <c r="K430" s="21">
        <f t="shared" si="141"/>
        <v>254783.64</v>
      </c>
      <c r="L430" s="23">
        <v>0</v>
      </c>
      <c r="N430" s="24"/>
    </row>
    <row r="431" spans="1:14">
      <c r="A431" s="218"/>
      <c r="B431" s="171" t="s">
        <v>36</v>
      </c>
      <c r="C431" s="20" t="s">
        <v>16</v>
      </c>
      <c r="D431" s="21">
        <f t="shared" ref="D431:L433" si="142">D422+D425+D428</f>
        <v>0</v>
      </c>
      <c r="E431" s="21">
        <f t="shared" si="142"/>
        <v>764350.92</v>
      </c>
      <c r="F431" s="21">
        <f t="shared" si="142"/>
        <v>764350.92</v>
      </c>
      <c r="G431" s="21">
        <f t="shared" si="142"/>
        <v>0</v>
      </c>
      <c r="H431" s="21">
        <f t="shared" si="142"/>
        <v>0</v>
      </c>
      <c r="I431" s="21">
        <f t="shared" si="142"/>
        <v>0</v>
      </c>
      <c r="J431" s="21">
        <f t="shared" si="142"/>
        <v>0</v>
      </c>
      <c r="K431" s="21">
        <f t="shared" si="142"/>
        <v>764350.92</v>
      </c>
      <c r="L431" s="21">
        <f t="shared" si="142"/>
        <v>0</v>
      </c>
      <c r="N431" s="24"/>
    </row>
    <row r="432" spans="1:14">
      <c r="A432" s="218"/>
      <c r="B432" s="172"/>
      <c r="C432" s="20" t="s">
        <v>17</v>
      </c>
      <c r="D432" s="21">
        <f t="shared" si="142"/>
        <v>0</v>
      </c>
      <c r="E432" s="21">
        <f t="shared" si="142"/>
        <v>869213.6399999999</v>
      </c>
      <c r="F432" s="21">
        <f t="shared" si="142"/>
        <v>869213.6399999999</v>
      </c>
      <c r="G432" s="21">
        <f t="shared" si="142"/>
        <v>0</v>
      </c>
      <c r="H432" s="21">
        <f t="shared" si="142"/>
        <v>0</v>
      </c>
      <c r="I432" s="21">
        <f t="shared" si="142"/>
        <v>0</v>
      </c>
      <c r="J432" s="21">
        <f t="shared" si="142"/>
        <v>0</v>
      </c>
      <c r="K432" s="21">
        <f t="shared" si="142"/>
        <v>869213.6399999999</v>
      </c>
      <c r="L432" s="21">
        <f t="shared" si="142"/>
        <v>0</v>
      </c>
      <c r="N432" s="24"/>
    </row>
    <row r="433" spans="1:14">
      <c r="A433" s="218"/>
      <c r="B433" s="172"/>
      <c r="C433" s="20" t="s">
        <v>18</v>
      </c>
      <c r="D433" s="21">
        <f t="shared" si="142"/>
        <v>0</v>
      </c>
      <c r="E433" s="21">
        <f t="shared" si="142"/>
        <v>764350.92</v>
      </c>
      <c r="F433" s="21">
        <f t="shared" si="142"/>
        <v>764350.92</v>
      </c>
      <c r="G433" s="21">
        <f t="shared" si="142"/>
        <v>0</v>
      </c>
      <c r="H433" s="21">
        <f t="shared" si="142"/>
        <v>0</v>
      </c>
      <c r="I433" s="21">
        <f t="shared" si="142"/>
        <v>0</v>
      </c>
      <c r="J433" s="21">
        <f t="shared" si="142"/>
        <v>0</v>
      </c>
      <c r="K433" s="21">
        <f t="shared" si="142"/>
        <v>764350.92</v>
      </c>
      <c r="L433" s="21">
        <f t="shared" si="142"/>
        <v>0</v>
      </c>
      <c r="N433" s="24"/>
    </row>
    <row r="434" spans="1:14">
      <c r="A434" s="218"/>
      <c r="B434" s="172"/>
      <c r="C434" s="20" t="s">
        <v>37</v>
      </c>
      <c r="D434" s="21">
        <v>0</v>
      </c>
      <c r="E434" s="21">
        <f t="shared" ref="E434:K434" si="143">E427+E430+E424</f>
        <v>764350.92</v>
      </c>
      <c r="F434" s="21">
        <f t="shared" si="143"/>
        <v>764350.92</v>
      </c>
      <c r="G434" s="21">
        <f t="shared" si="143"/>
        <v>0</v>
      </c>
      <c r="H434" s="21">
        <f t="shared" si="143"/>
        <v>0</v>
      </c>
      <c r="I434" s="21">
        <f t="shared" si="143"/>
        <v>0</v>
      </c>
      <c r="J434" s="21">
        <f t="shared" si="143"/>
        <v>0</v>
      </c>
      <c r="K434" s="21">
        <f t="shared" si="143"/>
        <v>764350.92</v>
      </c>
      <c r="L434" s="23">
        <v>0</v>
      </c>
      <c r="N434" s="24"/>
    </row>
    <row r="435" spans="1:14">
      <c r="A435" s="218"/>
      <c r="B435" s="171" t="s">
        <v>38</v>
      </c>
      <c r="C435" s="20" t="s">
        <v>16</v>
      </c>
      <c r="D435" s="21">
        <v>0</v>
      </c>
      <c r="E435" s="21">
        <v>254783.64</v>
      </c>
      <c r="F435" s="21">
        <f t="shared" ref="F435:F443" si="144">SUM(D435:E435)</f>
        <v>254783.64</v>
      </c>
      <c r="G435" s="21">
        <v>0</v>
      </c>
      <c r="H435" s="49">
        <v>0</v>
      </c>
      <c r="I435" s="49">
        <v>0</v>
      </c>
      <c r="J435" s="49">
        <v>0</v>
      </c>
      <c r="K435" s="21">
        <f t="shared" ref="K435:K443" si="145">D435+E435+G435+H435+I435+J435</f>
        <v>254783.64</v>
      </c>
      <c r="L435" s="23">
        <v>0</v>
      </c>
      <c r="N435" s="24"/>
    </row>
    <row r="436" spans="1:14">
      <c r="A436" s="218"/>
      <c r="B436" s="172"/>
      <c r="C436" s="20" t="s">
        <v>17</v>
      </c>
      <c r="D436" s="21">
        <v>0</v>
      </c>
      <c r="E436" s="21">
        <v>294926.40000000002</v>
      </c>
      <c r="F436" s="21">
        <f t="shared" si="144"/>
        <v>294926.40000000002</v>
      </c>
      <c r="G436" s="21">
        <v>0</v>
      </c>
      <c r="H436" s="49">
        <v>0</v>
      </c>
      <c r="I436" s="49">
        <v>0</v>
      </c>
      <c r="J436" s="49">
        <v>0</v>
      </c>
      <c r="K436" s="21">
        <f t="shared" si="145"/>
        <v>294926.40000000002</v>
      </c>
      <c r="L436" s="23">
        <v>0</v>
      </c>
      <c r="N436" s="24"/>
    </row>
    <row r="437" spans="1:14">
      <c r="A437" s="218"/>
      <c r="B437" s="172"/>
      <c r="C437" s="20" t="s">
        <v>18</v>
      </c>
      <c r="D437" s="21">
        <v>0</v>
      </c>
      <c r="E437" s="21">
        <v>254783.64</v>
      </c>
      <c r="F437" s="21">
        <f t="shared" si="144"/>
        <v>254783.64</v>
      </c>
      <c r="G437" s="21">
        <v>0</v>
      </c>
      <c r="H437" s="49">
        <v>0</v>
      </c>
      <c r="I437" s="49">
        <v>0</v>
      </c>
      <c r="J437" s="49">
        <v>0</v>
      </c>
      <c r="K437" s="21">
        <f t="shared" si="145"/>
        <v>254783.64</v>
      </c>
      <c r="L437" s="23">
        <v>0</v>
      </c>
      <c r="N437" s="24"/>
    </row>
    <row r="438" spans="1:14">
      <c r="A438" s="218"/>
      <c r="B438" s="171" t="s">
        <v>39</v>
      </c>
      <c r="C438" s="20" t="s">
        <v>16</v>
      </c>
      <c r="D438" s="21">
        <v>0</v>
      </c>
      <c r="E438" s="21">
        <v>254783.64</v>
      </c>
      <c r="F438" s="21">
        <f t="shared" si="144"/>
        <v>254783.64</v>
      </c>
      <c r="G438" s="21">
        <v>0</v>
      </c>
      <c r="H438" s="49">
        <v>0</v>
      </c>
      <c r="I438" s="49">
        <v>0</v>
      </c>
      <c r="J438" s="49">
        <v>0</v>
      </c>
      <c r="K438" s="21">
        <f t="shared" si="145"/>
        <v>254783.64</v>
      </c>
      <c r="L438" s="23">
        <v>0</v>
      </c>
      <c r="N438" s="24"/>
    </row>
    <row r="439" spans="1:14">
      <c r="A439" s="218"/>
      <c r="B439" s="172"/>
      <c r="C439" s="20" t="s">
        <v>17</v>
      </c>
      <c r="D439" s="21">
        <v>0</v>
      </c>
      <c r="E439" s="21">
        <v>285914.76</v>
      </c>
      <c r="F439" s="21">
        <f t="shared" si="144"/>
        <v>285914.76</v>
      </c>
      <c r="G439" s="21">
        <v>0</v>
      </c>
      <c r="H439" s="49">
        <v>0</v>
      </c>
      <c r="I439" s="49">
        <v>0</v>
      </c>
      <c r="J439" s="49">
        <v>0</v>
      </c>
      <c r="K439" s="21">
        <f t="shared" si="145"/>
        <v>285914.76</v>
      </c>
      <c r="L439" s="23">
        <v>0</v>
      </c>
      <c r="N439" s="24"/>
    </row>
    <row r="440" spans="1:14">
      <c r="A440" s="218"/>
      <c r="B440" s="172"/>
      <c r="C440" s="20" t="s">
        <v>18</v>
      </c>
      <c r="D440" s="21">
        <v>0</v>
      </c>
      <c r="E440" s="21">
        <v>254783.64</v>
      </c>
      <c r="F440" s="21">
        <f t="shared" si="144"/>
        <v>254783.64</v>
      </c>
      <c r="G440" s="21">
        <v>0</v>
      </c>
      <c r="H440" s="49">
        <v>0</v>
      </c>
      <c r="I440" s="49">
        <v>0</v>
      </c>
      <c r="J440" s="49">
        <v>0</v>
      </c>
      <c r="K440" s="21">
        <f t="shared" si="145"/>
        <v>254783.64</v>
      </c>
      <c r="L440" s="23">
        <v>0</v>
      </c>
      <c r="N440" s="24"/>
    </row>
    <row r="441" spans="1:14">
      <c r="A441" s="218"/>
      <c r="B441" s="171" t="s">
        <v>43</v>
      </c>
      <c r="C441" s="20" t="s">
        <v>16</v>
      </c>
      <c r="D441" s="21">
        <v>0</v>
      </c>
      <c r="E441" s="21">
        <f>7373.16+247410.48</f>
        <v>254783.64</v>
      </c>
      <c r="F441" s="21">
        <f t="shared" si="144"/>
        <v>254783.64</v>
      </c>
      <c r="G441" s="21">
        <v>0</v>
      </c>
      <c r="H441" s="49">
        <v>0</v>
      </c>
      <c r="I441" s="49">
        <v>0</v>
      </c>
      <c r="J441" s="49">
        <v>0</v>
      </c>
      <c r="K441" s="21">
        <f t="shared" si="145"/>
        <v>254783.64</v>
      </c>
      <c r="L441" s="23">
        <v>0</v>
      </c>
      <c r="N441" s="24"/>
    </row>
    <row r="442" spans="1:14">
      <c r="A442" s="218"/>
      <c r="B442" s="172"/>
      <c r="C442" s="20" t="s">
        <v>17</v>
      </c>
      <c r="D442" s="21">
        <v>0</v>
      </c>
      <c r="E442" s="21">
        <v>294380.24</v>
      </c>
      <c r="F442" s="21">
        <f t="shared" si="144"/>
        <v>294380.24</v>
      </c>
      <c r="G442" s="21">
        <v>0</v>
      </c>
      <c r="H442" s="49">
        <v>0</v>
      </c>
      <c r="I442" s="49">
        <v>0</v>
      </c>
      <c r="J442" s="49">
        <v>0</v>
      </c>
      <c r="K442" s="21">
        <f t="shared" si="145"/>
        <v>294380.24</v>
      </c>
      <c r="L442" s="23">
        <v>0</v>
      </c>
      <c r="N442" s="24"/>
    </row>
    <row r="443" spans="1:14">
      <c r="A443" s="218"/>
      <c r="B443" s="172"/>
      <c r="C443" s="20" t="s">
        <v>18</v>
      </c>
      <c r="D443" s="21">
        <v>0</v>
      </c>
      <c r="E443" s="21">
        <v>254783.64</v>
      </c>
      <c r="F443" s="21">
        <f t="shared" si="144"/>
        <v>254783.64</v>
      </c>
      <c r="G443" s="21">
        <v>0</v>
      </c>
      <c r="H443" s="49">
        <v>0</v>
      </c>
      <c r="I443" s="49">
        <v>0</v>
      </c>
      <c r="J443" s="49">
        <v>0</v>
      </c>
      <c r="K443" s="21">
        <f t="shared" si="145"/>
        <v>254783.64</v>
      </c>
      <c r="L443" s="23">
        <v>0</v>
      </c>
      <c r="N443" s="24"/>
    </row>
    <row r="444" spans="1:14">
      <c r="A444" s="218"/>
      <c r="B444" s="187" t="s">
        <v>44</v>
      </c>
      <c r="C444" s="20" t="s">
        <v>16</v>
      </c>
      <c r="D444" s="21">
        <f t="shared" ref="D444:L446" si="146">D435+D438+D441</f>
        <v>0</v>
      </c>
      <c r="E444" s="21">
        <f t="shared" si="146"/>
        <v>764350.92</v>
      </c>
      <c r="F444" s="21">
        <f t="shared" si="146"/>
        <v>764350.92</v>
      </c>
      <c r="G444" s="21">
        <f t="shared" si="146"/>
        <v>0</v>
      </c>
      <c r="H444" s="21">
        <f t="shared" si="146"/>
        <v>0</v>
      </c>
      <c r="I444" s="21">
        <f t="shared" si="146"/>
        <v>0</v>
      </c>
      <c r="J444" s="21">
        <f t="shared" si="146"/>
        <v>0</v>
      </c>
      <c r="K444" s="21">
        <f t="shared" si="146"/>
        <v>764350.92</v>
      </c>
      <c r="L444" s="23">
        <f t="shared" si="146"/>
        <v>0</v>
      </c>
      <c r="N444" s="24"/>
    </row>
    <row r="445" spans="1:14">
      <c r="A445" s="218"/>
      <c r="B445" s="188"/>
      <c r="C445" s="20" t="s">
        <v>17</v>
      </c>
      <c r="D445" s="21">
        <f t="shared" si="146"/>
        <v>0</v>
      </c>
      <c r="E445" s="21">
        <f t="shared" si="146"/>
        <v>875221.4</v>
      </c>
      <c r="F445" s="21">
        <f t="shared" si="146"/>
        <v>875221.4</v>
      </c>
      <c r="G445" s="21">
        <f t="shared" si="146"/>
        <v>0</v>
      </c>
      <c r="H445" s="21">
        <f t="shared" si="146"/>
        <v>0</v>
      </c>
      <c r="I445" s="21">
        <f t="shared" si="146"/>
        <v>0</v>
      </c>
      <c r="J445" s="21">
        <f t="shared" si="146"/>
        <v>0</v>
      </c>
      <c r="K445" s="21">
        <f t="shared" si="146"/>
        <v>875221.4</v>
      </c>
      <c r="L445" s="23">
        <f t="shared" si="146"/>
        <v>0</v>
      </c>
      <c r="N445" s="24"/>
    </row>
    <row r="446" spans="1:14">
      <c r="A446" s="218"/>
      <c r="B446" s="188"/>
      <c r="C446" s="20" t="s">
        <v>18</v>
      </c>
      <c r="D446" s="21">
        <f t="shared" si="146"/>
        <v>0</v>
      </c>
      <c r="E446" s="21">
        <f t="shared" si="146"/>
        <v>764350.92</v>
      </c>
      <c r="F446" s="21">
        <f t="shared" si="146"/>
        <v>764350.92</v>
      </c>
      <c r="G446" s="21">
        <f t="shared" si="146"/>
        <v>0</v>
      </c>
      <c r="H446" s="21">
        <f t="shared" si="146"/>
        <v>0</v>
      </c>
      <c r="I446" s="21">
        <f t="shared" si="146"/>
        <v>0</v>
      </c>
      <c r="J446" s="21">
        <f t="shared" si="146"/>
        <v>0</v>
      </c>
      <c r="K446" s="21">
        <f t="shared" si="146"/>
        <v>764350.92</v>
      </c>
      <c r="L446" s="23">
        <f t="shared" si="146"/>
        <v>0</v>
      </c>
      <c r="N446" s="24"/>
    </row>
    <row r="447" spans="1:14">
      <c r="A447" s="218"/>
      <c r="B447" s="220" t="s">
        <v>45</v>
      </c>
      <c r="C447" s="50" t="s">
        <v>16</v>
      </c>
      <c r="D447" s="51">
        <f t="shared" ref="D447:L448" si="147">D431+D444</f>
        <v>0</v>
      </c>
      <c r="E447" s="51">
        <f>E431+E444</f>
        <v>1528701.84</v>
      </c>
      <c r="F447" s="51">
        <f t="shared" si="147"/>
        <v>1528701.84</v>
      </c>
      <c r="G447" s="51">
        <f t="shared" si="147"/>
        <v>0</v>
      </c>
      <c r="H447" s="51">
        <f t="shared" si="147"/>
        <v>0</v>
      </c>
      <c r="I447" s="51">
        <f t="shared" si="147"/>
        <v>0</v>
      </c>
      <c r="J447" s="51">
        <f t="shared" si="147"/>
        <v>0</v>
      </c>
      <c r="K447" s="51">
        <f t="shared" si="147"/>
        <v>1528701.84</v>
      </c>
      <c r="L447" s="51">
        <f t="shared" si="147"/>
        <v>0</v>
      </c>
      <c r="M447" s="52"/>
      <c r="N447" s="53"/>
    </row>
    <row r="448" spans="1:14">
      <c r="A448" s="218"/>
      <c r="B448" s="221"/>
      <c r="C448" s="50" t="s">
        <v>17</v>
      </c>
      <c r="D448" s="51">
        <f t="shared" si="147"/>
        <v>0</v>
      </c>
      <c r="E448" s="51">
        <f>E432+E445</f>
        <v>1744435.04</v>
      </c>
      <c r="F448" s="51">
        <f t="shared" si="147"/>
        <v>1744435.04</v>
      </c>
      <c r="G448" s="51">
        <f t="shared" si="147"/>
        <v>0</v>
      </c>
      <c r="H448" s="51">
        <f t="shared" si="147"/>
        <v>0</v>
      </c>
      <c r="I448" s="51">
        <f t="shared" si="147"/>
        <v>0</v>
      </c>
      <c r="J448" s="51">
        <f t="shared" si="147"/>
        <v>0</v>
      </c>
      <c r="K448" s="51">
        <f t="shared" si="147"/>
        <v>1744435.04</v>
      </c>
      <c r="L448" s="51">
        <f t="shared" si="147"/>
        <v>0</v>
      </c>
      <c r="M448" s="52"/>
      <c r="N448" s="53"/>
    </row>
    <row r="449" spans="1:14">
      <c r="A449" s="218"/>
      <c r="B449" s="221"/>
      <c r="C449" s="50" t="s">
        <v>18</v>
      </c>
      <c r="D449" s="51">
        <v>0</v>
      </c>
      <c r="E449" s="51">
        <f>E434+E446</f>
        <v>1528701.84</v>
      </c>
      <c r="F449" s="51">
        <f t="shared" ref="F449:L449" si="148">F434+F446</f>
        <v>1528701.84</v>
      </c>
      <c r="G449" s="51">
        <f t="shared" si="148"/>
        <v>0</v>
      </c>
      <c r="H449" s="51">
        <f t="shared" si="148"/>
        <v>0</v>
      </c>
      <c r="I449" s="51">
        <f t="shared" si="148"/>
        <v>0</v>
      </c>
      <c r="J449" s="51">
        <f t="shared" si="148"/>
        <v>0</v>
      </c>
      <c r="K449" s="51">
        <f t="shared" si="148"/>
        <v>1528701.84</v>
      </c>
      <c r="L449" s="51">
        <f t="shared" si="148"/>
        <v>0</v>
      </c>
      <c r="M449" s="52"/>
      <c r="N449" s="53"/>
    </row>
    <row r="450" spans="1:14">
      <c r="A450" s="218"/>
      <c r="B450" s="221"/>
      <c r="C450" s="50" t="s">
        <v>56</v>
      </c>
      <c r="D450" s="51">
        <v>0</v>
      </c>
      <c r="E450" s="51">
        <f>E432+E445</f>
        <v>1744435.04</v>
      </c>
      <c r="F450" s="51">
        <f>E450</f>
        <v>1744435.04</v>
      </c>
      <c r="G450" s="51"/>
      <c r="H450" s="51"/>
      <c r="I450" s="51"/>
      <c r="J450" s="51"/>
      <c r="K450" s="51">
        <f>F450</f>
        <v>1744435.04</v>
      </c>
      <c r="L450" s="51">
        <v>0</v>
      </c>
      <c r="M450" s="52"/>
      <c r="N450" s="53"/>
    </row>
    <row r="451" spans="1:14">
      <c r="A451" s="218"/>
      <c r="B451" s="221"/>
      <c r="C451" s="50" t="s">
        <v>26</v>
      </c>
      <c r="D451" s="51">
        <f>D449</f>
        <v>0</v>
      </c>
      <c r="E451" s="51">
        <f t="shared" ref="E451:N451" si="149">E449</f>
        <v>1528701.84</v>
      </c>
      <c r="F451" s="51">
        <f t="shared" si="149"/>
        <v>1528701.84</v>
      </c>
      <c r="G451" s="51">
        <f t="shared" si="149"/>
        <v>0</v>
      </c>
      <c r="H451" s="51">
        <f t="shared" si="149"/>
        <v>0</v>
      </c>
      <c r="I451" s="51">
        <f t="shared" si="149"/>
        <v>0</v>
      </c>
      <c r="J451" s="51">
        <f t="shared" si="149"/>
        <v>0</v>
      </c>
      <c r="K451" s="51">
        <f t="shared" si="149"/>
        <v>1528701.84</v>
      </c>
      <c r="L451" s="51">
        <f t="shared" si="149"/>
        <v>0</v>
      </c>
      <c r="M451" s="51">
        <f t="shared" si="149"/>
        <v>0</v>
      </c>
      <c r="N451" s="51">
        <f t="shared" si="149"/>
        <v>0</v>
      </c>
    </row>
    <row r="452" spans="1:14">
      <c r="A452" s="219"/>
      <c r="B452" s="222" t="s">
        <v>46</v>
      </c>
      <c r="C452" s="157" t="s">
        <v>16</v>
      </c>
      <c r="D452" s="158">
        <f t="shared" ref="D452:L453" si="150">D416+D447</f>
        <v>0</v>
      </c>
      <c r="E452" s="158">
        <f t="shared" si="150"/>
        <v>2882086.3200000003</v>
      </c>
      <c r="F452" s="158">
        <f t="shared" si="150"/>
        <v>2882086.3200000003</v>
      </c>
      <c r="G452" s="158">
        <f t="shared" si="150"/>
        <v>0</v>
      </c>
      <c r="H452" s="158">
        <f t="shared" si="150"/>
        <v>0</v>
      </c>
      <c r="I452" s="158">
        <f t="shared" si="150"/>
        <v>0</v>
      </c>
      <c r="J452" s="158">
        <f t="shared" si="150"/>
        <v>0</v>
      </c>
      <c r="K452" s="158">
        <f t="shared" si="150"/>
        <v>2882086.3200000003</v>
      </c>
      <c r="L452" s="158">
        <f t="shared" si="150"/>
        <v>0</v>
      </c>
      <c r="M452" s="152"/>
      <c r="N452" s="153"/>
    </row>
    <row r="453" spans="1:14">
      <c r="A453" s="219"/>
      <c r="B453" s="223"/>
      <c r="C453" s="157" t="s">
        <v>17</v>
      </c>
      <c r="D453" s="158">
        <f t="shared" si="150"/>
        <v>0</v>
      </c>
      <c r="E453" s="158">
        <f t="shared" si="150"/>
        <v>3461015.92</v>
      </c>
      <c r="F453" s="158">
        <f t="shared" si="150"/>
        <v>3461015.92</v>
      </c>
      <c r="G453" s="158">
        <f t="shared" si="150"/>
        <v>0</v>
      </c>
      <c r="H453" s="158">
        <f t="shared" si="150"/>
        <v>0</v>
      </c>
      <c r="I453" s="158">
        <f t="shared" si="150"/>
        <v>0</v>
      </c>
      <c r="J453" s="158">
        <f t="shared" si="150"/>
        <v>0</v>
      </c>
      <c r="K453" s="158">
        <f t="shared" si="150"/>
        <v>3461015.92</v>
      </c>
      <c r="L453" s="158">
        <f t="shared" si="150"/>
        <v>0</v>
      </c>
      <c r="M453" s="152"/>
      <c r="N453" s="153"/>
    </row>
    <row r="454" spans="1:14">
      <c r="A454" s="219"/>
      <c r="B454" s="223"/>
      <c r="C454" s="157" t="s">
        <v>41</v>
      </c>
      <c r="D454" s="158">
        <v>0</v>
      </c>
      <c r="E454" s="158">
        <f t="shared" ref="E454:K454" si="151">E419+E432+E445</f>
        <v>3461015.9199999995</v>
      </c>
      <c r="F454" s="158">
        <f t="shared" si="151"/>
        <v>3461015.9199999995</v>
      </c>
      <c r="G454" s="158">
        <f t="shared" si="151"/>
        <v>0</v>
      </c>
      <c r="H454" s="158">
        <f t="shared" si="151"/>
        <v>0</v>
      </c>
      <c r="I454" s="158">
        <f t="shared" si="151"/>
        <v>864025.12</v>
      </c>
      <c r="J454" s="158">
        <f t="shared" si="151"/>
        <v>864025.12</v>
      </c>
      <c r="K454" s="158">
        <f t="shared" si="151"/>
        <v>3461015.9199999995</v>
      </c>
      <c r="L454" s="158">
        <f>L419+L432</f>
        <v>0</v>
      </c>
      <c r="M454" s="152"/>
      <c r="N454" s="153"/>
    </row>
    <row r="455" spans="1:14">
      <c r="A455" s="219"/>
      <c r="B455" s="223"/>
      <c r="C455" s="159" t="s">
        <v>18</v>
      </c>
      <c r="D455" s="158">
        <f>D418+D451</f>
        <v>0</v>
      </c>
      <c r="E455" s="158">
        <f t="shared" ref="E455:M455" si="152">E418+E451</f>
        <v>2882086.3200000003</v>
      </c>
      <c r="F455" s="158">
        <f t="shared" si="152"/>
        <v>2882086.3200000003</v>
      </c>
      <c r="G455" s="158">
        <f t="shared" si="152"/>
        <v>0</v>
      </c>
      <c r="H455" s="158">
        <f t="shared" si="152"/>
        <v>0</v>
      </c>
      <c r="I455" s="158">
        <f t="shared" si="152"/>
        <v>0</v>
      </c>
      <c r="J455" s="158">
        <f t="shared" si="152"/>
        <v>0</v>
      </c>
      <c r="K455" s="158">
        <f t="shared" si="152"/>
        <v>2882086.3200000003</v>
      </c>
      <c r="L455" s="158">
        <f t="shared" si="152"/>
        <v>0</v>
      </c>
      <c r="M455" s="158">
        <f t="shared" si="152"/>
        <v>0</v>
      </c>
      <c r="N455" s="153"/>
    </row>
    <row r="456" spans="1:14">
      <c r="A456" s="216" t="s">
        <v>60</v>
      </c>
      <c r="B456" s="179" t="s">
        <v>15</v>
      </c>
      <c r="C456" s="20" t="s">
        <v>16</v>
      </c>
      <c r="D456" s="22">
        <f t="shared" ref="D456:L456" si="153">D4+D80+D160+D236+D313+D389</f>
        <v>9549879.120000001</v>
      </c>
      <c r="E456" s="22">
        <f t="shared" si="153"/>
        <v>1429728.4600000002</v>
      </c>
      <c r="F456" s="22">
        <f t="shared" si="153"/>
        <v>10979607.58</v>
      </c>
      <c r="G456" s="22">
        <f t="shared" si="153"/>
        <v>851451.93</v>
      </c>
      <c r="H456" s="22">
        <f t="shared" si="153"/>
        <v>0</v>
      </c>
      <c r="I456" s="22">
        <f t="shared" si="153"/>
        <v>0</v>
      </c>
      <c r="J456" s="22">
        <f t="shared" si="153"/>
        <v>0</v>
      </c>
      <c r="K456" s="22">
        <f t="shared" si="153"/>
        <v>11831059.51</v>
      </c>
      <c r="L456" s="22">
        <f t="shared" si="153"/>
        <v>771661</v>
      </c>
      <c r="N456" s="24"/>
    </row>
    <row r="457" spans="1:14">
      <c r="A457" s="217"/>
      <c r="B457" s="178"/>
      <c r="C457" s="20" t="s">
        <v>17</v>
      </c>
      <c r="D457" s="22">
        <f t="shared" ref="D457:L457" si="154">D5+D81+D161+D237+D314+D390</f>
        <v>10182279.979999999</v>
      </c>
      <c r="E457" s="22">
        <f t="shared" si="154"/>
        <v>1562777.01</v>
      </c>
      <c r="F457" s="22">
        <f t="shared" si="154"/>
        <v>11745056.989999998</v>
      </c>
      <c r="G457" s="22">
        <f t="shared" si="154"/>
        <v>849799.98</v>
      </c>
      <c r="H457" s="22">
        <f t="shared" si="154"/>
        <v>0</v>
      </c>
      <c r="I457" s="22">
        <f t="shared" si="154"/>
        <v>0</v>
      </c>
      <c r="J457" s="22">
        <f t="shared" si="154"/>
        <v>0</v>
      </c>
      <c r="K457" s="22">
        <f t="shared" si="154"/>
        <v>12594856.969999999</v>
      </c>
      <c r="L457" s="22">
        <f t="shared" si="154"/>
        <v>771661</v>
      </c>
      <c r="N457" s="24"/>
    </row>
    <row r="458" spans="1:14">
      <c r="A458" s="217"/>
      <c r="B458" s="197"/>
      <c r="C458" s="25" t="s">
        <v>18</v>
      </c>
      <c r="D458" s="22">
        <f t="shared" ref="D458:L458" si="155">D6+D82+D162+D238+D315+D391</f>
        <v>9486014.1600000001</v>
      </c>
      <c r="E458" s="22">
        <f t="shared" si="155"/>
        <v>1429625.83</v>
      </c>
      <c r="F458" s="22">
        <f t="shared" si="155"/>
        <v>10915639.99</v>
      </c>
      <c r="G458" s="22">
        <f t="shared" si="155"/>
        <v>849799.98</v>
      </c>
      <c r="H458" s="22">
        <f t="shared" si="155"/>
        <v>0</v>
      </c>
      <c r="I458" s="22">
        <f t="shared" si="155"/>
        <v>0</v>
      </c>
      <c r="J458" s="22">
        <f t="shared" si="155"/>
        <v>0</v>
      </c>
      <c r="K458" s="22">
        <f t="shared" si="155"/>
        <v>11765439.969999999</v>
      </c>
      <c r="L458" s="22">
        <f t="shared" si="155"/>
        <v>771661</v>
      </c>
      <c r="N458" s="24"/>
    </row>
    <row r="459" spans="1:14">
      <c r="A459" s="217"/>
      <c r="B459" s="179" t="s">
        <v>20</v>
      </c>
      <c r="C459" s="20" t="s">
        <v>16</v>
      </c>
      <c r="D459" s="22">
        <f t="shared" ref="D459:L459" si="156">D7+D83+D163+D239+D316+D392</f>
        <v>9464377.6400000006</v>
      </c>
      <c r="E459" s="22">
        <f t="shared" si="156"/>
        <v>1531727.9</v>
      </c>
      <c r="F459" s="22">
        <f t="shared" si="156"/>
        <v>10996105.539999999</v>
      </c>
      <c r="G459" s="22">
        <f t="shared" si="156"/>
        <v>1002319.0800000001</v>
      </c>
      <c r="H459" s="22">
        <f t="shared" si="156"/>
        <v>0</v>
      </c>
      <c r="I459" s="22">
        <f t="shared" si="156"/>
        <v>0</v>
      </c>
      <c r="J459" s="22">
        <f t="shared" si="156"/>
        <v>0</v>
      </c>
      <c r="K459" s="22">
        <f t="shared" si="156"/>
        <v>11998424.619999999</v>
      </c>
      <c r="L459" s="22">
        <f t="shared" si="156"/>
        <v>723239</v>
      </c>
      <c r="N459" s="24"/>
    </row>
    <row r="460" spans="1:14">
      <c r="A460" s="217"/>
      <c r="B460" s="178"/>
      <c r="C460" s="20" t="s">
        <v>17</v>
      </c>
      <c r="D460" s="22">
        <f t="shared" ref="D460:L460" si="157">D8+D84+D164+D240+D317+D393</f>
        <v>9629394.7300000004</v>
      </c>
      <c r="E460" s="22">
        <f t="shared" si="157"/>
        <v>1574412.69</v>
      </c>
      <c r="F460" s="22">
        <f t="shared" si="157"/>
        <v>11203807.42</v>
      </c>
      <c r="G460" s="22">
        <f t="shared" si="157"/>
        <v>981149.98</v>
      </c>
      <c r="H460" s="22">
        <f t="shared" si="157"/>
        <v>0</v>
      </c>
      <c r="I460" s="22">
        <f t="shared" si="157"/>
        <v>0</v>
      </c>
      <c r="J460" s="22">
        <f t="shared" si="157"/>
        <v>0</v>
      </c>
      <c r="K460" s="22">
        <f t="shared" si="157"/>
        <v>12184957.4</v>
      </c>
      <c r="L460" s="22">
        <f t="shared" si="157"/>
        <v>723239</v>
      </c>
      <c r="N460" s="24"/>
    </row>
    <row r="461" spans="1:14">
      <c r="A461" s="217"/>
      <c r="B461" s="197"/>
      <c r="C461" s="25" t="s">
        <v>18</v>
      </c>
      <c r="D461" s="22">
        <f t="shared" ref="D461:L461" si="158">D9+D85+D165+D241+D318+D394</f>
        <v>9110167.3100000005</v>
      </c>
      <c r="E461" s="22">
        <f t="shared" si="158"/>
        <v>1531625.27</v>
      </c>
      <c r="F461" s="22">
        <f t="shared" si="158"/>
        <v>10641792.58</v>
      </c>
      <c r="G461" s="22">
        <f t="shared" si="158"/>
        <v>981149.98</v>
      </c>
      <c r="H461" s="22">
        <f t="shared" si="158"/>
        <v>0</v>
      </c>
      <c r="I461" s="22">
        <f t="shared" si="158"/>
        <v>0</v>
      </c>
      <c r="J461" s="22">
        <f t="shared" si="158"/>
        <v>0</v>
      </c>
      <c r="K461" s="22">
        <f t="shared" si="158"/>
        <v>11622942.559999999</v>
      </c>
      <c r="L461" s="22">
        <f t="shared" si="158"/>
        <v>723239</v>
      </c>
      <c r="N461" s="24"/>
    </row>
    <row r="462" spans="1:14">
      <c r="A462" s="217"/>
      <c r="B462" s="179" t="s">
        <v>22</v>
      </c>
      <c r="C462" s="20" t="s">
        <v>16</v>
      </c>
      <c r="D462" s="22">
        <f t="shared" ref="D462:L462" si="159">D10+D86+D166+D242+D319+D395</f>
        <v>10175096.880000001</v>
      </c>
      <c r="E462" s="22">
        <f t="shared" si="159"/>
        <v>1678072.31</v>
      </c>
      <c r="F462" s="22">
        <f t="shared" si="159"/>
        <v>11853169.189999999</v>
      </c>
      <c r="G462" s="22">
        <f t="shared" si="159"/>
        <v>1154563.54</v>
      </c>
      <c r="H462" s="22">
        <f t="shared" si="159"/>
        <v>0</v>
      </c>
      <c r="I462" s="22">
        <f t="shared" si="159"/>
        <v>0</v>
      </c>
      <c r="J462" s="22">
        <f t="shared" si="159"/>
        <v>0</v>
      </c>
      <c r="K462" s="22">
        <f t="shared" si="159"/>
        <v>13007732.73</v>
      </c>
      <c r="L462" s="22">
        <f t="shared" si="159"/>
        <v>792033</v>
      </c>
      <c r="N462" s="24"/>
    </row>
    <row r="463" spans="1:14">
      <c r="A463" s="217"/>
      <c r="B463" s="178"/>
      <c r="C463" s="20" t="s">
        <v>17</v>
      </c>
      <c r="D463" s="22">
        <f t="shared" ref="D463:L463" si="160">D11+D87+D167+D243+D320+D396</f>
        <v>11394799.84</v>
      </c>
      <c r="E463" s="22">
        <f t="shared" si="160"/>
        <v>1828548.03</v>
      </c>
      <c r="F463" s="22">
        <f t="shared" si="160"/>
        <v>13223347.870000001</v>
      </c>
      <c r="G463" s="22">
        <f t="shared" si="160"/>
        <v>1175428.5099999998</v>
      </c>
      <c r="H463" s="22">
        <f t="shared" si="160"/>
        <v>0</v>
      </c>
      <c r="I463" s="22">
        <f t="shared" si="160"/>
        <v>0</v>
      </c>
      <c r="J463" s="22">
        <f t="shared" si="160"/>
        <v>0</v>
      </c>
      <c r="K463" s="22">
        <f t="shared" si="160"/>
        <v>14398776.380000001</v>
      </c>
      <c r="L463" s="22">
        <f t="shared" si="160"/>
        <v>792033</v>
      </c>
      <c r="N463" s="24"/>
    </row>
    <row r="464" spans="1:14">
      <c r="A464" s="217"/>
      <c r="B464" s="197"/>
      <c r="C464" s="25" t="s">
        <v>18</v>
      </c>
      <c r="D464" s="22">
        <f t="shared" ref="D464:L464" si="161">D12+D88+D168+D244+D321+D397</f>
        <v>10173950.91</v>
      </c>
      <c r="E464" s="22">
        <f t="shared" si="161"/>
        <v>1696811.73</v>
      </c>
      <c r="F464" s="22">
        <f t="shared" si="161"/>
        <v>11870762.639999999</v>
      </c>
      <c r="G464" s="22">
        <f t="shared" si="161"/>
        <v>1153589.78</v>
      </c>
      <c r="H464" s="22">
        <f t="shared" si="161"/>
        <v>0</v>
      </c>
      <c r="I464" s="22">
        <f t="shared" si="161"/>
        <v>0</v>
      </c>
      <c r="J464" s="22">
        <f t="shared" si="161"/>
        <v>0</v>
      </c>
      <c r="K464" s="22">
        <f t="shared" si="161"/>
        <v>13024352.42</v>
      </c>
      <c r="L464" s="22">
        <f t="shared" si="161"/>
        <v>792033</v>
      </c>
      <c r="N464" s="24"/>
    </row>
    <row r="465" spans="1:14">
      <c r="A465" s="217"/>
      <c r="B465" s="231" t="s">
        <v>23</v>
      </c>
      <c r="C465" s="20" t="s">
        <v>16</v>
      </c>
      <c r="D465" s="22">
        <f t="shared" ref="D465:L465" si="162">D13+D89+D169+D245+D323+D398</f>
        <v>29189353.640000001</v>
      </c>
      <c r="E465" s="22">
        <f t="shared" si="162"/>
        <v>4639528.67</v>
      </c>
      <c r="F465" s="22">
        <f t="shared" si="162"/>
        <v>33828882.310000002</v>
      </c>
      <c r="G465" s="22">
        <f t="shared" si="162"/>
        <v>3008334.55</v>
      </c>
      <c r="H465" s="22">
        <f t="shared" si="162"/>
        <v>415130</v>
      </c>
      <c r="I465" s="22">
        <f t="shared" si="162"/>
        <v>0</v>
      </c>
      <c r="J465" s="22">
        <f t="shared" si="162"/>
        <v>0</v>
      </c>
      <c r="K465" s="22">
        <f t="shared" si="162"/>
        <v>36837216.859999999</v>
      </c>
      <c r="L465" s="22">
        <f t="shared" si="162"/>
        <v>2323651</v>
      </c>
      <c r="N465" s="24"/>
    </row>
    <row r="466" spans="1:14">
      <c r="A466" s="217"/>
      <c r="B466" s="232"/>
      <c r="C466" s="20" t="s">
        <v>17</v>
      </c>
      <c r="D466" s="22">
        <f t="shared" ref="D466:L466" si="163">D14+D90+D170+D246+D324+D399</f>
        <v>31206474.550000004</v>
      </c>
      <c r="E466" s="22">
        <f t="shared" si="163"/>
        <v>4965737.7299999995</v>
      </c>
      <c r="F466" s="22">
        <f t="shared" si="163"/>
        <v>36172212.280000001</v>
      </c>
      <c r="G466" s="22">
        <f t="shared" si="163"/>
        <v>3006378.4699999997</v>
      </c>
      <c r="H466" s="22">
        <f t="shared" si="163"/>
        <v>191843.67</v>
      </c>
      <c r="I466" s="22">
        <f t="shared" si="163"/>
        <v>0</v>
      </c>
      <c r="J466" s="22">
        <f t="shared" si="163"/>
        <v>0</v>
      </c>
      <c r="K466" s="22">
        <f t="shared" si="163"/>
        <v>39178590.75</v>
      </c>
      <c r="L466" s="22">
        <f t="shared" si="163"/>
        <v>2298439</v>
      </c>
      <c r="N466" s="24"/>
    </row>
    <row r="467" spans="1:14">
      <c r="A467" s="217"/>
      <c r="B467" s="232"/>
      <c r="C467" s="25" t="s">
        <v>18</v>
      </c>
      <c r="D467" s="22">
        <f t="shared" ref="D467:L467" si="164">D15+D91+D171+D247+D325+D400</f>
        <v>28770132.379999999</v>
      </c>
      <c r="E467" s="22">
        <f t="shared" si="164"/>
        <v>4658062.83</v>
      </c>
      <c r="F467" s="22">
        <f t="shared" si="164"/>
        <v>33428195.209999997</v>
      </c>
      <c r="G467" s="22">
        <f t="shared" si="164"/>
        <v>2984539.7399999998</v>
      </c>
      <c r="H467" s="22">
        <f t="shared" si="164"/>
        <v>191843.67</v>
      </c>
      <c r="I467" s="22">
        <f t="shared" si="164"/>
        <v>0</v>
      </c>
      <c r="J467" s="22">
        <f t="shared" si="164"/>
        <v>0</v>
      </c>
      <c r="K467" s="22">
        <f t="shared" si="164"/>
        <v>36412734.950000003</v>
      </c>
      <c r="L467" s="22">
        <f t="shared" si="164"/>
        <v>2298439</v>
      </c>
      <c r="M467" s="18"/>
      <c r="N467" s="24"/>
    </row>
    <row r="468" spans="1:14">
      <c r="A468" s="217"/>
      <c r="B468" s="232"/>
      <c r="C468" s="75" t="s">
        <v>41</v>
      </c>
      <c r="D468" s="51">
        <f t="shared" ref="D468:L468" si="165">D16+D92+D172+D248+D326+D401</f>
        <v>31313589.390000001</v>
      </c>
      <c r="E468" s="51">
        <f t="shared" si="165"/>
        <v>4946910.34</v>
      </c>
      <c r="F468" s="51">
        <f t="shared" si="165"/>
        <v>36260499.729999997</v>
      </c>
      <c r="G468" s="51">
        <f t="shared" si="165"/>
        <v>3008334.55</v>
      </c>
      <c r="H468" s="51">
        <f t="shared" si="165"/>
        <v>223286.33</v>
      </c>
      <c r="I468" s="51">
        <f t="shared" si="165"/>
        <v>0</v>
      </c>
      <c r="J468" s="51">
        <f t="shared" si="165"/>
        <v>0</v>
      </c>
      <c r="K468" s="51">
        <f t="shared" si="165"/>
        <v>39268834.279999994</v>
      </c>
      <c r="L468" s="51">
        <f t="shared" si="165"/>
        <v>2323651</v>
      </c>
      <c r="M468" s="81"/>
      <c r="N468" s="53"/>
    </row>
    <row r="469" spans="1:14">
      <c r="A469" s="217"/>
      <c r="B469" s="232"/>
      <c r="C469" s="75" t="s">
        <v>48</v>
      </c>
      <c r="D469" s="51">
        <f t="shared" ref="D469:L469" si="166">D17+D93+D173+D249+D327+D402</f>
        <v>417812.27999999997</v>
      </c>
      <c r="E469" s="51">
        <f t="shared" si="166"/>
        <v>-18534.16</v>
      </c>
      <c r="F469" s="51">
        <f t="shared" si="166"/>
        <v>399278.12</v>
      </c>
      <c r="G469" s="51">
        <f t="shared" si="166"/>
        <v>23794.81</v>
      </c>
      <c r="H469" s="51">
        <f t="shared" si="166"/>
        <v>223286.33</v>
      </c>
      <c r="I469" s="51">
        <f t="shared" si="166"/>
        <v>0</v>
      </c>
      <c r="J469" s="51">
        <f t="shared" si="166"/>
        <v>0</v>
      </c>
      <c r="K469" s="51">
        <f t="shared" si="166"/>
        <v>423072.93</v>
      </c>
      <c r="L469" s="51">
        <f t="shared" si="166"/>
        <v>415976</v>
      </c>
      <c r="M469" s="81"/>
      <c r="N469" s="53"/>
    </row>
    <row r="470" spans="1:14">
      <c r="A470" s="217"/>
      <c r="B470" s="233"/>
      <c r="C470" s="75" t="s">
        <v>26</v>
      </c>
      <c r="D470" s="51">
        <f t="shared" ref="D470:L470" si="167">D18+D94+D174+D250+D328+D403</f>
        <v>29187944.66</v>
      </c>
      <c r="E470" s="51">
        <f t="shared" si="167"/>
        <v>4639528.67</v>
      </c>
      <c r="F470" s="51">
        <f t="shared" si="167"/>
        <v>33827473.329999998</v>
      </c>
      <c r="G470" s="51">
        <f t="shared" si="167"/>
        <v>3008334.55</v>
      </c>
      <c r="H470" s="51">
        <f t="shared" si="167"/>
        <v>415130</v>
      </c>
      <c r="I470" s="51">
        <f t="shared" si="167"/>
        <v>0</v>
      </c>
      <c r="J470" s="51">
        <f t="shared" si="167"/>
        <v>0</v>
      </c>
      <c r="K470" s="51">
        <f t="shared" si="167"/>
        <v>36835807.879999995</v>
      </c>
      <c r="L470" s="51">
        <f t="shared" si="167"/>
        <v>2323651</v>
      </c>
      <c r="M470" s="81"/>
      <c r="N470" s="53"/>
    </row>
    <row r="471" spans="1:14">
      <c r="A471" s="217"/>
      <c r="B471" s="182" t="s">
        <v>28</v>
      </c>
      <c r="C471" s="20" t="s">
        <v>16</v>
      </c>
      <c r="D471" s="22">
        <f t="shared" ref="D471:L471" si="168">D19+D95+D175+D251+D329+D404</f>
        <v>9041219.9800000023</v>
      </c>
      <c r="E471" s="22">
        <f t="shared" si="168"/>
        <v>1553823.29</v>
      </c>
      <c r="F471" s="22">
        <f t="shared" si="168"/>
        <v>10595043.27</v>
      </c>
      <c r="G471" s="22">
        <f t="shared" si="168"/>
        <v>987044.16999999993</v>
      </c>
      <c r="H471" s="22">
        <f t="shared" si="168"/>
        <v>0</v>
      </c>
      <c r="I471" s="22">
        <f t="shared" si="168"/>
        <v>0</v>
      </c>
      <c r="J471" s="22">
        <f t="shared" si="168"/>
        <v>0</v>
      </c>
      <c r="K471" s="22">
        <f t="shared" si="168"/>
        <v>11582087.439999999</v>
      </c>
      <c r="L471" s="22">
        <f t="shared" si="168"/>
        <v>689799</v>
      </c>
      <c r="N471" s="24"/>
    </row>
    <row r="472" spans="1:14">
      <c r="A472" s="217"/>
      <c r="B472" s="183"/>
      <c r="C472" s="20" t="s">
        <v>17</v>
      </c>
      <c r="D472" s="22">
        <f t="shared" ref="D472:L472" si="169">D20+D96+D176+D252+D330+D405</f>
        <v>9235191</v>
      </c>
      <c r="E472" s="22">
        <f t="shared" si="169"/>
        <v>1665150.08</v>
      </c>
      <c r="F472" s="22">
        <f t="shared" si="169"/>
        <v>10900341.08</v>
      </c>
      <c r="G472" s="22">
        <f t="shared" si="169"/>
        <v>883086.01</v>
      </c>
      <c r="H472" s="22">
        <f t="shared" si="169"/>
        <v>0</v>
      </c>
      <c r="I472" s="22">
        <f t="shared" si="169"/>
        <v>0</v>
      </c>
      <c r="J472" s="22">
        <f t="shared" si="169"/>
        <v>0</v>
      </c>
      <c r="K472" s="22">
        <f t="shared" si="169"/>
        <v>11783427.090000002</v>
      </c>
      <c r="L472" s="22">
        <f t="shared" si="169"/>
        <v>689799</v>
      </c>
      <c r="N472" s="24"/>
    </row>
    <row r="473" spans="1:14">
      <c r="A473" s="217"/>
      <c r="B473" s="196"/>
      <c r="C473" s="25" t="s">
        <v>18</v>
      </c>
      <c r="D473" s="22">
        <f t="shared" ref="D473:L473" si="170">D21+D97+D177+D253+D331+D406</f>
        <v>9038655.4900000002</v>
      </c>
      <c r="E473" s="22">
        <f t="shared" si="170"/>
        <v>1553720.6600000001</v>
      </c>
      <c r="F473" s="22">
        <f t="shared" si="170"/>
        <v>10592376.15</v>
      </c>
      <c r="G473" s="22">
        <f t="shared" si="170"/>
        <v>883086.01</v>
      </c>
      <c r="H473" s="22">
        <f t="shared" si="170"/>
        <v>0</v>
      </c>
      <c r="I473" s="22">
        <f t="shared" si="170"/>
        <v>0</v>
      </c>
      <c r="J473" s="22">
        <f t="shared" si="170"/>
        <v>0</v>
      </c>
      <c r="K473" s="22">
        <f t="shared" si="170"/>
        <v>11475462.160000002</v>
      </c>
      <c r="L473" s="22">
        <f t="shared" si="170"/>
        <v>689799</v>
      </c>
      <c r="N473" s="24"/>
    </row>
    <row r="474" spans="1:14">
      <c r="A474" s="217"/>
      <c r="B474" s="182" t="s">
        <v>29</v>
      </c>
      <c r="C474" s="20" t="s">
        <v>16</v>
      </c>
      <c r="D474" s="22">
        <f t="shared" ref="D474:L474" si="171">D22+D99+D178+D254+D332+D407</f>
        <v>10175096.880000001</v>
      </c>
      <c r="E474" s="22">
        <f t="shared" si="171"/>
        <v>1637019.84</v>
      </c>
      <c r="F474" s="22">
        <f t="shared" si="171"/>
        <v>11812116.720000001</v>
      </c>
      <c r="G474" s="22">
        <f t="shared" si="171"/>
        <v>1171641.1800000002</v>
      </c>
      <c r="H474" s="22">
        <f t="shared" si="171"/>
        <v>0</v>
      </c>
      <c r="I474" s="22">
        <f t="shared" si="171"/>
        <v>0</v>
      </c>
      <c r="J474" s="22">
        <f t="shared" si="171"/>
        <v>0</v>
      </c>
      <c r="K474" s="22">
        <f t="shared" si="171"/>
        <v>12983757.899999999</v>
      </c>
      <c r="L474" s="22">
        <f t="shared" si="171"/>
        <v>789151</v>
      </c>
      <c r="N474" s="24"/>
    </row>
    <row r="475" spans="1:14">
      <c r="A475" s="217"/>
      <c r="B475" s="183"/>
      <c r="C475" s="20" t="s">
        <v>17</v>
      </c>
      <c r="D475" s="22">
        <f t="shared" ref="D475:L475" si="172">D23+D100+D179+D255+D333+D408</f>
        <v>11668191.610000001</v>
      </c>
      <c r="E475" s="22">
        <f t="shared" si="172"/>
        <v>1773997.81</v>
      </c>
      <c r="F475" s="22">
        <f t="shared" si="172"/>
        <v>13442189.42</v>
      </c>
      <c r="G475" s="22">
        <f t="shared" si="172"/>
        <v>1149477.77</v>
      </c>
      <c r="H475" s="22">
        <f t="shared" si="172"/>
        <v>0</v>
      </c>
      <c r="I475" s="22">
        <f t="shared" si="172"/>
        <v>0</v>
      </c>
      <c r="J475" s="22">
        <f t="shared" si="172"/>
        <v>0</v>
      </c>
      <c r="K475" s="22">
        <f t="shared" si="172"/>
        <v>14591667.189999999</v>
      </c>
      <c r="L475" s="22">
        <f t="shared" si="172"/>
        <v>789151</v>
      </c>
      <c r="N475" s="24"/>
    </row>
    <row r="476" spans="1:14">
      <c r="A476" s="217"/>
      <c r="B476" s="196"/>
      <c r="C476" s="25" t="s">
        <v>18</v>
      </c>
      <c r="D476" s="22">
        <f t="shared" ref="D476:L476" si="173">D24+D101+D180+D256+D334+D409</f>
        <v>10174292.789999999</v>
      </c>
      <c r="E476" s="22">
        <f t="shared" si="173"/>
        <v>1636917.2100000002</v>
      </c>
      <c r="F476" s="22">
        <f t="shared" si="173"/>
        <v>11811210.000000002</v>
      </c>
      <c r="G476" s="22">
        <f t="shared" si="173"/>
        <v>1121942.0899999999</v>
      </c>
      <c r="H476" s="22">
        <f t="shared" si="173"/>
        <v>0</v>
      </c>
      <c r="I476" s="22">
        <f t="shared" si="173"/>
        <v>0</v>
      </c>
      <c r="J476" s="22">
        <f t="shared" si="173"/>
        <v>0</v>
      </c>
      <c r="K476" s="22">
        <f t="shared" si="173"/>
        <v>12933152.090000002</v>
      </c>
      <c r="L476" s="22">
        <f t="shared" si="173"/>
        <v>789151</v>
      </c>
      <c r="N476" s="24"/>
    </row>
    <row r="477" spans="1:14">
      <c r="A477" s="217"/>
      <c r="B477" s="179" t="s">
        <v>30</v>
      </c>
      <c r="C477" s="37" t="s">
        <v>16</v>
      </c>
      <c r="D477" s="22">
        <f t="shared" ref="D477:L477" si="174">D25+D103+D181+D257+D335+D410</f>
        <v>9774020.4700000007</v>
      </c>
      <c r="E477" s="22">
        <f t="shared" si="174"/>
        <v>1702720.55</v>
      </c>
      <c r="F477" s="22">
        <f t="shared" si="174"/>
        <v>11476741.02</v>
      </c>
      <c r="G477" s="22">
        <f t="shared" si="174"/>
        <v>875185.93</v>
      </c>
      <c r="H477" s="22">
        <f t="shared" si="174"/>
        <v>0</v>
      </c>
      <c r="I477" s="22">
        <f t="shared" si="174"/>
        <v>0</v>
      </c>
      <c r="J477" s="22">
        <f t="shared" si="174"/>
        <v>0</v>
      </c>
      <c r="K477" s="22">
        <f t="shared" si="174"/>
        <v>12351926.949999999</v>
      </c>
      <c r="L477" s="22">
        <f t="shared" si="174"/>
        <v>757735</v>
      </c>
      <c r="N477" s="24"/>
    </row>
    <row r="478" spans="1:14">
      <c r="A478" s="217"/>
      <c r="B478" s="178"/>
      <c r="C478" s="37" t="s">
        <v>17</v>
      </c>
      <c r="D478" s="22">
        <f t="shared" ref="D478:L478" si="175">D26+D104+D182+D258+D336+D411</f>
        <v>9450232.3299999982</v>
      </c>
      <c r="E478" s="22">
        <f t="shared" si="175"/>
        <v>1766285.89</v>
      </c>
      <c r="F478" s="22">
        <f t="shared" si="175"/>
        <v>11216518.219999999</v>
      </c>
      <c r="G478" s="22">
        <f t="shared" si="175"/>
        <v>1014765.72</v>
      </c>
      <c r="H478" s="22">
        <f t="shared" si="175"/>
        <v>0</v>
      </c>
      <c r="I478" s="22">
        <f t="shared" si="175"/>
        <v>0</v>
      </c>
      <c r="J478" s="22">
        <f t="shared" si="175"/>
        <v>0</v>
      </c>
      <c r="K478" s="22">
        <f t="shared" si="175"/>
        <v>12231283.939999999</v>
      </c>
      <c r="L478" s="22">
        <f t="shared" si="175"/>
        <v>718916</v>
      </c>
      <c r="N478" s="24"/>
    </row>
    <row r="479" spans="1:14">
      <c r="A479" s="217"/>
      <c r="B479" s="197"/>
      <c r="C479" s="25" t="s">
        <v>18</v>
      </c>
      <c r="D479" s="22">
        <f t="shared" ref="D479:L479" si="176">D27+D105+D183+D259+D337+D412</f>
        <v>9390294.8900000006</v>
      </c>
      <c r="E479" s="22">
        <f t="shared" si="176"/>
        <v>1663248.6300000001</v>
      </c>
      <c r="F479" s="22">
        <f t="shared" si="176"/>
        <v>11053543.520000001</v>
      </c>
      <c r="G479" s="22">
        <f t="shared" si="176"/>
        <v>1008366.26</v>
      </c>
      <c r="H479" s="22">
        <f t="shared" si="176"/>
        <v>0</v>
      </c>
      <c r="I479" s="22">
        <f t="shared" si="176"/>
        <v>0</v>
      </c>
      <c r="J479" s="22">
        <f t="shared" si="176"/>
        <v>0</v>
      </c>
      <c r="K479" s="22">
        <f t="shared" si="176"/>
        <v>12061909.779999999</v>
      </c>
      <c r="L479" s="22">
        <f t="shared" si="176"/>
        <v>718916</v>
      </c>
      <c r="N479" s="24"/>
    </row>
    <row r="480" spans="1:14">
      <c r="A480" s="217"/>
      <c r="B480" s="231" t="s">
        <v>31</v>
      </c>
      <c r="C480" s="20" t="s">
        <v>16</v>
      </c>
      <c r="D480" s="22">
        <f t="shared" ref="D480:L480" si="177">D28+D107+D184+D260+D338+D413</f>
        <v>28990337.330000002</v>
      </c>
      <c r="E480" s="22">
        <f t="shared" si="177"/>
        <v>4893563.68</v>
      </c>
      <c r="F480" s="22">
        <f t="shared" si="177"/>
        <v>33883901.009999998</v>
      </c>
      <c r="G480" s="22">
        <f t="shared" si="177"/>
        <v>3033871.2800000003</v>
      </c>
      <c r="H480" s="22">
        <f t="shared" si="177"/>
        <v>589750</v>
      </c>
      <c r="I480" s="22">
        <f t="shared" si="177"/>
        <v>0</v>
      </c>
      <c r="J480" s="22">
        <f t="shared" si="177"/>
        <v>0</v>
      </c>
      <c r="K480" s="22">
        <f t="shared" si="177"/>
        <v>37507522.290000007</v>
      </c>
      <c r="L480" s="22">
        <f t="shared" si="177"/>
        <v>2236685</v>
      </c>
      <c r="N480" s="24"/>
    </row>
    <row r="481" spans="1:14">
      <c r="A481" s="217"/>
      <c r="B481" s="232"/>
      <c r="C481" s="20" t="s">
        <v>17</v>
      </c>
      <c r="D481" s="22">
        <f t="shared" ref="D481:L481" si="178">D29+D108+D185+D261+D339+D414</f>
        <v>30353614.940000001</v>
      </c>
      <c r="E481" s="22">
        <f t="shared" si="178"/>
        <v>5205433.78</v>
      </c>
      <c r="F481" s="22">
        <f t="shared" si="178"/>
        <v>35559048.719999999</v>
      </c>
      <c r="G481" s="22">
        <f t="shared" si="178"/>
        <v>3047329.5</v>
      </c>
      <c r="H481" s="22">
        <f t="shared" si="178"/>
        <v>589750</v>
      </c>
      <c r="I481" s="22">
        <f t="shared" si="178"/>
        <v>0</v>
      </c>
      <c r="J481" s="22">
        <f t="shared" si="178"/>
        <v>0</v>
      </c>
      <c r="K481" s="22">
        <f t="shared" si="178"/>
        <v>39196128.219999999</v>
      </c>
      <c r="L481" s="22">
        <f t="shared" si="178"/>
        <v>2197866</v>
      </c>
      <c r="N481" s="24"/>
    </row>
    <row r="482" spans="1:14">
      <c r="A482" s="217"/>
      <c r="B482" s="233"/>
      <c r="C482" s="25" t="s">
        <v>18</v>
      </c>
      <c r="D482" s="22">
        <f t="shared" ref="D482:L482" si="179">D30+D109+D186+D262+D340+D415</f>
        <v>28603243.170000002</v>
      </c>
      <c r="E482" s="22">
        <f t="shared" si="179"/>
        <v>4853886.5</v>
      </c>
      <c r="F482" s="22">
        <f t="shared" si="179"/>
        <v>33457129.670000002</v>
      </c>
      <c r="G482" s="22">
        <f t="shared" si="179"/>
        <v>3013394.36</v>
      </c>
      <c r="H482" s="22">
        <f t="shared" si="179"/>
        <v>589750</v>
      </c>
      <c r="I482" s="22">
        <f t="shared" si="179"/>
        <v>0</v>
      </c>
      <c r="J482" s="22">
        <f t="shared" si="179"/>
        <v>0</v>
      </c>
      <c r="K482" s="22">
        <f t="shared" si="179"/>
        <v>37060274.030000001</v>
      </c>
      <c r="L482" s="22">
        <f t="shared" si="179"/>
        <v>2197866</v>
      </c>
      <c r="N482" s="24"/>
    </row>
    <row r="483" spans="1:14">
      <c r="A483" s="217"/>
      <c r="B483" s="180" t="s">
        <v>32</v>
      </c>
      <c r="C483" s="50" t="s">
        <v>16</v>
      </c>
      <c r="D483" s="51">
        <f t="shared" ref="D483:L483" si="180">D31+D111+D187+D263+D341+D416</f>
        <v>58179690.969999999</v>
      </c>
      <c r="E483" s="51">
        <f t="shared" si="180"/>
        <v>9533092.3499999996</v>
      </c>
      <c r="F483" s="51">
        <f t="shared" si="180"/>
        <v>67712783.320000008</v>
      </c>
      <c r="G483" s="51">
        <f t="shared" si="180"/>
        <v>6042205.8299999991</v>
      </c>
      <c r="H483" s="51">
        <f t="shared" si="180"/>
        <v>1004880</v>
      </c>
      <c r="I483" s="51">
        <f t="shared" si="180"/>
        <v>0</v>
      </c>
      <c r="J483" s="51">
        <f t="shared" si="180"/>
        <v>0</v>
      </c>
      <c r="K483" s="51">
        <f t="shared" si="180"/>
        <v>74759869.149999991</v>
      </c>
      <c r="L483" s="51">
        <f t="shared" si="180"/>
        <v>4559478</v>
      </c>
      <c r="M483" s="52"/>
      <c r="N483" s="53"/>
    </row>
    <row r="484" spans="1:14">
      <c r="A484" s="217"/>
      <c r="B484" s="181"/>
      <c r="C484" s="20" t="s">
        <v>17</v>
      </c>
      <c r="D484" s="22">
        <f>D468+D481</f>
        <v>61667204.329999998</v>
      </c>
      <c r="E484" s="22">
        <f>E468+E481</f>
        <v>10152344.120000001</v>
      </c>
      <c r="F484" s="22">
        <f>F468+F481</f>
        <v>71819548.449999988</v>
      </c>
      <c r="G484" s="22">
        <f>G468+G481</f>
        <v>6055664.0499999998</v>
      </c>
      <c r="H484" s="22">
        <f t="shared" ref="H484:L485" si="181">H32+H112+H188+H264+H342+H417</f>
        <v>1004880</v>
      </c>
      <c r="I484" s="22">
        <f t="shared" si="181"/>
        <v>0</v>
      </c>
      <c r="J484" s="22">
        <f t="shared" si="181"/>
        <v>0</v>
      </c>
      <c r="K484" s="22">
        <f t="shared" si="181"/>
        <v>78464962.499999985</v>
      </c>
      <c r="L484" s="22">
        <f t="shared" si="181"/>
        <v>4521517</v>
      </c>
      <c r="M484" s="18"/>
      <c r="N484" s="24"/>
    </row>
    <row r="485" spans="1:14">
      <c r="A485" s="217"/>
      <c r="B485" s="181"/>
      <c r="C485" s="25" t="s">
        <v>18</v>
      </c>
      <c r="D485" s="22">
        <f>D470+D482</f>
        <v>57791187.829999998</v>
      </c>
      <c r="E485" s="22">
        <f>E470+E482</f>
        <v>9493415.1699999999</v>
      </c>
      <c r="F485" s="22">
        <f>F470+F482</f>
        <v>67284603</v>
      </c>
      <c r="G485" s="22">
        <f>G470+G482</f>
        <v>6021728.9100000001</v>
      </c>
      <c r="H485" s="22">
        <f t="shared" si="181"/>
        <v>1004880</v>
      </c>
      <c r="I485" s="22">
        <f t="shared" si="181"/>
        <v>0</v>
      </c>
      <c r="J485" s="22">
        <f t="shared" si="181"/>
        <v>0</v>
      </c>
      <c r="K485" s="22">
        <f t="shared" si="181"/>
        <v>74119368.239999995</v>
      </c>
      <c r="L485" s="22">
        <f t="shared" si="181"/>
        <v>4521517</v>
      </c>
      <c r="N485" s="24"/>
    </row>
    <row r="486" spans="1:14">
      <c r="A486" s="217"/>
      <c r="B486" s="181"/>
      <c r="C486" s="75" t="s">
        <v>41</v>
      </c>
      <c r="D486" s="51">
        <f t="shared" ref="D486:G488" si="182">D34+D114+D190+D266+D344+D419</f>
        <v>61779318.75</v>
      </c>
      <c r="E486" s="51">
        <f t="shared" si="182"/>
        <v>10191728.050000001</v>
      </c>
      <c r="F486" s="51">
        <f t="shared" si="182"/>
        <v>71971046.799999982</v>
      </c>
      <c r="G486" s="51">
        <f t="shared" si="182"/>
        <v>6042205.8299999991</v>
      </c>
      <c r="H486" s="51">
        <v>1004880</v>
      </c>
      <c r="I486" s="51">
        <f t="shared" ref="I486:L488" si="183">I34+I114+I190+I266+I344+I419</f>
        <v>864025.12</v>
      </c>
      <c r="J486" s="51">
        <f t="shared" si="183"/>
        <v>864025.12</v>
      </c>
      <c r="K486" s="51">
        <f t="shared" si="183"/>
        <v>79018132.629999995</v>
      </c>
      <c r="L486" s="51">
        <f t="shared" si="183"/>
        <v>4559478</v>
      </c>
      <c r="M486" s="160"/>
      <c r="N486" s="53"/>
    </row>
    <row r="487" spans="1:14">
      <c r="A487" s="217"/>
      <c r="B487" s="181"/>
      <c r="C487" s="75" t="s">
        <v>48</v>
      </c>
      <c r="D487" s="51">
        <f t="shared" si="182"/>
        <v>388503.14</v>
      </c>
      <c r="E487" s="51">
        <f t="shared" si="182"/>
        <v>39677.18</v>
      </c>
      <c r="F487" s="51">
        <f t="shared" si="182"/>
        <v>428180.32</v>
      </c>
      <c r="G487" s="51">
        <f t="shared" si="182"/>
        <v>20476.920000000002</v>
      </c>
      <c r="H487" s="51">
        <f>H35+H115+H191+H267+H345+H420</f>
        <v>0</v>
      </c>
      <c r="I487" s="51">
        <f t="shared" si="183"/>
        <v>0</v>
      </c>
      <c r="J487" s="51">
        <f t="shared" si="183"/>
        <v>0</v>
      </c>
      <c r="K487" s="51">
        <f t="shared" si="183"/>
        <v>448657.23999999993</v>
      </c>
      <c r="L487" s="51">
        <f t="shared" si="183"/>
        <v>37961</v>
      </c>
      <c r="M487" s="161"/>
      <c r="N487" s="53"/>
    </row>
    <row r="488" spans="1:14">
      <c r="A488" s="217"/>
      <c r="B488" s="235"/>
      <c r="C488" s="75" t="s">
        <v>26</v>
      </c>
      <c r="D488" s="51">
        <f t="shared" si="182"/>
        <v>58179690.970000006</v>
      </c>
      <c r="E488" s="51">
        <f t="shared" si="182"/>
        <v>9533092.3499999996</v>
      </c>
      <c r="F488" s="51">
        <f t="shared" si="182"/>
        <v>67712783.320000008</v>
      </c>
      <c r="G488" s="51">
        <f t="shared" si="182"/>
        <v>6042205.8299999991</v>
      </c>
      <c r="H488" s="51">
        <f>H36+H116+H192+H268+H346+H421</f>
        <v>1004880</v>
      </c>
      <c r="I488" s="51">
        <f t="shared" si="183"/>
        <v>0</v>
      </c>
      <c r="J488" s="51">
        <f t="shared" si="183"/>
        <v>0</v>
      </c>
      <c r="K488" s="51">
        <f t="shared" si="183"/>
        <v>74759869.149999991</v>
      </c>
      <c r="L488" s="51">
        <f t="shared" si="183"/>
        <v>4559478</v>
      </c>
      <c r="M488" s="161"/>
      <c r="N488" s="53"/>
    </row>
    <row r="489" spans="1:14">
      <c r="A489" s="217"/>
      <c r="B489" s="171" t="s">
        <v>33</v>
      </c>
      <c r="C489" s="20" t="s">
        <v>16</v>
      </c>
      <c r="D489" s="22">
        <f t="shared" ref="D489:L489" si="184">D37+D117+D193+D270+D347+D422</f>
        <v>9846628.6099999994</v>
      </c>
      <c r="E489" s="22">
        <f t="shared" si="184"/>
        <v>1586932.6099999999</v>
      </c>
      <c r="F489" s="22">
        <f t="shared" si="184"/>
        <v>11433561.220000001</v>
      </c>
      <c r="G489" s="22">
        <f t="shared" si="184"/>
        <v>1032032</v>
      </c>
      <c r="H489" s="22">
        <f t="shared" si="184"/>
        <v>0</v>
      </c>
      <c r="I489" s="22">
        <f t="shared" si="184"/>
        <v>0</v>
      </c>
      <c r="J489" s="22">
        <f t="shared" si="184"/>
        <v>0</v>
      </c>
      <c r="K489" s="22">
        <f t="shared" si="184"/>
        <v>12465593.220000001</v>
      </c>
      <c r="L489" s="22">
        <f t="shared" si="184"/>
        <v>717332</v>
      </c>
      <c r="N489" s="24"/>
    </row>
    <row r="490" spans="1:14">
      <c r="A490" s="217"/>
      <c r="B490" s="172"/>
      <c r="C490" s="20" t="s">
        <v>17</v>
      </c>
      <c r="D490" s="22">
        <f t="shared" ref="D490:L490" si="185">D38+D118+D194+D271+D348+D423</f>
        <v>9825460.0699999984</v>
      </c>
      <c r="E490" s="22">
        <f t="shared" si="185"/>
        <v>1685548.08</v>
      </c>
      <c r="F490" s="22">
        <f t="shared" si="185"/>
        <v>11511008.15</v>
      </c>
      <c r="G490" s="22">
        <f t="shared" si="185"/>
        <v>1032012</v>
      </c>
      <c r="H490" s="22">
        <f t="shared" si="185"/>
        <v>0</v>
      </c>
      <c r="I490" s="22">
        <f t="shared" si="185"/>
        <v>0</v>
      </c>
      <c r="J490" s="22">
        <f t="shared" si="185"/>
        <v>0</v>
      </c>
      <c r="K490" s="22">
        <f t="shared" si="185"/>
        <v>12543020.15</v>
      </c>
      <c r="L490" s="22">
        <f t="shared" si="185"/>
        <v>717332</v>
      </c>
      <c r="N490" s="24"/>
    </row>
    <row r="491" spans="1:14">
      <c r="A491" s="217"/>
      <c r="B491" s="172"/>
      <c r="C491" s="20" t="s">
        <v>18</v>
      </c>
      <c r="D491" s="22">
        <f t="shared" ref="D491:L491" si="186">D39+D119+D195+D272+D349+D424</f>
        <v>9814884.2699999996</v>
      </c>
      <c r="E491" s="22">
        <f t="shared" si="186"/>
        <v>1586829.9700000002</v>
      </c>
      <c r="F491" s="22">
        <f t="shared" si="186"/>
        <v>11401714.24</v>
      </c>
      <c r="G491" s="22">
        <f t="shared" si="186"/>
        <v>1032012</v>
      </c>
      <c r="H491" s="22">
        <f t="shared" si="186"/>
        <v>0</v>
      </c>
      <c r="I491" s="22">
        <f t="shared" si="186"/>
        <v>0</v>
      </c>
      <c r="J491" s="22">
        <f t="shared" si="186"/>
        <v>0</v>
      </c>
      <c r="K491" s="22">
        <f t="shared" si="186"/>
        <v>12433726.24</v>
      </c>
      <c r="L491" s="22">
        <f t="shared" si="186"/>
        <v>717332</v>
      </c>
      <c r="N491" s="24"/>
    </row>
    <row r="492" spans="1:14">
      <c r="A492" s="217"/>
      <c r="B492" s="171" t="s">
        <v>34</v>
      </c>
      <c r="C492" s="20" t="s">
        <v>16</v>
      </c>
      <c r="D492" s="22">
        <f t="shared" ref="D492:L492" si="187">D40+D120+D196+D273+D350+D425</f>
        <v>10427049.170000002</v>
      </c>
      <c r="E492" s="22">
        <f t="shared" si="187"/>
        <v>1560534.48</v>
      </c>
      <c r="F492" s="22">
        <f t="shared" si="187"/>
        <v>11987583.65</v>
      </c>
      <c r="G492" s="22">
        <f t="shared" si="187"/>
        <v>1035389</v>
      </c>
      <c r="H492" s="22">
        <f t="shared" si="187"/>
        <v>0</v>
      </c>
      <c r="I492" s="22">
        <f t="shared" si="187"/>
        <v>0</v>
      </c>
      <c r="J492" s="22">
        <f t="shared" si="187"/>
        <v>0</v>
      </c>
      <c r="K492" s="22">
        <f t="shared" si="187"/>
        <v>13022972.65</v>
      </c>
      <c r="L492" s="22">
        <f t="shared" si="187"/>
        <v>749430</v>
      </c>
      <c r="N492" s="24"/>
    </row>
    <row r="493" spans="1:14">
      <c r="A493" s="217"/>
      <c r="B493" s="172"/>
      <c r="C493" s="20" t="s">
        <v>17</v>
      </c>
      <c r="D493" s="22">
        <f t="shared" ref="D493:L493" si="188">D41+D121+D197+D274+D351+D426</f>
        <v>10420080.33</v>
      </c>
      <c r="E493" s="22">
        <f t="shared" si="188"/>
        <v>1650236.44</v>
      </c>
      <c r="F493" s="22">
        <f t="shared" si="188"/>
        <v>12070316.77</v>
      </c>
      <c r="G493" s="22">
        <f t="shared" si="188"/>
        <v>1035389</v>
      </c>
      <c r="H493" s="22">
        <f t="shared" si="188"/>
        <v>0</v>
      </c>
      <c r="I493" s="22">
        <f t="shared" si="188"/>
        <v>0</v>
      </c>
      <c r="J493" s="22">
        <f t="shared" si="188"/>
        <v>0</v>
      </c>
      <c r="K493" s="22">
        <f t="shared" si="188"/>
        <v>13105705.77</v>
      </c>
      <c r="L493" s="22">
        <f t="shared" si="188"/>
        <v>749430</v>
      </c>
      <c r="N493" s="24"/>
    </row>
    <row r="494" spans="1:14">
      <c r="A494" s="217"/>
      <c r="B494" s="172"/>
      <c r="C494" s="20" t="s">
        <v>18</v>
      </c>
      <c r="D494" s="22">
        <f t="shared" ref="D494:L494" si="189">D42+D122+D198+D275+D352+D427</f>
        <v>10420080.33</v>
      </c>
      <c r="E494" s="22">
        <f t="shared" si="189"/>
        <v>1560431.8399999999</v>
      </c>
      <c r="F494" s="22">
        <f t="shared" si="189"/>
        <v>11980512.17</v>
      </c>
      <c r="G494" s="22">
        <f t="shared" si="189"/>
        <v>1035389</v>
      </c>
      <c r="H494" s="22">
        <f t="shared" si="189"/>
        <v>0</v>
      </c>
      <c r="I494" s="22">
        <f t="shared" si="189"/>
        <v>0</v>
      </c>
      <c r="J494" s="22">
        <f t="shared" si="189"/>
        <v>0</v>
      </c>
      <c r="K494" s="22">
        <f t="shared" si="189"/>
        <v>13015901.17</v>
      </c>
      <c r="L494" s="22">
        <f t="shared" si="189"/>
        <v>749430</v>
      </c>
      <c r="N494" s="24"/>
    </row>
    <row r="495" spans="1:14">
      <c r="A495" s="217"/>
      <c r="B495" s="171" t="s">
        <v>35</v>
      </c>
      <c r="C495" s="20" t="s">
        <v>16</v>
      </c>
      <c r="D495" s="22">
        <f t="shared" ref="D495:L495" si="190">D43+D123+D199+D276+D353+D428</f>
        <v>9912149.1599999983</v>
      </c>
      <c r="E495" s="22">
        <f t="shared" si="190"/>
        <v>1473598.88</v>
      </c>
      <c r="F495" s="22">
        <f t="shared" si="190"/>
        <v>11385748.039999999</v>
      </c>
      <c r="G495" s="22">
        <f t="shared" si="190"/>
        <v>1029523</v>
      </c>
      <c r="H495" s="22">
        <f t="shared" si="190"/>
        <v>0</v>
      </c>
      <c r="I495" s="22">
        <f t="shared" si="190"/>
        <v>0</v>
      </c>
      <c r="J495" s="22">
        <f t="shared" si="190"/>
        <v>0</v>
      </c>
      <c r="K495" s="22">
        <f t="shared" si="190"/>
        <v>12415271.040000001</v>
      </c>
      <c r="L495" s="22">
        <f t="shared" si="190"/>
        <v>715671</v>
      </c>
      <c r="N495" s="24"/>
    </row>
    <row r="496" spans="1:14">
      <c r="A496" s="217"/>
      <c r="B496" s="172"/>
      <c r="C496" s="20" t="s">
        <v>17</v>
      </c>
      <c r="D496" s="22">
        <f t="shared" ref="D496:L496" si="191">D44+D124+D200+D277+D354+D429</f>
        <v>9847224.7699999996</v>
      </c>
      <c r="E496" s="22">
        <f t="shared" si="191"/>
        <v>1537078.6300000001</v>
      </c>
      <c r="F496" s="22">
        <f t="shared" si="191"/>
        <v>11384303.4</v>
      </c>
      <c r="G496" s="22">
        <f t="shared" si="191"/>
        <v>1022704</v>
      </c>
      <c r="H496" s="22">
        <f t="shared" si="191"/>
        <v>0</v>
      </c>
      <c r="I496" s="22">
        <f t="shared" si="191"/>
        <v>0</v>
      </c>
      <c r="J496" s="22">
        <f t="shared" si="191"/>
        <v>0</v>
      </c>
      <c r="K496" s="22">
        <f t="shared" si="191"/>
        <v>12407007.4</v>
      </c>
      <c r="L496" s="22">
        <f t="shared" si="191"/>
        <v>706519</v>
      </c>
      <c r="N496" s="24"/>
    </row>
    <row r="497" spans="1:19">
      <c r="A497" s="217"/>
      <c r="B497" s="172"/>
      <c r="C497" s="20" t="s">
        <v>18</v>
      </c>
      <c r="D497" s="22">
        <f t="shared" ref="D497:L497" si="192">D45+D125+D201+D278+D355+D430</f>
        <v>9847224.7699999996</v>
      </c>
      <c r="E497" s="22">
        <f t="shared" si="192"/>
        <v>1465310.8200000003</v>
      </c>
      <c r="F497" s="22">
        <f t="shared" si="192"/>
        <v>11312535.590000002</v>
      </c>
      <c r="G497" s="22">
        <f t="shared" si="192"/>
        <v>1022704</v>
      </c>
      <c r="H497" s="22">
        <f t="shared" si="192"/>
        <v>0</v>
      </c>
      <c r="I497" s="22">
        <f t="shared" si="192"/>
        <v>0</v>
      </c>
      <c r="J497" s="22">
        <f t="shared" si="192"/>
        <v>0</v>
      </c>
      <c r="K497" s="22">
        <f t="shared" si="192"/>
        <v>12335239.590000002</v>
      </c>
      <c r="L497" s="22">
        <f t="shared" si="192"/>
        <v>706519</v>
      </c>
      <c r="N497" s="24"/>
    </row>
    <row r="498" spans="1:19">
      <c r="A498" s="217"/>
      <c r="B498" s="171" t="s">
        <v>36</v>
      </c>
      <c r="C498" s="20" t="s">
        <v>16</v>
      </c>
      <c r="D498" s="22">
        <f t="shared" ref="D498:L498" si="193">D46+D126+D202+D279+D356+D431</f>
        <v>30185826.940000001</v>
      </c>
      <c r="E498" s="22">
        <f t="shared" si="193"/>
        <v>4621065.97</v>
      </c>
      <c r="F498" s="22">
        <f t="shared" si="193"/>
        <v>34806892.910000004</v>
      </c>
      <c r="G498" s="22">
        <f t="shared" si="193"/>
        <v>3096944</v>
      </c>
      <c r="H498" s="22">
        <f t="shared" si="193"/>
        <v>0</v>
      </c>
      <c r="I498" s="22">
        <f t="shared" si="193"/>
        <v>0</v>
      </c>
      <c r="J498" s="22">
        <f t="shared" si="193"/>
        <v>0</v>
      </c>
      <c r="K498" s="22">
        <f t="shared" si="193"/>
        <v>37903836.910000004</v>
      </c>
      <c r="L498" s="22">
        <f t="shared" si="193"/>
        <v>2182433</v>
      </c>
      <c r="N498" s="24"/>
    </row>
    <row r="499" spans="1:19">
      <c r="A499" s="217"/>
      <c r="B499" s="172"/>
      <c r="C499" s="20" t="s">
        <v>17</v>
      </c>
      <c r="D499" s="22">
        <f t="shared" ref="D499:L499" si="194">D47+D127+D203+D280+D357+D432</f>
        <v>30092765.169999998</v>
      </c>
      <c r="E499" s="22">
        <f t="shared" si="194"/>
        <v>4872863.1499999994</v>
      </c>
      <c r="F499" s="22">
        <f t="shared" si="194"/>
        <v>34965628.32</v>
      </c>
      <c r="G499" s="22">
        <f t="shared" si="194"/>
        <v>3090105</v>
      </c>
      <c r="H499" s="22">
        <f t="shared" si="194"/>
        <v>0</v>
      </c>
      <c r="I499" s="22">
        <f t="shared" si="194"/>
        <v>0</v>
      </c>
      <c r="J499" s="22">
        <f t="shared" si="194"/>
        <v>0</v>
      </c>
      <c r="K499" s="22">
        <f t="shared" si="194"/>
        <v>38055733.32</v>
      </c>
      <c r="L499" s="22">
        <f t="shared" si="194"/>
        <v>2173281</v>
      </c>
      <c r="N499" s="24"/>
    </row>
    <row r="500" spans="1:19">
      <c r="A500" s="217"/>
      <c r="B500" s="172"/>
      <c r="C500" s="20" t="s">
        <v>18</v>
      </c>
      <c r="D500" s="22">
        <f t="shared" ref="D500:J500" si="195">D48+D128+D204+D281+D358+D433</f>
        <v>30082189.370000001</v>
      </c>
      <c r="E500" s="22">
        <f t="shared" si="195"/>
        <v>4612572.63</v>
      </c>
      <c r="F500" s="22">
        <f t="shared" si="195"/>
        <v>34694762</v>
      </c>
      <c r="G500" s="22">
        <f t="shared" si="195"/>
        <v>3090105</v>
      </c>
      <c r="H500" s="22">
        <f t="shared" si="195"/>
        <v>0</v>
      </c>
      <c r="I500" s="22">
        <f t="shared" si="195"/>
        <v>0</v>
      </c>
      <c r="J500" s="22">
        <f t="shared" si="195"/>
        <v>0</v>
      </c>
      <c r="K500" s="22">
        <f>K52+K132+K208+K346+K421+K285</f>
        <v>38758122.609999999</v>
      </c>
      <c r="L500" s="22">
        <f>L48+L128+L204+L281+L358+L433</f>
        <v>2173281</v>
      </c>
      <c r="N500" s="24"/>
    </row>
    <row r="501" spans="1:19">
      <c r="A501" s="217"/>
      <c r="B501" s="234"/>
      <c r="C501" s="20" t="s">
        <v>19</v>
      </c>
      <c r="D501" s="22">
        <f>D498-D500</f>
        <v>103637.5700000003</v>
      </c>
      <c r="E501" s="22">
        <f t="shared" ref="E501:L501" si="196">E498-E500</f>
        <v>8493.339999999851</v>
      </c>
      <c r="F501" s="22">
        <f t="shared" si="196"/>
        <v>112130.91000000387</v>
      </c>
      <c r="G501" s="22">
        <f t="shared" si="196"/>
        <v>6839</v>
      </c>
      <c r="H501" s="22">
        <f t="shared" si="196"/>
        <v>0</v>
      </c>
      <c r="I501" s="22">
        <f t="shared" si="196"/>
        <v>0</v>
      </c>
      <c r="J501" s="22">
        <f t="shared" si="196"/>
        <v>0</v>
      </c>
      <c r="K501" s="22">
        <f t="shared" si="196"/>
        <v>-854285.69999999553</v>
      </c>
      <c r="L501" s="22">
        <f t="shared" si="196"/>
        <v>9152</v>
      </c>
      <c r="N501" s="24"/>
    </row>
    <row r="502" spans="1:19">
      <c r="A502" s="217"/>
      <c r="B502" s="171" t="s">
        <v>38</v>
      </c>
      <c r="C502" s="20" t="s">
        <v>16</v>
      </c>
      <c r="D502" s="22">
        <f t="shared" ref="D502:L502" si="197">D53+D133+D209+D286+D362+D435</f>
        <v>10619924.49</v>
      </c>
      <c r="E502" s="22">
        <f t="shared" si="197"/>
        <v>1602004.81</v>
      </c>
      <c r="F502" s="22">
        <f t="shared" si="197"/>
        <v>12221929.300000001</v>
      </c>
      <c r="G502" s="22">
        <f t="shared" si="197"/>
        <v>1045452</v>
      </c>
      <c r="H502" s="22">
        <f t="shared" si="197"/>
        <v>0</v>
      </c>
      <c r="I502" s="22">
        <f t="shared" si="197"/>
        <v>0</v>
      </c>
      <c r="J502" s="22">
        <f t="shared" si="197"/>
        <v>0</v>
      </c>
      <c r="K502" s="22">
        <f t="shared" si="197"/>
        <v>13267381.299999999</v>
      </c>
      <c r="L502" s="22">
        <f t="shared" si="197"/>
        <v>781143</v>
      </c>
      <c r="N502" s="24"/>
    </row>
    <row r="503" spans="1:19">
      <c r="A503" s="217"/>
      <c r="B503" s="172"/>
      <c r="C503" s="20" t="s">
        <v>17</v>
      </c>
      <c r="D503" s="22">
        <f t="shared" ref="D503:L503" si="198">D54+D134+D210+D287+D363+D436</f>
        <v>10621558.130000001</v>
      </c>
      <c r="E503" s="22">
        <f t="shared" si="198"/>
        <v>1670051.2599999998</v>
      </c>
      <c r="F503" s="22">
        <f t="shared" si="198"/>
        <v>12291609.390000001</v>
      </c>
      <c r="G503" s="22">
        <f t="shared" si="198"/>
        <v>1045452</v>
      </c>
      <c r="H503" s="22">
        <f t="shared" si="198"/>
        <v>0</v>
      </c>
      <c r="I503" s="22">
        <f t="shared" si="198"/>
        <v>0</v>
      </c>
      <c r="J503" s="22">
        <f t="shared" si="198"/>
        <v>0</v>
      </c>
      <c r="K503" s="22">
        <f t="shared" si="198"/>
        <v>13337061.389999999</v>
      </c>
      <c r="L503" s="22">
        <f t="shared" si="198"/>
        <v>781143</v>
      </c>
      <c r="N503" s="24"/>
    </row>
    <row r="504" spans="1:19">
      <c r="A504" s="217"/>
      <c r="B504" s="172"/>
      <c r="C504" s="20" t="s">
        <v>18</v>
      </c>
      <c r="D504" s="22">
        <f t="shared" ref="D504:L504" si="199">D55+D135+D211+D288+D364+D437</f>
        <v>10619073.300000001</v>
      </c>
      <c r="E504" s="22">
        <f t="shared" si="199"/>
        <v>1601902.17</v>
      </c>
      <c r="F504" s="22">
        <f t="shared" si="199"/>
        <v>12220975.470000001</v>
      </c>
      <c r="G504" s="22">
        <f t="shared" si="199"/>
        <v>1045452</v>
      </c>
      <c r="H504" s="22">
        <f t="shared" si="199"/>
        <v>0</v>
      </c>
      <c r="I504" s="22">
        <f t="shared" si="199"/>
        <v>0</v>
      </c>
      <c r="J504" s="22">
        <f t="shared" si="199"/>
        <v>0</v>
      </c>
      <c r="K504" s="22">
        <f t="shared" si="199"/>
        <v>13266427.469999999</v>
      </c>
      <c r="L504" s="22">
        <f t="shared" si="199"/>
        <v>781143</v>
      </c>
      <c r="N504" s="24"/>
    </row>
    <row r="505" spans="1:19">
      <c r="A505" s="217"/>
      <c r="B505" s="171" t="s">
        <v>39</v>
      </c>
      <c r="C505" s="20" t="s">
        <v>16</v>
      </c>
      <c r="D505" s="22">
        <f t="shared" ref="D505:L505" si="200">D56+D136+D212+D289+D365+D438</f>
        <v>10740048.26</v>
      </c>
      <c r="E505" s="22">
        <f t="shared" si="200"/>
        <v>1813982.33</v>
      </c>
      <c r="F505" s="22">
        <f t="shared" si="200"/>
        <v>12554030.590000002</v>
      </c>
      <c r="G505" s="22">
        <f t="shared" si="200"/>
        <v>1040614</v>
      </c>
      <c r="H505" s="22">
        <f t="shared" si="200"/>
        <v>0</v>
      </c>
      <c r="I505" s="22">
        <f t="shared" si="200"/>
        <v>0</v>
      </c>
      <c r="J505" s="22">
        <f t="shared" si="200"/>
        <v>0</v>
      </c>
      <c r="K505" s="22">
        <f t="shared" si="200"/>
        <v>13594644.590000002</v>
      </c>
      <c r="L505" s="22">
        <f t="shared" si="200"/>
        <v>796488</v>
      </c>
      <c r="N505" s="24"/>
    </row>
    <row r="506" spans="1:19">
      <c r="A506" s="217"/>
      <c r="B506" s="172"/>
      <c r="C506" s="20" t="s">
        <v>17</v>
      </c>
      <c r="D506" s="22">
        <f t="shared" ref="D506:L506" si="201">D57+D137+D213+D290+D366+D439</f>
        <v>10823632.790000001</v>
      </c>
      <c r="E506" s="22">
        <f t="shared" si="201"/>
        <v>1691783.03</v>
      </c>
      <c r="F506" s="22">
        <f t="shared" si="201"/>
        <v>12515415.819999998</v>
      </c>
      <c r="G506" s="22">
        <f t="shared" si="201"/>
        <v>1037688</v>
      </c>
      <c r="H506" s="22">
        <f t="shared" si="201"/>
        <v>0</v>
      </c>
      <c r="I506" s="22">
        <f t="shared" si="201"/>
        <v>0</v>
      </c>
      <c r="J506" s="22">
        <f t="shared" si="201"/>
        <v>0</v>
      </c>
      <c r="K506" s="22">
        <f t="shared" si="201"/>
        <v>13553103.819999998</v>
      </c>
      <c r="L506" s="22">
        <f t="shared" si="201"/>
        <v>795608</v>
      </c>
      <c r="N506" s="24"/>
    </row>
    <row r="507" spans="1:19">
      <c r="A507" s="217"/>
      <c r="B507" s="172"/>
      <c r="C507" s="20" t="s">
        <v>18</v>
      </c>
      <c r="D507" s="22">
        <f t="shared" ref="D507:L507" si="202">D58+D138+D214+D291+D367+D440</f>
        <v>10799432.810000001</v>
      </c>
      <c r="E507" s="22">
        <f t="shared" si="202"/>
        <v>1660921.9100000001</v>
      </c>
      <c r="F507" s="22">
        <f t="shared" si="202"/>
        <v>12460354.720000001</v>
      </c>
      <c r="G507" s="22">
        <f t="shared" si="202"/>
        <v>1037688</v>
      </c>
      <c r="H507" s="22">
        <f t="shared" si="202"/>
        <v>0</v>
      </c>
      <c r="I507" s="22">
        <f t="shared" si="202"/>
        <v>0</v>
      </c>
      <c r="J507" s="22">
        <f t="shared" si="202"/>
        <v>0</v>
      </c>
      <c r="K507" s="22">
        <f t="shared" si="202"/>
        <v>13498042.720000001</v>
      </c>
      <c r="L507" s="22">
        <f t="shared" si="202"/>
        <v>795608</v>
      </c>
      <c r="N507" s="24"/>
    </row>
    <row r="508" spans="1:19">
      <c r="A508" s="217"/>
      <c r="B508" s="171" t="s">
        <v>43</v>
      </c>
      <c r="C508" s="20" t="s">
        <v>16</v>
      </c>
      <c r="D508" s="22">
        <f t="shared" ref="D508:L508" si="203">D64+D144+D220+D297+D373+D441</f>
        <v>9889310.1300000008</v>
      </c>
      <c r="E508" s="22">
        <f t="shared" si="203"/>
        <v>1436108.0100000002</v>
      </c>
      <c r="F508" s="22">
        <f t="shared" si="203"/>
        <v>11325418.139999999</v>
      </c>
      <c r="G508" s="22">
        <f t="shared" si="203"/>
        <v>823106</v>
      </c>
      <c r="H508" s="22">
        <f t="shared" si="203"/>
        <v>0</v>
      </c>
      <c r="I508" s="22">
        <f t="shared" si="203"/>
        <v>0</v>
      </c>
      <c r="J508" s="22">
        <f t="shared" si="203"/>
        <v>0</v>
      </c>
      <c r="K508" s="22">
        <f t="shared" si="203"/>
        <v>12148524.139999999</v>
      </c>
      <c r="L508" s="22">
        <f t="shared" si="203"/>
        <v>3421</v>
      </c>
      <c r="N508" s="24"/>
      <c r="Q508" s="18"/>
    </row>
    <row r="509" spans="1:19">
      <c r="A509" s="217"/>
      <c r="B509" s="172"/>
      <c r="C509" s="20" t="s">
        <v>17</v>
      </c>
      <c r="D509" s="22">
        <f t="shared" ref="D509:L509" si="204">D65+D145+D221+D298+D374+D442</f>
        <v>9743640.9299999997</v>
      </c>
      <c r="E509" s="22">
        <f t="shared" si="204"/>
        <v>1614348.75</v>
      </c>
      <c r="F509" s="22">
        <f t="shared" si="204"/>
        <v>11357989.680000002</v>
      </c>
      <c r="G509" s="22">
        <f t="shared" si="204"/>
        <v>823348</v>
      </c>
      <c r="H509" s="22">
        <f t="shared" si="204"/>
        <v>0</v>
      </c>
      <c r="I509" s="22">
        <f t="shared" si="204"/>
        <v>0</v>
      </c>
      <c r="J509" s="22">
        <f t="shared" si="204"/>
        <v>0</v>
      </c>
      <c r="K509" s="22">
        <f t="shared" si="204"/>
        <v>12181337.680000002</v>
      </c>
      <c r="L509" s="22">
        <f t="shared" si="204"/>
        <v>707311</v>
      </c>
      <c r="N509" s="24"/>
      <c r="Q509" s="18"/>
    </row>
    <row r="510" spans="1:19">
      <c r="A510" s="217"/>
      <c r="B510" s="172"/>
      <c r="C510" s="20" t="s">
        <v>18</v>
      </c>
      <c r="D510" s="22">
        <f t="shared" ref="D510:L510" si="205">D66+D146+D222+D299+D375+D443</f>
        <v>9718115.3499999996</v>
      </c>
      <c r="E510" s="22">
        <f t="shared" si="205"/>
        <v>1569639.3200000003</v>
      </c>
      <c r="F510" s="22">
        <f t="shared" si="205"/>
        <v>11287754.670000002</v>
      </c>
      <c r="G510" s="22">
        <f t="shared" si="205"/>
        <v>823348</v>
      </c>
      <c r="H510" s="22">
        <f t="shared" si="205"/>
        <v>0</v>
      </c>
      <c r="I510" s="22">
        <f t="shared" si="205"/>
        <v>0</v>
      </c>
      <c r="J510" s="22">
        <f t="shared" si="205"/>
        <v>0</v>
      </c>
      <c r="K510" s="22">
        <f t="shared" si="205"/>
        <v>12111102.670000002</v>
      </c>
      <c r="L510" s="22">
        <f t="shared" si="205"/>
        <v>3432</v>
      </c>
      <c r="N510" s="24"/>
      <c r="Q510" s="18"/>
    </row>
    <row r="511" spans="1:19">
      <c r="A511" s="217"/>
      <c r="B511" s="187" t="s">
        <v>44</v>
      </c>
      <c r="C511" s="20" t="s">
        <v>16</v>
      </c>
      <c r="D511" s="22">
        <f t="shared" ref="D511:L511" si="206">D67+D147+D223+D300+D376+D444</f>
        <v>31249282.879999999</v>
      </c>
      <c r="E511" s="22">
        <f t="shared" si="206"/>
        <v>4852095.1500000004</v>
      </c>
      <c r="F511" s="22">
        <f t="shared" si="206"/>
        <v>36101378.030000001</v>
      </c>
      <c r="G511" s="22">
        <f t="shared" si="206"/>
        <v>2909172</v>
      </c>
      <c r="H511" s="22">
        <f t="shared" si="206"/>
        <v>0</v>
      </c>
      <c r="I511" s="22">
        <f t="shared" si="206"/>
        <v>0</v>
      </c>
      <c r="J511" s="22">
        <f t="shared" si="206"/>
        <v>0</v>
      </c>
      <c r="K511" s="22">
        <f t="shared" si="206"/>
        <v>39010550.030000001</v>
      </c>
      <c r="L511" s="22">
        <f t="shared" si="206"/>
        <v>1581052</v>
      </c>
      <c r="N511" s="24"/>
      <c r="Q511" s="18"/>
      <c r="S511" s="132"/>
    </row>
    <row r="512" spans="1:19">
      <c r="A512" s="217"/>
      <c r="B512" s="188"/>
      <c r="C512" s="20" t="s">
        <v>17</v>
      </c>
      <c r="D512" s="22">
        <f t="shared" ref="D512:L512" si="207">D68+D148+D224+D301+D377+D445</f>
        <v>31188831.850000001</v>
      </c>
      <c r="E512" s="22">
        <f t="shared" si="207"/>
        <v>4976183.04</v>
      </c>
      <c r="F512" s="22">
        <f t="shared" si="207"/>
        <v>36165014.889999993</v>
      </c>
      <c r="G512" s="22">
        <f t="shared" si="207"/>
        <v>3183457</v>
      </c>
      <c r="H512" s="22">
        <f t="shared" si="207"/>
        <v>0</v>
      </c>
      <c r="I512" s="22">
        <f t="shared" si="207"/>
        <v>0</v>
      </c>
      <c r="J512" s="22">
        <f t="shared" si="207"/>
        <v>0</v>
      </c>
      <c r="K512" s="22">
        <f t="shared" si="207"/>
        <v>39071502.889999993</v>
      </c>
      <c r="L512" s="22">
        <f t="shared" si="207"/>
        <v>2284062</v>
      </c>
      <c r="N512" s="24"/>
    </row>
    <row r="513" spans="1:17">
      <c r="A513" s="217"/>
      <c r="B513" s="188"/>
      <c r="C513" s="20" t="s">
        <v>18</v>
      </c>
      <c r="D513" s="22">
        <f t="shared" ref="D513:L513" si="208">D69+D149+D225+D302+D378+D446</f>
        <v>31136621.460000001</v>
      </c>
      <c r="E513" s="22">
        <f t="shared" si="208"/>
        <v>4832463.4000000004</v>
      </c>
      <c r="F513" s="22">
        <f t="shared" si="208"/>
        <v>35969084.859999999</v>
      </c>
      <c r="G513" s="22">
        <f t="shared" si="208"/>
        <v>3183457</v>
      </c>
      <c r="H513" s="22">
        <f t="shared" si="208"/>
        <v>0</v>
      </c>
      <c r="I513" s="22">
        <f t="shared" si="208"/>
        <v>0</v>
      </c>
      <c r="J513" s="22">
        <f t="shared" si="208"/>
        <v>0</v>
      </c>
      <c r="K513" s="22">
        <f t="shared" si="208"/>
        <v>40175642.549999997</v>
      </c>
      <c r="L513" s="22">
        <f t="shared" si="208"/>
        <v>1580183</v>
      </c>
      <c r="N513" s="24"/>
    </row>
    <row r="514" spans="1:17">
      <c r="A514" s="217"/>
      <c r="B514" s="225" t="s">
        <v>45</v>
      </c>
      <c r="C514" s="111" t="s">
        <v>16</v>
      </c>
      <c r="D514" s="112">
        <f t="shared" ref="D514:L514" si="209">D70+D150+D226+D303+D379+D447</f>
        <v>61435109.819999993</v>
      </c>
      <c r="E514" s="112">
        <f t="shared" si="209"/>
        <v>9473161.120000001</v>
      </c>
      <c r="F514" s="112">
        <f t="shared" si="209"/>
        <v>70908270.939999998</v>
      </c>
      <c r="G514" s="112">
        <f t="shared" si="209"/>
        <v>6006116</v>
      </c>
      <c r="H514" s="112">
        <f t="shared" si="209"/>
        <v>0</v>
      </c>
      <c r="I514" s="112">
        <f t="shared" si="209"/>
        <v>0</v>
      </c>
      <c r="J514" s="112">
        <f t="shared" si="209"/>
        <v>0</v>
      </c>
      <c r="K514" s="112">
        <f t="shared" si="209"/>
        <v>76914386.940000013</v>
      </c>
      <c r="L514" s="112">
        <f t="shared" si="209"/>
        <v>3763485</v>
      </c>
      <c r="M514" s="113">
        <f>M70+M150+M226+M303+M379+M447</f>
        <v>0</v>
      </c>
      <c r="N514" s="133">
        <f>N70+N150+N226+N303+N379+N447</f>
        <v>11091.59</v>
      </c>
      <c r="Q514" s="132"/>
    </row>
    <row r="515" spans="1:17">
      <c r="A515" s="217"/>
      <c r="B515" s="226"/>
      <c r="C515" s="111" t="s">
        <v>17</v>
      </c>
      <c r="D515" s="112">
        <f>D73+D153+D229+D306+D382+D450</f>
        <v>61484730.840000004</v>
      </c>
      <c r="E515" s="112">
        <f>E73+E153+E229+E306+E382+E450</f>
        <v>9814556.2300000004</v>
      </c>
      <c r="F515" s="112">
        <f>D515+E515</f>
        <v>71299287.070000008</v>
      </c>
      <c r="G515" s="112">
        <f>G73+G153+G229+G306+G382+G450</f>
        <v>6006116</v>
      </c>
      <c r="H515" s="112">
        <f>H73+H153+H229+H306+H382+H450</f>
        <v>0</v>
      </c>
      <c r="I515" s="112">
        <f>I73+I153+I229+I306+I382+I450</f>
        <v>0</v>
      </c>
      <c r="J515" s="112">
        <f>J73+J153+J229+J306+J382+J450</f>
        <v>0</v>
      </c>
      <c r="K515" s="112">
        <f>F515+G515</f>
        <v>77305403.070000008</v>
      </c>
      <c r="L515" s="112">
        <f>L73+L153+L229+L306+L382+L450</f>
        <v>4487813</v>
      </c>
      <c r="M515" s="112">
        <f>M73+M153+M229+M306+M382+M450</f>
        <v>0</v>
      </c>
      <c r="N515" s="112">
        <v>11091.59</v>
      </c>
    </row>
    <row r="516" spans="1:17">
      <c r="A516" s="217"/>
      <c r="B516" s="227"/>
      <c r="C516" s="111" t="s">
        <v>18</v>
      </c>
      <c r="D516" s="112">
        <f t="shared" ref="D516:N516" si="210">D75+D155+D231+D308+D384+D451</f>
        <v>61435109.820000008</v>
      </c>
      <c r="E516" s="112">
        <f t="shared" si="210"/>
        <v>9473161.120000001</v>
      </c>
      <c r="F516" s="112">
        <f t="shared" si="210"/>
        <v>70908270.940000013</v>
      </c>
      <c r="G516" s="112">
        <f t="shared" si="210"/>
        <v>6006116</v>
      </c>
      <c r="H516" s="112">
        <f t="shared" si="210"/>
        <v>0</v>
      </c>
      <c r="I516" s="112">
        <f t="shared" si="210"/>
        <v>0</v>
      </c>
      <c r="J516" s="112">
        <f t="shared" si="210"/>
        <v>0</v>
      </c>
      <c r="K516" s="112">
        <f t="shared" si="210"/>
        <v>76914386.940000013</v>
      </c>
      <c r="L516" s="112">
        <f t="shared" si="210"/>
        <v>3763485</v>
      </c>
      <c r="M516" s="112">
        <f t="shared" si="210"/>
        <v>0</v>
      </c>
      <c r="N516" s="112">
        <f t="shared" si="210"/>
        <v>11091.59</v>
      </c>
    </row>
    <row r="517" spans="1:17">
      <c r="A517" s="217"/>
      <c r="B517" s="228" t="s">
        <v>46</v>
      </c>
      <c r="C517" s="162" t="s">
        <v>16</v>
      </c>
      <c r="D517" s="163">
        <f t="shared" ref="D517:J517" si="211">D76+D156+D232+D309+D385+D452</f>
        <v>119614800.79000001</v>
      </c>
      <c r="E517" s="163">
        <f t="shared" si="211"/>
        <v>19006253.469999999</v>
      </c>
      <c r="F517" s="163">
        <f t="shared" si="211"/>
        <v>138621054.25999999</v>
      </c>
      <c r="G517" s="163">
        <f t="shared" si="211"/>
        <v>12048321.83</v>
      </c>
      <c r="H517" s="163">
        <f t="shared" si="211"/>
        <v>1004880</v>
      </c>
      <c r="I517" s="163">
        <f t="shared" si="211"/>
        <v>0</v>
      </c>
      <c r="J517" s="163">
        <f t="shared" si="211"/>
        <v>0</v>
      </c>
      <c r="K517" s="163">
        <f>F517+G517+H517</f>
        <v>151674256.09</v>
      </c>
      <c r="L517" s="163">
        <f>L76+L156+L232+L309+L385+L452</f>
        <v>8322963</v>
      </c>
      <c r="M517" s="164">
        <f>M76+M156+M232+M309+M385+M452</f>
        <v>18821</v>
      </c>
      <c r="N517" s="165">
        <f>N76+N156+N232+N309+N385+N452</f>
        <v>28283.729999999996</v>
      </c>
    </row>
    <row r="518" spans="1:17">
      <c r="A518" s="217"/>
      <c r="B518" s="229"/>
      <c r="C518" s="162" t="s">
        <v>61</v>
      </c>
      <c r="D518" s="163">
        <f>D78+D158+D234+D311+D387+D454</f>
        <v>123264049.59</v>
      </c>
      <c r="E518" s="163">
        <f>E78+E158+E234+E311+E387+E454</f>
        <v>20006284.279999997</v>
      </c>
      <c r="F518" s="163">
        <f>D518+E518</f>
        <v>143270333.87</v>
      </c>
      <c r="G518" s="163">
        <f>G78+G158+G234+G387+G454+G311</f>
        <v>12048321.83</v>
      </c>
      <c r="H518" s="163">
        <f>H78+H158+H234+H387+H454+H311</f>
        <v>1004880</v>
      </c>
      <c r="I518" s="163">
        <f>I78+I158+I234+I387+I454+I311</f>
        <v>864025.12</v>
      </c>
      <c r="J518" s="163">
        <f>J78+J158+J234+J387+J454+J311</f>
        <v>864025.12</v>
      </c>
      <c r="K518" s="163">
        <f>F518+G518+H518</f>
        <v>156323535.70000002</v>
      </c>
      <c r="L518" s="163">
        <f>L515+L486</f>
        <v>9047291</v>
      </c>
      <c r="M518" s="166">
        <f>K518-H518</f>
        <v>155318655.70000002</v>
      </c>
      <c r="N518" s="165">
        <f>N77+N157+N233+N310+N386+N453</f>
        <v>28283.729999999996</v>
      </c>
      <c r="O518" s="18"/>
    </row>
    <row r="519" spans="1:17">
      <c r="A519" s="224"/>
      <c r="B519" s="230"/>
      <c r="C519" s="167" t="s">
        <v>18</v>
      </c>
      <c r="D519" s="163">
        <f>D79+D159+D235+D312+D388+D455</f>
        <v>119614800.79000001</v>
      </c>
      <c r="E519" s="163">
        <f>E79+E159+E235+E312+E388+E455</f>
        <v>19006253.469999999</v>
      </c>
      <c r="F519" s="163">
        <f>D519+E519</f>
        <v>138621054.25999999</v>
      </c>
      <c r="G519" s="163">
        <f>G79+G159+G235+G312+G388+G455</f>
        <v>12048321.83</v>
      </c>
      <c r="H519" s="163">
        <f>H79+H159+H235+H312+H388+H455</f>
        <v>1004880</v>
      </c>
      <c r="I519" s="163" t="e">
        <f>I79+I159+I235+I312+I388+I455</f>
        <v>#REF!</v>
      </c>
      <c r="J519" s="163" t="e">
        <f>J79+J159+J235+J312+J388+J455</f>
        <v>#REF!</v>
      </c>
      <c r="K519" s="163">
        <f>F519+G519+H519</f>
        <v>151674256.09</v>
      </c>
      <c r="L519" s="163">
        <f>L516+L488</f>
        <v>8322963</v>
      </c>
      <c r="M519" s="168"/>
      <c r="N519" s="165">
        <f>N517</f>
        <v>28283.729999999996</v>
      </c>
    </row>
    <row r="520" spans="1:17">
      <c r="D520" s="18"/>
      <c r="H520" s="135" t="s">
        <v>62</v>
      </c>
      <c r="I520" s="135"/>
      <c r="J520" s="135"/>
      <c r="K520" s="136">
        <v>153708870</v>
      </c>
      <c r="L520" s="137"/>
    </row>
    <row r="521" spans="1:17">
      <c r="D521" s="138"/>
      <c r="E521" s="138"/>
      <c r="F521" s="138"/>
      <c r="G521" s="138"/>
      <c r="H521" s="138" t="s">
        <v>63</v>
      </c>
      <c r="I521" s="138"/>
      <c r="J521" s="138"/>
      <c r="K521" s="169">
        <f>K519/K520</f>
        <v>0.98676319779073263</v>
      </c>
      <c r="L521" s="137"/>
      <c r="M521" s="139"/>
      <c r="N521" s="138"/>
    </row>
    <row r="522" spans="1:17">
      <c r="B522" s="4"/>
      <c r="E522" s="140"/>
      <c r="G522" s="18"/>
      <c r="K522" s="141"/>
      <c r="N522" s="138"/>
    </row>
    <row r="523" spans="1:17">
      <c r="B523"/>
      <c r="E523" s="142"/>
      <c r="K523" s="170"/>
      <c r="L523" s="18"/>
    </row>
    <row r="524" spans="1:17">
      <c r="B524" s="143"/>
      <c r="C524" s="139"/>
      <c r="D524" s="138"/>
      <c r="E524" s="138"/>
      <c r="F524" s="138"/>
      <c r="G524" s="138"/>
      <c r="H524" s="138"/>
      <c r="I524" s="138"/>
      <c r="J524" s="138"/>
      <c r="K524" s="138"/>
      <c r="L524" s="138"/>
    </row>
    <row r="525" spans="1:17">
      <c r="B525" s="141"/>
      <c r="C525" s="139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 t="e">
        <f>#REF!+#REF!+#REF!+#REF!+#REF!+#REF!</f>
        <v>#REF!</v>
      </c>
    </row>
    <row r="526" spans="1:17">
      <c r="B526" s="141"/>
      <c r="E526" s="144"/>
      <c r="G526" s="18"/>
    </row>
    <row r="527" spans="1:17">
      <c r="B527" s="138"/>
      <c r="E527" s="144"/>
    </row>
    <row r="528" spans="1:17">
      <c r="B528"/>
    </row>
    <row r="529" spans="2:5">
      <c r="B529"/>
    </row>
    <row r="530" spans="2:5">
      <c r="B530"/>
    </row>
    <row r="531" spans="2:5">
      <c r="B531"/>
    </row>
    <row r="532" spans="2:5">
      <c r="B532"/>
    </row>
    <row r="533" spans="2:5">
      <c r="B533"/>
    </row>
    <row r="534" spans="2:5">
      <c r="B534"/>
    </row>
    <row r="535" spans="2:5">
      <c r="B535"/>
    </row>
    <row r="536" spans="2:5">
      <c r="B536"/>
    </row>
    <row r="537" spans="2:5">
      <c r="B537"/>
    </row>
    <row r="538" spans="2:5">
      <c r="B538"/>
    </row>
    <row r="539" spans="2:5">
      <c r="B539"/>
    </row>
    <row r="540" spans="2:5">
      <c r="B540"/>
    </row>
    <row r="541" spans="2:5">
      <c r="B541"/>
    </row>
    <row r="542" spans="2:5">
      <c r="B542"/>
    </row>
    <row r="543" spans="2:5">
      <c r="B543"/>
    </row>
    <row r="544" spans="2:5">
      <c r="E544" s="139"/>
    </row>
    <row r="545" spans="5:5">
      <c r="E545" s="139"/>
    </row>
  </sheetData>
  <mergeCells count="145">
    <mergeCell ref="B37:B39"/>
    <mergeCell ref="B40:B42"/>
    <mergeCell ref="B43:B45"/>
    <mergeCell ref="B46:B52"/>
    <mergeCell ref="B53:B55"/>
    <mergeCell ref="B56:B58"/>
    <mergeCell ref="A4:A79"/>
    <mergeCell ref="B4:B6"/>
    <mergeCell ref="B7:B9"/>
    <mergeCell ref="B10:B12"/>
    <mergeCell ref="B13:B18"/>
    <mergeCell ref="B19:B21"/>
    <mergeCell ref="B22:B24"/>
    <mergeCell ref="B25:B27"/>
    <mergeCell ref="B28:B30"/>
    <mergeCell ref="B31:B36"/>
    <mergeCell ref="B59:B63"/>
    <mergeCell ref="B64:B66"/>
    <mergeCell ref="B67:B69"/>
    <mergeCell ref="B70:B75"/>
    <mergeCell ref="B76:B79"/>
    <mergeCell ref="A80:A159"/>
    <mergeCell ref="B80:B82"/>
    <mergeCell ref="B83:B85"/>
    <mergeCell ref="B86:B88"/>
    <mergeCell ref="B89:B94"/>
    <mergeCell ref="B120:B122"/>
    <mergeCell ref="B123:B125"/>
    <mergeCell ref="B126:B132"/>
    <mergeCell ref="B133:B135"/>
    <mergeCell ref="B136:B138"/>
    <mergeCell ref="B139:B143"/>
    <mergeCell ref="B95:B98"/>
    <mergeCell ref="B99:B102"/>
    <mergeCell ref="B103:B106"/>
    <mergeCell ref="B107:B110"/>
    <mergeCell ref="B111:B116"/>
    <mergeCell ref="B117:B119"/>
    <mergeCell ref="B144:B146"/>
    <mergeCell ref="B147:B149"/>
    <mergeCell ref="B150:B155"/>
    <mergeCell ref="B156:B159"/>
    <mergeCell ref="A160:A235"/>
    <mergeCell ref="B160:B162"/>
    <mergeCell ref="B163:B165"/>
    <mergeCell ref="B166:B168"/>
    <mergeCell ref="B169:B174"/>
    <mergeCell ref="B175:B177"/>
    <mergeCell ref="B199:B201"/>
    <mergeCell ref="B202:B208"/>
    <mergeCell ref="B209:B211"/>
    <mergeCell ref="B212:B214"/>
    <mergeCell ref="B215:B219"/>
    <mergeCell ref="B220:B222"/>
    <mergeCell ref="B178:B180"/>
    <mergeCell ref="B181:B183"/>
    <mergeCell ref="B184:B186"/>
    <mergeCell ref="B187:B192"/>
    <mergeCell ref="B193:B195"/>
    <mergeCell ref="B196:B198"/>
    <mergeCell ref="B223:B225"/>
    <mergeCell ref="B226:B231"/>
    <mergeCell ref="B232:B235"/>
    <mergeCell ref="A236:A312"/>
    <mergeCell ref="B236:B238"/>
    <mergeCell ref="B239:B241"/>
    <mergeCell ref="B242:B244"/>
    <mergeCell ref="B245:B250"/>
    <mergeCell ref="B251:B253"/>
    <mergeCell ref="B254:B256"/>
    <mergeCell ref="B279:B285"/>
    <mergeCell ref="B286:B288"/>
    <mergeCell ref="B289:B291"/>
    <mergeCell ref="B292:B296"/>
    <mergeCell ref="B297:B299"/>
    <mergeCell ref="B300:B302"/>
    <mergeCell ref="B257:B259"/>
    <mergeCell ref="B260:B262"/>
    <mergeCell ref="B263:B269"/>
    <mergeCell ref="B270:B272"/>
    <mergeCell ref="B273:B275"/>
    <mergeCell ref="B276:B278"/>
    <mergeCell ref="B303:B308"/>
    <mergeCell ref="B309:B312"/>
    <mergeCell ref="A313:A388"/>
    <mergeCell ref="B313:B315"/>
    <mergeCell ref="B316:B318"/>
    <mergeCell ref="B319:B322"/>
    <mergeCell ref="B323:B328"/>
    <mergeCell ref="B329:B331"/>
    <mergeCell ref="B332:B334"/>
    <mergeCell ref="B335:B337"/>
    <mergeCell ref="B362:B364"/>
    <mergeCell ref="B365:B367"/>
    <mergeCell ref="B368:B372"/>
    <mergeCell ref="B373:B375"/>
    <mergeCell ref="B376:B378"/>
    <mergeCell ref="B379:B384"/>
    <mergeCell ref="B338:B340"/>
    <mergeCell ref="B341:B346"/>
    <mergeCell ref="B347:B349"/>
    <mergeCell ref="B350:B352"/>
    <mergeCell ref="B353:B355"/>
    <mergeCell ref="B356:B361"/>
    <mergeCell ref="B385:B388"/>
    <mergeCell ref="A389:A455"/>
    <mergeCell ref="B389:B391"/>
    <mergeCell ref="B392:B394"/>
    <mergeCell ref="B395:B397"/>
    <mergeCell ref="B398:B403"/>
    <mergeCell ref="B404:B406"/>
    <mergeCell ref="B407:B409"/>
    <mergeCell ref="B410:B412"/>
    <mergeCell ref="B413:B415"/>
    <mergeCell ref="B416:B421"/>
    <mergeCell ref="B422:B424"/>
    <mergeCell ref="B425:B427"/>
    <mergeCell ref="B428:B430"/>
    <mergeCell ref="B431:B434"/>
    <mergeCell ref="B435:B437"/>
    <mergeCell ref="B438:B440"/>
    <mergeCell ref="B441:B443"/>
    <mergeCell ref="B444:B446"/>
    <mergeCell ref="B447:B451"/>
    <mergeCell ref="B452:B455"/>
    <mergeCell ref="B517:B519"/>
    <mergeCell ref="B492:B494"/>
    <mergeCell ref="B495:B497"/>
    <mergeCell ref="B498:B501"/>
    <mergeCell ref="B502:B504"/>
    <mergeCell ref="B505:B507"/>
    <mergeCell ref="B508:B510"/>
    <mergeCell ref="A456:A519"/>
    <mergeCell ref="B456:B458"/>
    <mergeCell ref="B459:B461"/>
    <mergeCell ref="B462:B464"/>
    <mergeCell ref="B465:B470"/>
    <mergeCell ref="B480:B482"/>
    <mergeCell ref="B483:B488"/>
    <mergeCell ref="B489:B491"/>
    <mergeCell ref="B511:B513"/>
    <mergeCell ref="B514:B516"/>
    <mergeCell ref="B471:B473"/>
    <mergeCell ref="B474:B476"/>
    <mergeCell ref="B477:B47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 dec</vt:lpstr>
      <vt:lpstr>an 2023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dan.pr2024</cp:lastModifiedBy>
  <dcterms:created xsi:type="dcterms:W3CDTF">2024-01-08T12:46:34Z</dcterms:created>
  <dcterms:modified xsi:type="dcterms:W3CDTF">2024-02-15T13:08:16Z</dcterms:modified>
</cp:coreProperties>
</file>